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10.180.1.24\data1\05 サービス第二課\02 郷土資料班\09　令和5年度以降\R6\目録・書誌\"/>
    </mc:Choice>
  </mc:AlternateContent>
  <xr:revisionPtr revIDLastSave="0" documentId="13_ncr:1_{A3D93107-80ED-4DDC-9E26-B828228BA520}" xr6:coauthVersionLast="36" xr6:coauthVersionMax="36" xr10:uidLastSave="{00000000-0000-0000-0000-000000000000}"/>
  <bookViews>
    <workbookView xWindow="0" yWindow="0" windowWidth="28800" windowHeight="12135" xr2:uid="{00000000-000D-0000-FFFF-FFFF00000000}"/>
  </bookViews>
  <sheets>
    <sheet name="20240614" sheetId="1" r:id="rId1"/>
  </sheets>
  <calcPr calcId="191029"/>
</workbook>
</file>

<file path=xl/calcChain.xml><?xml version="1.0" encoding="utf-8"?>
<calcChain xmlns="http://schemas.openxmlformats.org/spreadsheetml/2006/main">
  <c r="B4" i="1" l="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 r="B1001" i="1"/>
  <c r="B1002" i="1"/>
  <c r="B1003" i="1"/>
  <c r="B1004" i="1"/>
  <c r="B1005" i="1"/>
  <c r="B1006" i="1"/>
  <c r="B1007" i="1"/>
  <c r="B1008" i="1"/>
  <c r="B1009" i="1"/>
  <c r="B1010" i="1"/>
  <c r="B1011" i="1"/>
  <c r="B1012" i="1"/>
  <c r="B1013" i="1"/>
  <c r="B1014" i="1"/>
  <c r="B1015" i="1"/>
  <c r="B1016" i="1"/>
  <c r="B1017" i="1"/>
  <c r="B1018" i="1"/>
  <c r="B1019" i="1"/>
  <c r="B1020" i="1"/>
  <c r="B1021" i="1"/>
  <c r="B1022" i="1"/>
  <c r="B1023" i="1"/>
  <c r="B1024" i="1"/>
  <c r="B1025" i="1"/>
  <c r="B1026" i="1"/>
  <c r="B1027" i="1"/>
  <c r="B1028" i="1"/>
  <c r="B1029" i="1"/>
  <c r="B1030" i="1"/>
  <c r="B1031" i="1"/>
  <c r="B1032" i="1"/>
  <c r="B1033" i="1"/>
  <c r="B1034" i="1"/>
  <c r="B1035" i="1"/>
  <c r="B1036" i="1"/>
  <c r="B1037" i="1"/>
  <c r="B1038" i="1"/>
  <c r="B1039" i="1"/>
  <c r="B1040" i="1"/>
  <c r="B1041" i="1"/>
  <c r="B1042" i="1"/>
  <c r="B1043" i="1"/>
  <c r="B1044" i="1"/>
  <c r="B1045" i="1"/>
  <c r="B1046" i="1"/>
  <c r="B1047" i="1"/>
  <c r="B1048" i="1"/>
  <c r="B1049" i="1"/>
  <c r="B1050" i="1"/>
  <c r="B1051" i="1"/>
  <c r="B1052" i="1"/>
  <c r="B1053" i="1"/>
  <c r="B1054" i="1"/>
  <c r="B1055" i="1"/>
  <c r="B1056" i="1"/>
  <c r="B1057" i="1"/>
  <c r="B1058" i="1"/>
  <c r="B1059" i="1"/>
  <c r="B1060" i="1"/>
  <c r="B1061" i="1"/>
  <c r="B1062" i="1"/>
  <c r="B1063" i="1"/>
  <c r="B1064" i="1"/>
  <c r="B1065" i="1"/>
  <c r="B1066" i="1"/>
  <c r="B1067" i="1"/>
  <c r="B1068" i="1"/>
  <c r="B1069" i="1"/>
  <c r="B1070" i="1"/>
  <c r="B1071" i="1"/>
  <c r="B1072" i="1"/>
  <c r="B1073" i="1"/>
  <c r="B1074" i="1"/>
  <c r="B1075" i="1"/>
  <c r="B1076" i="1"/>
  <c r="B1077" i="1"/>
  <c r="B1078" i="1"/>
  <c r="B1079" i="1"/>
  <c r="B1080" i="1"/>
  <c r="B1081" i="1"/>
  <c r="B1082" i="1"/>
  <c r="B1083" i="1"/>
  <c r="B1084" i="1"/>
  <c r="B1085" i="1"/>
  <c r="B1086" i="1"/>
  <c r="B1087" i="1"/>
  <c r="B1088" i="1"/>
  <c r="B1089" i="1"/>
  <c r="B1090" i="1"/>
  <c r="B1091" i="1"/>
  <c r="B1092" i="1"/>
  <c r="B1093" i="1"/>
  <c r="B1094" i="1"/>
  <c r="B1095" i="1"/>
  <c r="B1096" i="1"/>
  <c r="B1097" i="1"/>
  <c r="B1098" i="1"/>
  <c r="B1099" i="1"/>
  <c r="B1100" i="1"/>
  <c r="B1101" i="1"/>
  <c r="B1102" i="1"/>
  <c r="B1103" i="1"/>
  <c r="B1104" i="1"/>
  <c r="B1105" i="1"/>
  <c r="B1106" i="1"/>
  <c r="B1107" i="1"/>
  <c r="B1108" i="1"/>
  <c r="B1109" i="1"/>
  <c r="B1110" i="1"/>
  <c r="B1111" i="1"/>
  <c r="B1112" i="1"/>
  <c r="B1113" i="1"/>
  <c r="B1114" i="1"/>
  <c r="B1115" i="1"/>
  <c r="B1116" i="1"/>
  <c r="B1117" i="1"/>
  <c r="B1118" i="1"/>
  <c r="B1119" i="1"/>
  <c r="B1120" i="1"/>
  <c r="B1121" i="1"/>
  <c r="B1122" i="1"/>
  <c r="B1123" i="1"/>
  <c r="B1124" i="1"/>
  <c r="B1125" i="1"/>
  <c r="B1126" i="1"/>
  <c r="B1127" i="1"/>
  <c r="B1128" i="1"/>
  <c r="B1129" i="1"/>
  <c r="B1130" i="1"/>
  <c r="B1131" i="1"/>
  <c r="B1132" i="1"/>
  <c r="B1133" i="1"/>
  <c r="B1134" i="1"/>
  <c r="B1135" i="1"/>
  <c r="B1136" i="1"/>
  <c r="B1137" i="1"/>
  <c r="B1138" i="1"/>
  <c r="B1139" i="1"/>
  <c r="B1140" i="1"/>
  <c r="B1141" i="1"/>
  <c r="B1142" i="1"/>
  <c r="B1143" i="1"/>
  <c r="B1144" i="1"/>
  <c r="B1145" i="1"/>
  <c r="B1146" i="1"/>
  <c r="B1147" i="1"/>
  <c r="B1148" i="1"/>
  <c r="B1149" i="1"/>
  <c r="B1150" i="1"/>
  <c r="B1151" i="1"/>
  <c r="B1152" i="1"/>
  <c r="B1153" i="1"/>
  <c r="B1154" i="1"/>
  <c r="B1155" i="1"/>
  <c r="B1156" i="1"/>
  <c r="B1157" i="1"/>
  <c r="B1158" i="1"/>
  <c r="B1159" i="1"/>
  <c r="B1160" i="1"/>
  <c r="B1161" i="1"/>
  <c r="B1162" i="1"/>
  <c r="B1163" i="1"/>
  <c r="B1164" i="1"/>
  <c r="B1165" i="1"/>
  <c r="B1166" i="1"/>
  <c r="B1167" i="1"/>
  <c r="B1168" i="1"/>
  <c r="B1169" i="1"/>
  <c r="B1170" i="1"/>
  <c r="B1171" i="1"/>
  <c r="B1172" i="1"/>
  <c r="B1173" i="1"/>
  <c r="B1174" i="1"/>
  <c r="B1175" i="1"/>
  <c r="B1176" i="1"/>
  <c r="B1177" i="1"/>
  <c r="B1178" i="1"/>
  <c r="B1179" i="1"/>
  <c r="B1180" i="1"/>
  <c r="B1181" i="1"/>
  <c r="B1182" i="1"/>
  <c r="B1183" i="1"/>
  <c r="B1184" i="1"/>
  <c r="B1185" i="1"/>
  <c r="B1186" i="1"/>
  <c r="B1187" i="1"/>
  <c r="B1188" i="1"/>
  <c r="B1189" i="1"/>
  <c r="B1190" i="1"/>
  <c r="B1191" i="1"/>
  <c r="B1192" i="1"/>
  <c r="B1193" i="1"/>
  <c r="B1194" i="1"/>
  <c r="B1195" i="1"/>
  <c r="B1196" i="1"/>
  <c r="B1197" i="1"/>
  <c r="B1198" i="1"/>
  <c r="B1199" i="1"/>
  <c r="B1200" i="1"/>
  <c r="B1201" i="1"/>
  <c r="B1202" i="1"/>
  <c r="B1203" i="1"/>
  <c r="B1204" i="1"/>
  <c r="B1205" i="1"/>
  <c r="B1206" i="1"/>
  <c r="B1207" i="1"/>
  <c r="B1208" i="1"/>
  <c r="B1209" i="1"/>
  <c r="B1210" i="1"/>
  <c r="B1211" i="1"/>
  <c r="B1212" i="1"/>
  <c r="B1213" i="1"/>
  <c r="B1214" i="1"/>
  <c r="B1215" i="1"/>
  <c r="B1216" i="1"/>
  <c r="B1217" i="1"/>
  <c r="B1218" i="1"/>
  <c r="B1219" i="1"/>
  <c r="B1220" i="1"/>
  <c r="B1221" i="1"/>
  <c r="B1222" i="1"/>
  <c r="B1223" i="1"/>
  <c r="B1224" i="1"/>
  <c r="B1225" i="1"/>
  <c r="B1226" i="1"/>
  <c r="B1227" i="1"/>
  <c r="B1228" i="1"/>
  <c r="B1229" i="1"/>
  <c r="B1230" i="1"/>
  <c r="B1231" i="1"/>
  <c r="B1232" i="1"/>
  <c r="B1233" i="1"/>
  <c r="B1234" i="1"/>
  <c r="B1235" i="1"/>
  <c r="B1236" i="1"/>
  <c r="B1237" i="1"/>
  <c r="B1238" i="1"/>
  <c r="B1239" i="1"/>
  <c r="B1240" i="1"/>
  <c r="B1241" i="1"/>
  <c r="B1242" i="1"/>
  <c r="B1243" i="1"/>
  <c r="B1244" i="1"/>
  <c r="B1245" i="1"/>
  <c r="B1246" i="1"/>
  <c r="B1247" i="1"/>
  <c r="B1248" i="1"/>
  <c r="B1249" i="1"/>
  <c r="B1250" i="1"/>
  <c r="B1251" i="1"/>
  <c r="B1252" i="1"/>
  <c r="B1253" i="1"/>
  <c r="B1254" i="1"/>
  <c r="B1255" i="1"/>
  <c r="B1256" i="1"/>
  <c r="B1257" i="1"/>
  <c r="B1258" i="1"/>
  <c r="B1259" i="1"/>
  <c r="B1260" i="1"/>
  <c r="B1261" i="1"/>
  <c r="B1262" i="1"/>
  <c r="B1263" i="1"/>
  <c r="B1264" i="1"/>
  <c r="B1265" i="1"/>
  <c r="B1266" i="1"/>
  <c r="B1267" i="1"/>
  <c r="B1268" i="1"/>
  <c r="B1269" i="1"/>
  <c r="B1270" i="1"/>
  <c r="B1271" i="1"/>
  <c r="B1272" i="1"/>
  <c r="B1273" i="1"/>
  <c r="B1274" i="1"/>
  <c r="B1275" i="1"/>
  <c r="B1276" i="1"/>
  <c r="B1277" i="1"/>
  <c r="B1278" i="1"/>
  <c r="B1279" i="1"/>
  <c r="B1280" i="1"/>
  <c r="B1281" i="1"/>
  <c r="B1282" i="1"/>
  <c r="B1283" i="1"/>
  <c r="B1284" i="1"/>
  <c r="B1285" i="1"/>
  <c r="B1286" i="1"/>
  <c r="B1287" i="1"/>
  <c r="B1288" i="1"/>
  <c r="B1289" i="1"/>
  <c r="B1290" i="1"/>
  <c r="B1291" i="1"/>
  <c r="B1292" i="1"/>
  <c r="B1293" i="1"/>
  <c r="B1294" i="1"/>
  <c r="B1295" i="1"/>
  <c r="B1296" i="1"/>
  <c r="B1297" i="1"/>
  <c r="B1298" i="1"/>
  <c r="B1299" i="1"/>
  <c r="B1300" i="1"/>
  <c r="B1301" i="1"/>
  <c r="B1302" i="1"/>
  <c r="B1303" i="1"/>
  <c r="B1304" i="1"/>
  <c r="B1305" i="1"/>
  <c r="B1306" i="1"/>
  <c r="B1307" i="1"/>
  <c r="B1308" i="1"/>
  <c r="B1309" i="1"/>
  <c r="B1310" i="1"/>
  <c r="B1311" i="1"/>
  <c r="B1312" i="1"/>
  <c r="B1313" i="1"/>
  <c r="B1314" i="1"/>
  <c r="B1315" i="1"/>
  <c r="B1316" i="1"/>
  <c r="B1317" i="1"/>
  <c r="B1318" i="1"/>
  <c r="B1319" i="1"/>
  <c r="B1320" i="1"/>
  <c r="B1321" i="1"/>
  <c r="B1322" i="1"/>
  <c r="B1323" i="1"/>
  <c r="B1324" i="1"/>
  <c r="B1325" i="1"/>
  <c r="B1326" i="1"/>
  <c r="B1327" i="1"/>
  <c r="B1328" i="1"/>
  <c r="B1329" i="1"/>
  <c r="B1330" i="1"/>
  <c r="B1331" i="1"/>
  <c r="B1332" i="1"/>
  <c r="B1333" i="1"/>
  <c r="B1334" i="1"/>
  <c r="B1335" i="1"/>
  <c r="B1336" i="1"/>
  <c r="B1337" i="1"/>
  <c r="B1338" i="1"/>
  <c r="B1339" i="1"/>
  <c r="B1340" i="1"/>
  <c r="B1341" i="1"/>
  <c r="B1342" i="1"/>
  <c r="B1343" i="1"/>
  <c r="B1344" i="1"/>
  <c r="B1345" i="1"/>
  <c r="B1346" i="1"/>
  <c r="B1347" i="1"/>
  <c r="B1348" i="1"/>
  <c r="B1349" i="1"/>
  <c r="B1350" i="1"/>
  <c r="B1351" i="1"/>
  <c r="B1352" i="1"/>
  <c r="B1353" i="1"/>
  <c r="B1354" i="1"/>
  <c r="B1355" i="1"/>
  <c r="B1356" i="1"/>
  <c r="B1357" i="1"/>
  <c r="B1358" i="1"/>
  <c r="B1359" i="1"/>
  <c r="B1360" i="1"/>
  <c r="B1361" i="1"/>
  <c r="B1362" i="1"/>
  <c r="B1363" i="1"/>
  <c r="B1364" i="1"/>
  <c r="B1365" i="1"/>
  <c r="B1366" i="1"/>
  <c r="B1367" i="1"/>
  <c r="B1368" i="1"/>
  <c r="B1369" i="1"/>
  <c r="B1370" i="1"/>
  <c r="B1371" i="1"/>
  <c r="B1372" i="1"/>
  <c r="B1373" i="1"/>
  <c r="B1374" i="1"/>
  <c r="B1375" i="1"/>
  <c r="B1376" i="1"/>
  <c r="B1377" i="1"/>
  <c r="B1378" i="1"/>
  <c r="B1379" i="1"/>
  <c r="B1380" i="1"/>
  <c r="B1381" i="1"/>
  <c r="B1382" i="1"/>
  <c r="B1383" i="1"/>
  <c r="B1384" i="1"/>
  <c r="B1385" i="1"/>
  <c r="B1386" i="1"/>
  <c r="B1387" i="1"/>
  <c r="B1388" i="1"/>
  <c r="B1389" i="1"/>
  <c r="B1390" i="1"/>
  <c r="B1391" i="1"/>
  <c r="B1392" i="1"/>
  <c r="B1393" i="1"/>
  <c r="B1394" i="1"/>
  <c r="B1395" i="1"/>
  <c r="B1396" i="1"/>
  <c r="B1397" i="1"/>
  <c r="B1398" i="1"/>
  <c r="B1399" i="1"/>
  <c r="B1400" i="1"/>
  <c r="B1401" i="1"/>
  <c r="B1402" i="1"/>
  <c r="B1403" i="1"/>
  <c r="B1404" i="1"/>
  <c r="B1405" i="1"/>
  <c r="B1406" i="1"/>
  <c r="B1407" i="1"/>
  <c r="B1408" i="1"/>
  <c r="B1409" i="1"/>
  <c r="B1410" i="1"/>
  <c r="B1411" i="1"/>
  <c r="B1412" i="1"/>
  <c r="B1413" i="1"/>
  <c r="B1414" i="1"/>
  <c r="B1415" i="1"/>
  <c r="B1416" i="1"/>
  <c r="B1417" i="1"/>
  <c r="B1418" i="1"/>
  <c r="B1419" i="1"/>
  <c r="B1420" i="1"/>
  <c r="B1421" i="1"/>
  <c r="B1422" i="1"/>
  <c r="B1423" i="1"/>
  <c r="B1424" i="1"/>
  <c r="B1425" i="1"/>
  <c r="B1426" i="1"/>
  <c r="B1427" i="1"/>
  <c r="B1428" i="1"/>
  <c r="B1429" i="1"/>
  <c r="B1430" i="1"/>
  <c r="B1431" i="1"/>
  <c r="B1432" i="1"/>
  <c r="B1433" i="1"/>
  <c r="B1434" i="1"/>
  <c r="B1435" i="1"/>
  <c r="B1436" i="1"/>
  <c r="B1437" i="1"/>
  <c r="B1438" i="1"/>
  <c r="B1439" i="1"/>
  <c r="B1440" i="1"/>
  <c r="B1441" i="1"/>
  <c r="B1442" i="1"/>
  <c r="B1443" i="1"/>
  <c r="B1444" i="1"/>
  <c r="B1445" i="1"/>
  <c r="B1446" i="1"/>
  <c r="B1447" i="1"/>
  <c r="B1448" i="1"/>
  <c r="B1449" i="1"/>
  <c r="B1450" i="1"/>
  <c r="B1451" i="1"/>
  <c r="B1452" i="1"/>
  <c r="B1453" i="1"/>
  <c r="B1454" i="1"/>
  <c r="B1455" i="1"/>
  <c r="B1456" i="1"/>
  <c r="B1457" i="1"/>
  <c r="B1458" i="1"/>
  <c r="B1459" i="1"/>
  <c r="B1460" i="1"/>
  <c r="B1461" i="1"/>
  <c r="B1462" i="1"/>
  <c r="B1463" i="1"/>
  <c r="B1464" i="1"/>
  <c r="B1465" i="1"/>
  <c r="B1466" i="1"/>
  <c r="B1467" i="1"/>
  <c r="B1468" i="1"/>
  <c r="B1469" i="1"/>
  <c r="B1470" i="1"/>
  <c r="B1471" i="1"/>
  <c r="B1472" i="1"/>
  <c r="B1473" i="1"/>
  <c r="B1474" i="1"/>
  <c r="B1475" i="1"/>
  <c r="B1476" i="1"/>
  <c r="B1477" i="1"/>
  <c r="B1478" i="1"/>
  <c r="B1479" i="1"/>
  <c r="B1480" i="1"/>
  <c r="B1481" i="1"/>
  <c r="B1482" i="1"/>
  <c r="B1483" i="1"/>
  <c r="B1484" i="1"/>
  <c r="B1485" i="1"/>
  <c r="B1486" i="1"/>
  <c r="B1487" i="1"/>
  <c r="B1488" i="1"/>
  <c r="B1489" i="1"/>
  <c r="B1490" i="1"/>
  <c r="B1491" i="1"/>
  <c r="B1492" i="1"/>
  <c r="B1493" i="1"/>
  <c r="B1494" i="1"/>
  <c r="B1495" i="1"/>
  <c r="B1496" i="1"/>
  <c r="B1497" i="1"/>
  <c r="B1498" i="1"/>
  <c r="B1499" i="1"/>
  <c r="B1500" i="1"/>
  <c r="B1501" i="1"/>
  <c r="B1502" i="1"/>
  <c r="B1503" i="1"/>
  <c r="B1504" i="1"/>
  <c r="B1505" i="1"/>
  <c r="B1506" i="1"/>
  <c r="B1507" i="1"/>
  <c r="B1508" i="1"/>
  <c r="B1509" i="1"/>
  <c r="B1510" i="1"/>
  <c r="B1511" i="1"/>
  <c r="B1512" i="1"/>
  <c r="B1513" i="1"/>
  <c r="B1514" i="1"/>
  <c r="B1515" i="1"/>
  <c r="B1516" i="1"/>
  <c r="B1517" i="1"/>
  <c r="B1518" i="1"/>
  <c r="B1519" i="1"/>
  <c r="B1520" i="1"/>
  <c r="B1521" i="1"/>
  <c r="B1522" i="1"/>
  <c r="B1523" i="1"/>
  <c r="B1524" i="1"/>
  <c r="B1525" i="1"/>
  <c r="B1526" i="1"/>
  <c r="B1527" i="1"/>
  <c r="B1528" i="1"/>
  <c r="B1529" i="1"/>
  <c r="B1530" i="1"/>
  <c r="B1531" i="1"/>
  <c r="B1532" i="1"/>
  <c r="B1533" i="1"/>
  <c r="B1534" i="1"/>
  <c r="B1535" i="1"/>
  <c r="B1536" i="1"/>
  <c r="B1537" i="1"/>
  <c r="B1538" i="1"/>
  <c r="B1539" i="1"/>
  <c r="B1540" i="1"/>
  <c r="B1541" i="1"/>
  <c r="B1542" i="1"/>
  <c r="B1543" i="1"/>
  <c r="B1544" i="1"/>
  <c r="B1545" i="1"/>
  <c r="B1546" i="1"/>
  <c r="B1547" i="1"/>
  <c r="B1548" i="1"/>
  <c r="B1549" i="1"/>
  <c r="B1550" i="1"/>
  <c r="B1551" i="1"/>
  <c r="B1552" i="1"/>
  <c r="B1553" i="1"/>
  <c r="B1554" i="1"/>
  <c r="B1555" i="1"/>
  <c r="B1556" i="1"/>
  <c r="B1557" i="1"/>
  <c r="B1558" i="1"/>
  <c r="B1559" i="1"/>
  <c r="B1560" i="1"/>
  <c r="B1561" i="1"/>
  <c r="B1562" i="1"/>
  <c r="B1563" i="1"/>
  <c r="B1564" i="1"/>
  <c r="B1565" i="1"/>
  <c r="B1566" i="1"/>
  <c r="B1567" i="1"/>
  <c r="B1568" i="1"/>
  <c r="B1569" i="1"/>
  <c r="B1570" i="1"/>
  <c r="B1571" i="1"/>
  <c r="B1572" i="1"/>
  <c r="B1573" i="1"/>
  <c r="B1574" i="1"/>
  <c r="B1575" i="1"/>
  <c r="B1576" i="1"/>
  <c r="B1577" i="1"/>
  <c r="B1578" i="1"/>
  <c r="B1579" i="1"/>
  <c r="B1580" i="1"/>
  <c r="B1581" i="1"/>
  <c r="B1582" i="1"/>
  <c r="B1583" i="1"/>
  <c r="B1584" i="1"/>
  <c r="B1585" i="1"/>
  <c r="B1586" i="1"/>
  <c r="B1587" i="1"/>
  <c r="B1588" i="1"/>
  <c r="B1589" i="1"/>
  <c r="B1590" i="1"/>
  <c r="B1591" i="1"/>
  <c r="B1592" i="1"/>
  <c r="B1593" i="1"/>
  <c r="B1594" i="1"/>
  <c r="B1595" i="1"/>
  <c r="B1596" i="1"/>
  <c r="B1597" i="1"/>
  <c r="B1598" i="1"/>
  <c r="B1599" i="1"/>
  <c r="B1600" i="1"/>
  <c r="B1601" i="1"/>
  <c r="B1602" i="1"/>
  <c r="B1603" i="1"/>
  <c r="B1604" i="1"/>
  <c r="B1605" i="1"/>
  <c r="B1606" i="1"/>
  <c r="B1607" i="1"/>
  <c r="B1608" i="1"/>
  <c r="B1609" i="1"/>
  <c r="B1610" i="1"/>
  <c r="B1611" i="1"/>
  <c r="B1612" i="1"/>
  <c r="B1613" i="1"/>
  <c r="B1614" i="1"/>
  <c r="B1615" i="1"/>
  <c r="B1616" i="1"/>
  <c r="B1617" i="1"/>
  <c r="B1618" i="1"/>
  <c r="B1619" i="1"/>
  <c r="B1620" i="1"/>
  <c r="B1621" i="1"/>
  <c r="B1622" i="1"/>
  <c r="B1623" i="1"/>
  <c r="B1624" i="1"/>
  <c r="B1625" i="1"/>
  <c r="B1626" i="1"/>
  <c r="B1627" i="1"/>
  <c r="B1628" i="1"/>
  <c r="B1629" i="1"/>
  <c r="B1630" i="1"/>
  <c r="B1631" i="1"/>
  <c r="B1632" i="1"/>
  <c r="B1633" i="1"/>
  <c r="B1634" i="1"/>
  <c r="B1635" i="1"/>
  <c r="B1636" i="1"/>
  <c r="B1637" i="1"/>
  <c r="B1638" i="1"/>
  <c r="B1639" i="1"/>
  <c r="B1640" i="1"/>
  <c r="B1641" i="1"/>
  <c r="B1642" i="1"/>
  <c r="B1643" i="1"/>
  <c r="B1644" i="1"/>
  <c r="B1645" i="1"/>
  <c r="B1646" i="1"/>
  <c r="B1647" i="1"/>
  <c r="B1648" i="1"/>
  <c r="B1649" i="1"/>
  <c r="B1650" i="1"/>
  <c r="B1651" i="1"/>
  <c r="B1652" i="1"/>
  <c r="B1653" i="1"/>
  <c r="B1654" i="1"/>
  <c r="B1655" i="1"/>
  <c r="B1656" i="1"/>
  <c r="B1657" i="1"/>
  <c r="B1658" i="1"/>
  <c r="B1659" i="1"/>
  <c r="B1660" i="1"/>
  <c r="B1661" i="1"/>
  <c r="B1662" i="1"/>
  <c r="B1663" i="1"/>
  <c r="B1664" i="1"/>
  <c r="B1665" i="1"/>
  <c r="B1666" i="1"/>
  <c r="B1667" i="1"/>
  <c r="B1668" i="1"/>
  <c r="B1669" i="1"/>
  <c r="B1670" i="1"/>
  <c r="B1671" i="1"/>
  <c r="B1672" i="1"/>
  <c r="B1673" i="1"/>
  <c r="B1674" i="1"/>
  <c r="B1675" i="1"/>
  <c r="B1676" i="1"/>
  <c r="B1677" i="1"/>
  <c r="B1678" i="1"/>
  <c r="B1679" i="1"/>
  <c r="B1680" i="1"/>
  <c r="B1681" i="1"/>
  <c r="B1682" i="1"/>
  <c r="B1683" i="1"/>
  <c r="B1684" i="1"/>
  <c r="B1685" i="1"/>
  <c r="B1686" i="1"/>
  <c r="B1687" i="1"/>
  <c r="B1688" i="1"/>
  <c r="B1689" i="1"/>
  <c r="B1690" i="1"/>
  <c r="B1691" i="1"/>
  <c r="B1692" i="1"/>
  <c r="B1693" i="1"/>
  <c r="B1694" i="1"/>
  <c r="B1695" i="1"/>
  <c r="B1696" i="1"/>
  <c r="B1697" i="1"/>
  <c r="B1698" i="1"/>
  <c r="B1699" i="1"/>
  <c r="B1700" i="1"/>
  <c r="B1701" i="1"/>
  <c r="B1702" i="1"/>
  <c r="B1703" i="1"/>
  <c r="B1704" i="1"/>
  <c r="B1705" i="1"/>
  <c r="B1706" i="1"/>
  <c r="B1707" i="1"/>
  <c r="B1708" i="1"/>
  <c r="B1709" i="1"/>
  <c r="B1710" i="1"/>
  <c r="B1711" i="1"/>
  <c r="B1712" i="1"/>
  <c r="B1713" i="1"/>
  <c r="B1714" i="1"/>
  <c r="B1715" i="1"/>
  <c r="B1716" i="1"/>
  <c r="B1717" i="1"/>
  <c r="B1718" i="1"/>
  <c r="B1719" i="1"/>
  <c r="B1720" i="1"/>
  <c r="B1721" i="1"/>
  <c r="B1722" i="1"/>
  <c r="B1723" i="1"/>
  <c r="B1724" i="1"/>
  <c r="B1725" i="1"/>
  <c r="B1726" i="1"/>
  <c r="B1727" i="1"/>
  <c r="B1728" i="1"/>
  <c r="B1729" i="1"/>
  <c r="B1730" i="1"/>
  <c r="B1731" i="1"/>
  <c r="B1732" i="1"/>
  <c r="B1733" i="1"/>
  <c r="B1734" i="1"/>
  <c r="B1735" i="1"/>
  <c r="B1736" i="1"/>
  <c r="B1737" i="1"/>
  <c r="B1738" i="1"/>
  <c r="B1739" i="1"/>
  <c r="B1740" i="1"/>
  <c r="B1741" i="1"/>
  <c r="B1742" i="1"/>
  <c r="B1743" i="1"/>
  <c r="B1744" i="1"/>
  <c r="B1745" i="1"/>
  <c r="B1746" i="1"/>
  <c r="B1747" i="1"/>
  <c r="B1748" i="1"/>
  <c r="B1749" i="1"/>
  <c r="B1750" i="1"/>
  <c r="B1751" i="1"/>
  <c r="B1752" i="1"/>
  <c r="B1753" i="1"/>
  <c r="B1754" i="1"/>
  <c r="B1755" i="1"/>
  <c r="B1756" i="1"/>
  <c r="B1757" i="1"/>
  <c r="B1758" i="1"/>
  <c r="B1759" i="1"/>
  <c r="B1760" i="1"/>
  <c r="B1761" i="1"/>
  <c r="B1762" i="1"/>
  <c r="B1763" i="1"/>
  <c r="B1764" i="1"/>
  <c r="B1765" i="1"/>
  <c r="B1766" i="1"/>
  <c r="B1767" i="1"/>
  <c r="B1768" i="1"/>
  <c r="B1769" i="1"/>
  <c r="B1770" i="1"/>
  <c r="B1771" i="1"/>
  <c r="B1772" i="1"/>
  <c r="B1773" i="1"/>
  <c r="B1774" i="1"/>
  <c r="B1775" i="1"/>
  <c r="B1776" i="1"/>
  <c r="B1777" i="1"/>
  <c r="B1778" i="1"/>
  <c r="B1779" i="1"/>
  <c r="B1780" i="1"/>
  <c r="B1781" i="1"/>
  <c r="B1782" i="1"/>
  <c r="B1783" i="1"/>
  <c r="B1784" i="1"/>
  <c r="B1785" i="1"/>
  <c r="B1786" i="1"/>
  <c r="B1787" i="1"/>
  <c r="B1788" i="1"/>
  <c r="B1789" i="1"/>
  <c r="B1790" i="1"/>
  <c r="B1791" i="1"/>
  <c r="B1792" i="1"/>
  <c r="B1793" i="1"/>
  <c r="B1794" i="1"/>
  <c r="B1795" i="1"/>
  <c r="B1796" i="1"/>
  <c r="B1797" i="1"/>
  <c r="B1798" i="1"/>
  <c r="B1799" i="1"/>
  <c r="B1800" i="1"/>
  <c r="B1801" i="1"/>
  <c r="B1802" i="1"/>
  <c r="B1803" i="1"/>
  <c r="B1804" i="1"/>
  <c r="B1805" i="1"/>
  <c r="B1806" i="1"/>
  <c r="B1807" i="1"/>
  <c r="B1808" i="1"/>
  <c r="B1809" i="1"/>
  <c r="B1810" i="1"/>
  <c r="B1811" i="1"/>
  <c r="B1812" i="1"/>
  <c r="B1813" i="1"/>
  <c r="B1814" i="1"/>
  <c r="B1815" i="1"/>
  <c r="B1816" i="1"/>
  <c r="B1817" i="1"/>
  <c r="B1818" i="1"/>
  <c r="B1819" i="1"/>
  <c r="B1820" i="1"/>
  <c r="B1821" i="1"/>
  <c r="B1822" i="1"/>
  <c r="B1823" i="1"/>
  <c r="B1824" i="1"/>
  <c r="B1825" i="1"/>
  <c r="B1826" i="1"/>
  <c r="B1827" i="1"/>
  <c r="B1828" i="1"/>
  <c r="B1829" i="1"/>
  <c r="B1830" i="1"/>
  <c r="B1831" i="1"/>
  <c r="B1832" i="1"/>
  <c r="B1833" i="1"/>
  <c r="B1834" i="1"/>
  <c r="B1835" i="1"/>
  <c r="B1836" i="1"/>
  <c r="B1837" i="1"/>
  <c r="B1838" i="1"/>
  <c r="B1839" i="1"/>
  <c r="B1840" i="1"/>
  <c r="B1841" i="1"/>
  <c r="B1842" i="1"/>
  <c r="B1843" i="1"/>
  <c r="B1844" i="1"/>
  <c r="B1845" i="1"/>
  <c r="B1846" i="1"/>
  <c r="B1847" i="1"/>
  <c r="B1848" i="1"/>
  <c r="B1849" i="1"/>
  <c r="B1850" i="1"/>
  <c r="B1851" i="1"/>
  <c r="B1852" i="1"/>
  <c r="B1853" i="1"/>
  <c r="B1854" i="1"/>
  <c r="B1855" i="1"/>
  <c r="B1856" i="1"/>
  <c r="B1857" i="1"/>
  <c r="B1858" i="1"/>
  <c r="B1859" i="1"/>
  <c r="B1860" i="1"/>
  <c r="B1861" i="1"/>
  <c r="B1862" i="1"/>
  <c r="B1863" i="1"/>
  <c r="B1864" i="1"/>
  <c r="B1865" i="1"/>
  <c r="B1866" i="1"/>
  <c r="B1867" i="1"/>
  <c r="B1868" i="1"/>
  <c r="B1869" i="1"/>
  <c r="B1870" i="1"/>
  <c r="B1871" i="1"/>
  <c r="B1872" i="1"/>
  <c r="B1873" i="1"/>
  <c r="B1874" i="1"/>
  <c r="B1875" i="1"/>
  <c r="B1876" i="1"/>
  <c r="B1877" i="1"/>
  <c r="B1878" i="1"/>
  <c r="B1879" i="1"/>
  <c r="B1880" i="1"/>
  <c r="B1881" i="1"/>
  <c r="B1882" i="1"/>
  <c r="B1883" i="1"/>
  <c r="B1884" i="1"/>
  <c r="B1885" i="1"/>
  <c r="B1886" i="1"/>
  <c r="B1887" i="1"/>
  <c r="B1888" i="1"/>
  <c r="B1889" i="1"/>
  <c r="B1890" i="1"/>
  <c r="B1891" i="1"/>
  <c r="B1892" i="1"/>
  <c r="B1893" i="1"/>
  <c r="B1894" i="1"/>
  <c r="B1895" i="1"/>
  <c r="B1896" i="1"/>
  <c r="B1897" i="1"/>
  <c r="B1898" i="1"/>
  <c r="B1899" i="1"/>
  <c r="B1900" i="1"/>
  <c r="B1901" i="1"/>
  <c r="B1902" i="1"/>
  <c r="B1903" i="1"/>
  <c r="B1904" i="1"/>
  <c r="B1905" i="1"/>
  <c r="B1906" i="1"/>
  <c r="B1907" i="1"/>
  <c r="B1908" i="1"/>
  <c r="B1909" i="1"/>
  <c r="B1910" i="1"/>
  <c r="B1911" i="1"/>
  <c r="B1912" i="1"/>
  <c r="B1913" i="1"/>
  <c r="B1914" i="1"/>
  <c r="B1915" i="1"/>
  <c r="B1916" i="1"/>
  <c r="B1917" i="1"/>
  <c r="B1918" i="1"/>
  <c r="B1919" i="1"/>
  <c r="B1920" i="1"/>
  <c r="B1921" i="1"/>
  <c r="B1922" i="1"/>
  <c r="B1923" i="1"/>
  <c r="B1924" i="1"/>
  <c r="B1925" i="1"/>
  <c r="B1926" i="1"/>
  <c r="B1927" i="1"/>
  <c r="B1928" i="1"/>
  <c r="B1929" i="1"/>
  <c r="B1930" i="1"/>
  <c r="B1931" i="1"/>
  <c r="B1932" i="1"/>
  <c r="B1933" i="1"/>
  <c r="B1934" i="1"/>
  <c r="B1935" i="1"/>
  <c r="B1936" i="1"/>
  <c r="B1937" i="1"/>
  <c r="B1938" i="1"/>
  <c r="B1939" i="1"/>
  <c r="B1940" i="1"/>
  <c r="B1941" i="1"/>
  <c r="B1942" i="1"/>
  <c r="B1943" i="1"/>
  <c r="B1944" i="1"/>
  <c r="B1945" i="1"/>
  <c r="B1946" i="1"/>
  <c r="B1947" i="1"/>
  <c r="B1948" i="1"/>
  <c r="B1949" i="1"/>
  <c r="B1950" i="1"/>
  <c r="B1951" i="1"/>
  <c r="B1952" i="1"/>
  <c r="B1953" i="1"/>
  <c r="B1954" i="1"/>
  <c r="B1955" i="1"/>
  <c r="B1956" i="1"/>
  <c r="B1957" i="1"/>
  <c r="B1958" i="1"/>
  <c r="B1959" i="1"/>
  <c r="B1960" i="1"/>
  <c r="B1961" i="1"/>
  <c r="B1962" i="1"/>
  <c r="B1963" i="1"/>
  <c r="B1964" i="1"/>
  <c r="B1965" i="1"/>
  <c r="B1966" i="1"/>
  <c r="B1967" i="1"/>
  <c r="B1968" i="1"/>
  <c r="B1969" i="1"/>
  <c r="B1970" i="1"/>
  <c r="B1971" i="1"/>
  <c r="B1972" i="1"/>
  <c r="B1973" i="1"/>
  <c r="B1974" i="1"/>
  <c r="B1975" i="1"/>
  <c r="B1976" i="1"/>
  <c r="B1977" i="1"/>
  <c r="B1978" i="1"/>
  <c r="B1979" i="1"/>
  <c r="B1980" i="1"/>
  <c r="B1981" i="1"/>
  <c r="B1982" i="1"/>
  <c r="B1983" i="1"/>
  <c r="B1984" i="1"/>
  <c r="B1985" i="1"/>
  <c r="B1986" i="1"/>
  <c r="B1987" i="1"/>
  <c r="B1988" i="1"/>
  <c r="B1989" i="1"/>
  <c r="B1990" i="1"/>
  <c r="B1991" i="1"/>
  <c r="B1992" i="1"/>
  <c r="B1993" i="1"/>
  <c r="B1994" i="1"/>
  <c r="B1995" i="1"/>
  <c r="B1996" i="1"/>
  <c r="B1997" i="1"/>
  <c r="B1998" i="1"/>
  <c r="B1999" i="1"/>
  <c r="B2000" i="1"/>
  <c r="B2001" i="1"/>
  <c r="B2002" i="1"/>
  <c r="B2003" i="1"/>
  <c r="B2004" i="1"/>
  <c r="B2005" i="1"/>
  <c r="B2006" i="1"/>
  <c r="B2007" i="1"/>
  <c r="B2008" i="1"/>
  <c r="B2009" i="1"/>
  <c r="B2010" i="1"/>
  <c r="B2011" i="1"/>
  <c r="B2012" i="1"/>
  <c r="B2013" i="1"/>
  <c r="B2014" i="1"/>
  <c r="B2015" i="1"/>
  <c r="B2016" i="1"/>
  <c r="B2017" i="1"/>
  <c r="B2018" i="1"/>
  <c r="B2019" i="1"/>
  <c r="B2020" i="1"/>
  <c r="B2021" i="1"/>
  <c r="B2022" i="1"/>
  <c r="B2023" i="1"/>
  <c r="B2024" i="1"/>
  <c r="B2025" i="1"/>
  <c r="B2026" i="1"/>
  <c r="B2027" i="1"/>
  <c r="B2028" i="1"/>
  <c r="B2029" i="1"/>
  <c r="B2030" i="1"/>
  <c r="B2031" i="1"/>
  <c r="B2032" i="1"/>
  <c r="B2033" i="1"/>
  <c r="B2034" i="1"/>
  <c r="B2035" i="1"/>
  <c r="B2036" i="1"/>
  <c r="B2037" i="1"/>
  <c r="B2038" i="1"/>
  <c r="B2039" i="1"/>
  <c r="B2040" i="1"/>
  <c r="B2041" i="1"/>
  <c r="B2042" i="1"/>
  <c r="B2043" i="1"/>
  <c r="B2044" i="1"/>
  <c r="B2045" i="1"/>
  <c r="B2046" i="1"/>
  <c r="B2047" i="1"/>
  <c r="B2048" i="1"/>
  <c r="B2049" i="1"/>
  <c r="B2050" i="1"/>
  <c r="B2051" i="1"/>
  <c r="B2052" i="1"/>
  <c r="B2053" i="1"/>
  <c r="B2054" i="1"/>
  <c r="B2055" i="1"/>
  <c r="B2056" i="1"/>
  <c r="B2057" i="1"/>
  <c r="B2058" i="1"/>
  <c r="B2059" i="1"/>
  <c r="B2060" i="1"/>
  <c r="B2061" i="1"/>
  <c r="B2062" i="1"/>
  <c r="B2063" i="1"/>
  <c r="B2064" i="1"/>
  <c r="B2065" i="1"/>
  <c r="B2066" i="1"/>
  <c r="B2067" i="1"/>
  <c r="B2068" i="1"/>
  <c r="B2069" i="1"/>
  <c r="B2070" i="1"/>
  <c r="B2071" i="1"/>
  <c r="B2072" i="1"/>
  <c r="B2073" i="1"/>
  <c r="B2074" i="1"/>
  <c r="B2075" i="1"/>
  <c r="B2076" i="1"/>
  <c r="B2077" i="1"/>
  <c r="B2078" i="1"/>
  <c r="B2079" i="1"/>
  <c r="B2080" i="1"/>
  <c r="B2081" i="1"/>
  <c r="B2082" i="1"/>
  <c r="B2083" i="1"/>
  <c r="B2084" i="1"/>
  <c r="B2085" i="1"/>
  <c r="B2086" i="1"/>
  <c r="B2087" i="1"/>
  <c r="B2088" i="1"/>
  <c r="B2089" i="1"/>
  <c r="B2090" i="1"/>
  <c r="B2091" i="1"/>
  <c r="B2092" i="1"/>
  <c r="B2093" i="1"/>
  <c r="B2094" i="1"/>
  <c r="B2095" i="1"/>
  <c r="B2096" i="1"/>
  <c r="B2097" i="1"/>
  <c r="B2098" i="1"/>
  <c r="B2099" i="1"/>
  <c r="B2100" i="1"/>
  <c r="B2101" i="1"/>
  <c r="B2102" i="1"/>
  <c r="B2103" i="1"/>
  <c r="B2104" i="1"/>
  <c r="B2105" i="1"/>
  <c r="B2106" i="1"/>
  <c r="B2107" i="1"/>
  <c r="B2108" i="1"/>
  <c r="B2109" i="1"/>
  <c r="B2110" i="1"/>
  <c r="B2111" i="1"/>
  <c r="B2112" i="1"/>
  <c r="B2113" i="1"/>
  <c r="B2114" i="1"/>
  <c r="B2115" i="1"/>
  <c r="B2116" i="1"/>
  <c r="B2117" i="1"/>
  <c r="B2118" i="1"/>
  <c r="B2119" i="1"/>
  <c r="B2120" i="1"/>
  <c r="B2121" i="1"/>
  <c r="B2122" i="1"/>
  <c r="B2123" i="1"/>
  <c r="B2124" i="1"/>
  <c r="B2125" i="1"/>
  <c r="B2126" i="1"/>
  <c r="B2127" i="1"/>
  <c r="B2128" i="1"/>
  <c r="B2129" i="1"/>
  <c r="B2130" i="1"/>
  <c r="B2131" i="1"/>
  <c r="B2132" i="1"/>
  <c r="B2133" i="1"/>
  <c r="B2134" i="1"/>
  <c r="B2135" i="1"/>
  <c r="B2136" i="1"/>
  <c r="B2137" i="1"/>
  <c r="B2138" i="1"/>
  <c r="B2139" i="1"/>
  <c r="B2140" i="1"/>
  <c r="B2141" i="1"/>
  <c r="B2142" i="1"/>
  <c r="B2143" i="1"/>
  <c r="B2144" i="1"/>
  <c r="B2145" i="1"/>
  <c r="B2146" i="1"/>
  <c r="B2147" i="1"/>
  <c r="B2148" i="1"/>
  <c r="B2149" i="1"/>
  <c r="B2150" i="1"/>
  <c r="B2151" i="1"/>
  <c r="B2152" i="1"/>
  <c r="B2153" i="1"/>
  <c r="B2154" i="1"/>
  <c r="B2155" i="1"/>
  <c r="B2156" i="1"/>
  <c r="B2157" i="1"/>
  <c r="B2158" i="1"/>
  <c r="B2159" i="1"/>
  <c r="B2160" i="1"/>
  <c r="B2161" i="1"/>
  <c r="B2162" i="1"/>
  <c r="B2163" i="1"/>
  <c r="B2164" i="1"/>
  <c r="B2165" i="1"/>
  <c r="B2166" i="1"/>
  <c r="B2167" i="1"/>
  <c r="B2168" i="1"/>
  <c r="B2169" i="1"/>
  <c r="B2170" i="1"/>
  <c r="B2171" i="1"/>
  <c r="B2172" i="1"/>
  <c r="B2173" i="1"/>
  <c r="B2174" i="1"/>
  <c r="B2175" i="1"/>
  <c r="B2176" i="1"/>
  <c r="B2177" i="1"/>
  <c r="B2178" i="1"/>
  <c r="B2179" i="1"/>
  <c r="B2180" i="1"/>
  <c r="B2181" i="1"/>
  <c r="B2182" i="1"/>
  <c r="B2183" i="1"/>
  <c r="B2184" i="1"/>
  <c r="B2185" i="1"/>
  <c r="B2186" i="1"/>
  <c r="B2187" i="1"/>
  <c r="B2188" i="1"/>
  <c r="B2189" i="1"/>
  <c r="B2190" i="1"/>
  <c r="B2191" i="1"/>
  <c r="B2192" i="1"/>
  <c r="B2193" i="1"/>
  <c r="B2194" i="1"/>
  <c r="B2195" i="1"/>
  <c r="B2196" i="1"/>
  <c r="B2197" i="1"/>
  <c r="B2198" i="1"/>
  <c r="B2199" i="1"/>
  <c r="B2200" i="1"/>
  <c r="B2201" i="1"/>
  <c r="B2202" i="1"/>
  <c r="B2203" i="1"/>
  <c r="B2204" i="1"/>
  <c r="B2205" i="1"/>
  <c r="B2206" i="1"/>
  <c r="B2207" i="1"/>
  <c r="B2208" i="1"/>
  <c r="B2209" i="1"/>
  <c r="B2210" i="1"/>
  <c r="B2211" i="1"/>
  <c r="B2212" i="1"/>
  <c r="B2213" i="1"/>
  <c r="B2214" i="1"/>
  <c r="B2215" i="1"/>
  <c r="B2216" i="1"/>
  <c r="B2217" i="1"/>
  <c r="B2218" i="1"/>
  <c r="B2219" i="1"/>
  <c r="B2220" i="1"/>
  <c r="B2221" i="1"/>
  <c r="B2222" i="1"/>
  <c r="B2223" i="1"/>
  <c r="B2224" i="1"/>
  <c r="B2225" i="1"/>
  <c r="B2226" i="1"/>
  <c r="B2227" i="1"/>
  <c r="B2228" i="1"/>
  <c r="B2229" i="1"/>
  <c r="B2230" i="1"/>
  <c r="B2231" i="1"/>
  <c r="B2232" i="1"/>
  <c r="B2233" i="1"/>
  <c r="B2234" i="1"/>
  <c r="B2235" i="1"/>
  <c r="B2236" i="1"/>
  <c r="B2237" i="1"/>
  <c r="B2238" i="1"/>
  <c r="B2239" i="1"/>
  <c r="B2240" i="1"/>
  <c r="B2241" i="1"/>
  <c r="B2242" i="1"/>
  <c r="B2243" i="1"/>
  <c r="B2244" i="1"/>
  <c r="B2245" i="1"/>
  <c r="B2246" i="1"/>
  <c r="B2247" i="1"/>
  <c r="B2248" i="1"/>
  <c r="B2249" i="1"/>
  <c r="B2250" i="1"/>
  <c r="B2251" i="1"/>
  <c r="B2252" i="1"/>
  <c r="B2253" i="1"/>
  <c r="B2254" i="1"/>
  <c r="B2255" i="1"/>
  <c r="B2256" i="1"/>
  <c r="B2257" i="1"/>
  <c r="B2258" i="1"/>
  <c r="B2259" i="1"/>
  <c r="B2260" i="1"/>
  <c r="B2261" i="1"/>
  <c r="B2262" i="1"/>
  <c r="B2263" i="1"/>
  <c r="B2264" i="1"/>
  <c r="B2265" i="1"/>
  <c r="B2266" i="1"/>
  <c r="B2267" i="1"/>
  <c r="B2268" i="1"/>
  <c r="B2269" i="1"/>
  <c r="B2270" i="1"/>
  <c r="B2271" i="1"/>
  <c r="B2272" i="1"/>
  <c r="B2273" i="1"/>
  <c r="B2274" i="1"/>
  <c r="B2275" i="1"/>
  <c r="B2276" i="1"/>
  <c r="B2277" i="1"/>
  <c r="B2278" i="1"/>
  <c r="B2279" i="1"/>
  <c r="B2280" i="1"/>
  <c r="B2281" i="1"/>
  <c r="B2282" i="1"/>
  <c r="B2283" i="1"/>
  <c r="B2284" i="1"/>
  <c r="B2285" i="1"/>
  <c r="B2286" i="1"/>
  <c r="B2287" i="1"/>
  <c r="B2288" i="1"/>
  <c r="B2289" i="1"/>
  <c r="B2290" i="1"/>
  <c r="B2291" i="1"/>
  <c r="B2292" i="1"/>
  <c r="B2293" i="1"/>
  <c r="B2294" i="1"/>
  <c r="B2295" i="1"/>
  <c r="B2296" i="1"/>
  <c r="B2297" i="1"/>
  <c r="B2298" i="1"/>
  <c r="B2299" i="1"/>
  <c r="B2300" i="1"/>
  <c r="B2301" i="1"/>
  <c r="B2302" i="1"/>
  <c r="B2303" i="1"/>
  <c r="B2304" i="1"/>
  <c r="B2305" i="1"/>
  <c r="B2306" i="1"/>
  <c r="B2307" i="1"/>
  <c r="B2308" i="1"/>
  <c r="B2309" i="1"/>
  <c r="B2310" i="1"/>
  <c r="B2311" i="1"/>
  <c r="B2312" i="1"/>
  <c r="B2313" i="1"/>
  <c r="B2314" i="1"/>
  <c r="B2315" i="1"/>
  <c r="B2316" i="1"/>
  <c r="B2317" i="1"/>
  <c r="B2318" i="1"/>
  <c r="B2319" i="1"/>
  <c r="B2320" i="1"/>
  <c r="B2321" i="1"/>
  <c r="B2322" i="1"/>
  <c r="B2323" i="1"/>
  <c r="B2324" i="1"/>
  <c r="B2325" i="1"/>
  <c r="B2326" i="1"/>
  <c r="B2327" i="1"/>
  <c r="B2328" i="1"/>
  <c r="B2329" i="1"/>
  <c r="B2330" i="1"/>
  <c r="B2331" i="1"/>
  <c r="B2332" i="1"/>
  <c r="B2333" i="1"/>
  <c r="B2334" i="1"/>
  <c r="B2335" i="1"/>
  <c r="B2336" i="1"/>
  <c r="B2337" i="1"/>
  <c r="B2338" i="1"/>
  <c r="B2339" i="1"/>
  <c r="B2340" i="1"/>
  <c r="B2341" i="1"/>
  <c r="B2342" i="1"/>
  <c r="B2343" i="1"/>
  <c r="B2344" i="1"/>
  <c r="B2345" i="1"/>
  <c r="B2346" i="1"/>
  <c r="B2347" i="1"/>
  <c r="B2348" i="1"/>
  <c r="B2349" i="1"/>
  <c r="B2350" i="1"/>
  <c r="B2351" i="1"/>
  <c r="B2352" i="1"/>
  <c r="B2353" i="1"/>
  <c r="B2354" i="1"/>
  <c r="B2355" i="1"/>
  <c r="B2356" i="1"/>
  <c r="B2357" i="1"/>
  <c r="B2358" i="1"/>
  <c r="B2359" i="1"/>
  <c r="B2360" i="1"/>
  <c r="B2361" i="1"/>
  <c r="B2362" i="1"/>
  <c r="B2363" i="1"/>
  <c r="B2364" i="1"/>
  <c r="B2365" i="1"/>
  <c r="B2366" i="1"/>
  <c r="B2367" i="1"/>
  <c r="B2368" i="1"/>
  <c r="B2369" i="1"/>
  <c r="B2370" i="1"/>
  <c r="B2371" i="1"/>
  <c r="B2372" i="1"/>
  <c r="B2373" i="1"/>
  <c r="B2374" i="1"/>
  <c r="B2375" i="1"/>
  <c r="B2376" i="1"/>
  <c r="B2377" i="1"/>
  <c r="B2378" i="1"/>
  <c r="B2379" i="1"/>
  <c r="B2380" i="1"/>
  <c r="B2381" i="1"/>
  <c r="B2382" i="1"/>
  <c r="B2383" i="1"/>
  <c r="B2384" i="1"/>
  <c r="B2385" i="1"/>
  <c r="B2386" i="1"/>
  <c r="B2387" i="1"/>
  <c r="B2388" i="1"/>
  <c r="B2389" i="1"/>
  <c r="B2390" i="1"/>
  <c r="B2391" i="1"/>
  <c r="B2392" i="1"/>
  <c r="B2393" i="1"/>
  <c r="B2394" i="1"/>
  <c r="B2395" i="1"/>
  <c r="B2396" i="1"/>
  <c r="B2397" i="1"/>
  <c r="B2398" i="1"/>
  <c r="B2399" i="1"/>
  <c r="B2400" i="1"/>
  <c r="B2401" i="1"/>
  <c r="B2402" i="1"/>
  <c r="B2403" i="1"/>
  <c r="B2404" i="1"/>
  <c r="B2405" i="1"/>
  <c r="B2406" i="1"/>
  <c r="B2407" i="1"/>
  <c r="B2408" i="1"/>
  <c r="B2409" i="1"/>
  <c r="B2410" i="1"/>
  <c r="B2411" i="1"/>
  <c r="B2412" i="1"/>
  <c r="B2413" i="1"/>
  <c r="B2414" i="1"/>
  <c r="B2415" i="1"/>
  <c r="B2416" i="1"/>
  <c r="B2417" i="1"/>
  <c r="B2418" i="1"/>
  <c r="B2419" i="1"/>
  <c r="B2420" i="1"/>
  <c r="B2421" i="1"/>
  <c r="B2422" i="1"/>
  <c r="B2423" i="1"/>
  <c r="B2424" i="1"/>
  <c r="B2425" i="1"/>
  <c r="B2426" i="1"/>
  <c r="B2427" i="1"/>
  <c r="B2428" i="1"/>
  <c r="B2429" i="1"/>
  <c r="B2430" i="1"/>
  <c r="B2431" i="1"/>
  <c r="B2432" i="1"/>
  <c r="B2433" i="1"/>
  <c r="B2434" i="1"/>
  <c r="B2435" i="1"/>
  <c r="B2436" i="1"/>
  <c r="B2437" i="1"/>
  <c r="B2438" i="1"/>
  <c r="B2439" i="1"/>
  <c r="B2440" i="1"/>
  <c r="B2441" i="1"/>
  <c r="B2442" i="1"/>
  <c r="B2443" i="1"/>
  <c r="B2444" i="1"/>
  <c r="B2445" i="1"/>
  <c r="B2446" i="1"/>
  <c r="B2447" i="1"/>
  <c r="B2448" i="1"/>
  <c r="B2449" i="1"/>
  <c r="B2450" i="1"/>
  <c r="B2451" i="1"/>
  <c r="B2452" i="1"/>
  <c r="B2453" i="1"/>
  <c r="B2454" i="1"/>
  <c r="B2455" i="1"/>
  <c r="B2456" i="1"/>
  <c r="B2457" i="1"/>
  <c r="B2458" i="1"/>
  <c r="B2459" i="1"/>
  <c r="B2460" i="1"/>
  <c r="B2461" i="1"/>
  <c r="B2462" i="1"/>
  <c r="B2463" i="1"/>
  <c r="B2464" i="1"/>
  <c r="B2465" i="1"/>
  <c r="B2466" i="1"/>
  <c r="B2467" i="1"/>
  <c r="B2468" i="1"/>
  <c r="B2469" i="1"/>
  <c r="B2470" i="1"/>
  <c r="B2471" i="1"/>
  <c r="B2472" i="1"/>
  <c r="B2473" i="1"/>
  <c r="B2474" i="1"/>
  <c r="B2475" i="1"/>
  <c r="B2476" i="1"/>
  <c r="B2477" i="1"/>
  <c r="B2478" i="1"/>
  <c r="B2479" i="1"/>
  <c r="B2480" i="1"/>
  <c r="B2481" i="1"/>
  <c r="B2482" i="1"/>
  <c r="B2483" i="1"/>
  <c r="B2484" i="1"/>
  <c r="B2485" i="1"/>
  <c r="B2486" i="1"/>
  <c r="B2487" i="1"/>
  <c r="B2488" i="1"/>
  <c r="B2489" i="1"/>
  <c r="B2490" i="1"/>
  <c r="B2491" i="1"/>
  <c r="B2492" i="1"/>
  <c r="B2493" i="1"/>
  <c r="B2494" i="1"/>
  <c r="B2495" i="1"/>
  <c r="B2496" i="1"/>
  <c r="B2497" i="1"/>
  <c r="B2498" i="1"/>
  <c r="B2499" i="1"/>
  <c r="B2500" i="1"/>
  <c r="B2501" i="1"/>
  <c r="B2502" i="1"/>
  <c r="B2503" i="1"/>
  <c r="B2504" i="1"/>
  <c r="B2505" i="1"/>
  <c r="B2506" i="1"/>
  <c r="B2507" i="1"/>
  <c r="B2508" i="1"/>
  <c r="B2509" i="1"/>
  <c r="B2510" i="1"/>
  <c r="B2511" i="1"/>
  <c r="B2512" i="1"/>
  <c r="B2513" i="1"/>
  <c r="B2514" i="1"/>
  <c r="B2515" i="1"/>
  <c r="B2516" i="1"/>
  <c r="B2517" i="1"/>
  <c r="B2518" i="1"/>
  <c r="B2519" i="1"/>
  <c r="B2520" i="1"/>
  <c r="B2521" i="1"/>
  <c r="B2522" i="1"/>
  <c r="B2523" i="1"/>
  <c r="B2524" i="1"/>
  <c r="B2525" i="1"/>
  <c r="B2526" i="1"/>
  <c r="B2527" i="1"/>
  <c r="B2528" i="1"/>
  <c r="B2529" i="1"/>
  <c r="B2530" i="1"/>
  <c r="B2531" i="1"/>
  <c r="B2532" i="1"/>
  <c r="B2533" i="1"/>
  <c r="B2534" i="1"/>
  <c r="B2535" i="1"/>
  <c r="B2536" i="1"/>
  <c r="B2537" i="1"/>
  <c r="B2538" i="1"/>
  <c r="B2539" i="1"/>
  <c r="B2540" i="1"/>
  <c r="B2541" i="1"/>
  <c r="B2542" i="1"/>
  <c r="B2543" i="1"/>
  <c r="B2544" i="1"/>
  <c r="B2545" i="1"/>
  <c r="B2546" i="1"/>
  <c r="B2547" i="1"/>
  <c r="B2548" i="1"/>
  <c r="B2549" i="1"/>
  <c r="B2550" i="1"/>
  <c r="B2551" i="1"/>
  <c r="B2552" i="1"/>
  <c r="B2553" i="1"/>
  <c r="B2554" i="1"/>
  <c r="B2555" i="1"/>
  <c r="B2556" i="1"/>
  <c r="B2557" i="1"/>
  <c r="B2558" i="1"/>
  <c r="B2559" i="1"/>
  <c r="B2560" i="1"/>
  <c r="B2561" i="1"/>
  <c r="B2562" i="1"/>
  <c r="B2563" i="1"/>
  <c r="B2564" i="1"/>
  <c r="B2565" i="1"/>
  <c r="B2566" i="1"/>
  <c r="B2567" i="1"/>
  <c r="B2568" i="1"/>
  <c r="B2569" i="1"/>
  <c r="B2570" i="1"/>
  <c r="B2571" i="1"/>
  <c r="B2572" i="1"/>
  <c r="B2573" i="1"/>
  <c r="B2574" i="1"/>
  <c r="B2575" i="1"/>
  <c r="B2576" i="1"/>
  <c r="B2577" i="1"/>
  <c r="B2578" i="1"/>
  <c r="B2579" i="1"/>
  <c r="B2580" i="1"/>
  <c r="B2581" i="1"/>
  <c r="B2582" i="1"/>
  <c r="B2583" i="1"/>
  <c r="B2584" i="1"/>
  <c r="B2585" i="1"/>
  <c r="B2586" i="1"/>
  <c r="B2587" i="1"/>
  <c r="B2588" i="1"/>
  <c r="B2589" i="1"/>
  <c r="B2590" i="1"/>
  <c r="B2591" i="1"/>
  <c r="B2592" i="1"/>
  <c r="B2593" i="1"/>
  <c r="B2594" i="1"/>
  <c r="B2595" i="1"/>
  <c r="B2596" i="1"/>
  <c r="B2597" i="1"/>
  <c r="B2598" i="1"/>
  <c r="B2599" i="1"/>
  <c r="B2600" i="1"/>
  <c r="B2601" i="1"/>
  <c r="B2602" i="1"/>
  <c r="B2603" i="1"/>
  <c r="B2604" i="1"/>
  <c r="B2605" i="1"/>
  <c r="B2606" i="1"/>
  <c r="B2607" i="1"/>
  <c r="B2608" i="1"/>
  <c r="B2609" i="1"/>
  <c r="B2610" i="1"/>
  <c r="B2611" i="1"/>
  <c r="B2612" i="1"/>
  <c r="B2613" i="1"/>
  <c r="B2614" i="1"/>
  <c r="B2615" i="1"/>
  <c r="B2616" i="1"/>
  <c r="B2617" i="1"/>
  <c r="B2618" i="1"/>
  <c r="B2619" i="1"/>
  <c r="B2620" i="1"/>
  <c r="B2621" i="1"/>
  <c r="B2622" i="1"/>
  <c r="B2623" i="1"/>
  <c r="B2624" i="1"/>
  <c r="B2625" i="1"/>
  <c r="B2626" i="1"/>
  <c r="B2627" i="1"/>
  <c r="B2628" i="1"/>
  <c r="B2629" i="1"/>
  <c r="B2630" i="1"/>
  <c r="B2631" i="1"/>
  <c r="B2632" i="1"/>
  <c r="B2633" i="1"/>
  <c r="B2634" i="1"/>
  <c r="B2635" i="1"/>
  <c r="B2636" i="1"/>
  <c r="B2637" i="1"/>
  <c r="B2638" i="1"/>
  <c r="B2639" i="1"/>
  <c r="B2640" i="1"/>
  <c r="B2641" i="1"/>
  <c r="B2642" i="1"/>
  <c r="B2643" i="1"/>
  <c r="B2644" i="1"/>
  <c r="B2645" i="1"/>
  <c r="B2646" i="1"/>
  <c r="B2647" i="1"/>
  <c r="B2648" i="1"/>
  <c r="B2649" i="1"/>
  <c r="B2650" i="1"/>
  <c r="B2651" i="1"/>
  <c r="B2652" i="1"/>
  <c r="B2653" i="1"/>
  <c r="B2654" i="1"/>
  <c r="B2655" i="1"/>
  <c r="B2656" i="1"/>
  <c r="B2657" i="1"/>
  <c r="B2658" i="1"/>
  <c r="B2659" i="1"/>
  <c r="B2660" i="1"/>
  <c r="B2661" i="1"/>
  <c r="B2662" i="1"/>
  <c r="B2663" i="1"/>
  <c r="B2664" i="1"/>
  <c r="B2665" i="1"/>
  <c r="B2666" i="1"/>
  <c r="B2667" i="1"/>
  <c r="B2668" i="1"/>
  <c r="B2669" i="1"/>
  <c r="B2670" i="1"/>
  <c r="B2671" i="1"/>
  <c r="B2672" i="1"/>
  <c r="B2673" i="1"/>
  <c r="B2674" i="1"/>
  <c r="B2675" i="1"/>
  <c r="B2676" i="1"/>
  <c r="B2677" i="1"/>
  <c r="B2678" i="1"/>
  <c r="B2679" i="1"/>
  <c r="B2680" i="1"/>
  <c r="B2681" i="1"/>
  <c r="B2682" i="1"/>
  <c r="B2683" i="1"/>
  <c r="B2684" i="1"/>
  <c r="B2685" i="1"/>
  <c r="B2686" i="1"/>
  <c r="B2687" i="1"/>
  <c r="B2688" i="1"/>
  <c r="B2689" i="1"/>
  <c r="B2690" i="1"/>
  <c r="B2691" i="1"/>
  <c r="B2692" i="1"/>
  <c r="B2693" i="1"/>
  <c r="B2694" i="1"/>
  <c r="B2695" i="1"/>
  <c r="B2696" i="1"/>
  <c r="B2697" i="1"/>
  <c r="B2698" i="1"/>
  <c r="B2699" i="1"/>
  <c r="B2700" i="1"/>
  <c r="B2701" i="1"/>
  <c r="B2702" i="1"/>
  <c r="B2703" i="1"/>
  <c r="B2704" i="1"/>
  <c r="B2705" i="1"/>
  <c r="B2706" i="1"/>
  <c r="B2707" i="1"/>
  <c r="B2708" i="1"/>
  <c r="B2709" i="1"/>
  <c r="B2710" i="1"/>
  <c r="B2711" i="1"/>
  <c r="B2712" i="1"/>
  <c r="B2713" i="1"/>
  <c r="B2714" i="1"/>
  <c r="B2715" i="1"/>
  <c r="B2716" i="1"/>
  <c r="B2717" i="1"/>
  <c r="B2718" i="1"/>
  <c r="B2719" i="1"/>
  <c r="B2720" i="1"/>
  <c r="B2721" i="1"/>
  <c r="B2722" i="1"/>
  <c r="B2723" i="1"/>
  <c r="B2724" i="1"/>
  <c r="B2725" i="1"/>
  <c r="B2726" i="1"/>
  <c r="B2727" i="1"/>
  <c r="B2728" i="1"/>
  <c r="B2729" i="1"/>
  <c r="B2730" i="1"/>
  <c r="B2731" i="1"/>
  <c r="B2732" i="1"/>
  <c r="B2733" i="1"/>
  <c r="B2734" i="1"/>
  <c r="B2735" i="1"/>
  <c r="B2736" i="1"/>
  <c r="B2737" i="1"/>
  <c r="B2738" i="1"/>
  <c r="B2739" i="1"/>
  <c r="B2740" i="1"/>
  <c r="B2741" i="1"/>
  <c r="B2742" i="1"/>
  <c r="B2743" i="1"/>
  <c r="B2744" i="1"/>
  <c r="B2745" i="1"/>
  <c r="B2746" i="1"/>
  <c r="B2747" i="1"/>
  <c r="B2748" i="1"/>
  <c r="B2749" i="1"/>
  <c r="B2750" i="1"/>
  <c r="B2751" i="1"/>
  <c r="B2752" i="1"/>
  <c r="B2753" i="1"/>
  <c r="B2754" i="1"/>
  <c r="B2755" i="1"/>
  <c r="B2756" i="1"/>
  <c r="B2757" i="1"/>
  <c r="B2758" i="1"/>
  <c r="B2759" i="1"/>
  <c r="B2760" i="1"/>
  <c r="B2761" i="1"/>
  <c r="B2762" i="1"/>
  <c r="B2763" i="1"/>
  <c r="B2764" i="1"/>
  <c r="B2765" i="1"/>
  <c r="B2766" i="1"/>
  <c r="B2767" i="1"/>
  <c r="B2768" i="1"/>
  <c r="B2769" i="1"/>
  <c r="B2770" i="1"/>
  <c r="B2771" i="1"/>
  <c r="B2772" i="1"/>
  <c r="B2773" i="1"/>
  <c r="B2774" i="1"/>
  <c r="B2775" i="1"/>
  <c r="B2776" i="1"/>
  <c r="B2777" i="1"/>
  <c r="B2778" i="1"/>
  <c r="B2779" i="1"/>
  <c r="B2780" i="1"/>
  <c r="B2781" i="1"/>
  <c r="B2782" i="1"/>
  <c r="B2783" i="1"/>
  <c r="B2784" i="1"/>
  <c r="B2785" i="1"/>
  <c r="B2786" i="1"/>
  <c r="B2787" i="1"/>
  <c r="B2788" i="1"/>
  <c r="B2789" i="1"/>
  <c r="B2790" i="1"/>
  <c r="B2791" i="1"/>
  <c r="B2792" i="1"/>
  <c r="B2793" i="1"/>
  <c r="B2794" i="1"/>
  <c r="B2795" i="1"/>
  <c r="B2796" i="1"/>
  <c r="B2797" i="1"/>
  <c r="B2798" i="1"/>
  <c r="B2799" i="1"/>
  <c r="B2800" i="1"/>
  <c r="B2801" i="1"/>
  <c r="B2802" i="1"/>
  <c r="B2803" i="1"/>
  <c r="B2804" i="1"/>
  <c r="B2805" i="1"/>
  <c r="B2806" i="1"/>
  <c r="B2807" i="1"/>
  <c r="B2808" i="1"/>
  <c r="B2809" i="1"/>
  <c r="B2810" i="1"/>
  <c r="B2811" i="1"/>
  <c r="B2812" i="1"/>
  <c r="B2813" i="1"/>
  <c r="B2814" i="1"/>
  <c r="B2815" i="1"/>
  <c r="B2816" i="1"/>
  <c r="B2817" i="1"/>
  <c r="B2818" i="1"/>
  <c r="B2819" i="1"/>
  <c r="B2820" i="1"/>
  <c r="B2821" i="1"/>
  <c r="B2822" i="1"/>
  <c r="B2823" i="1"/>
  <c r="B2824" i="1"/>
  <c r="B2825" i="1"/>
  <c r="B2826" i="1"/>
  <c r="B2827" i="1"/>
  <c r="B2828" i="1"/>
  <c r="B2829" i="1"/>
  <c r="B2830" i="1"/>
  <c r="B2831" i="1"/>
  <c r="B2832" i="1"/>
  <c r="B2833" i="1"/>
  <c r="B2834" i="1"/>
  <c r="B2835" i="1"/>
  <c r="B2836" i="1"/>
  <c r="B2837" i="1"/>
  <c r="B2838" i="1"/>
  <c r="B2839" i="1"/>
  <c r="B2840" i="1"/>
  <c r="B2841" i="1"/>
  <c r="B2842" i="1"/>
  <c r="B2843" i="1"/>
  <c r="B2844" i="1"/>
  <c r="B2845" i="1"/>
  <c r="B2846" i="1"/>
  <c r="B2847" i="1"/>
  <c r="B2848" i="1"/>
  <c r="B2849" i="1"/>
  <c r="B2850" i="1"/>
  <c r="B2851" i="1"/>
  <c r="B2852" i="1"/>
  <c r="B2853" i="1"/>
  <c r="B2854" i="1"/>
  <c r="B2855" i="1"/>
  <c r="B2856" i="1"/>
  <c r="B2857" i="1"/>
  <c r="B2858" i="1"/>
  <c r="B2859" i="1"/>
  <c r="B2860" i="1"/>
  <c r="B2861" i="1"/>
  <c r="B2862" i="1"/>
  <c r="B2863" i="1"/>
  <c r="B2864" i="1"/>
  <c r="B2865" i="1"/>
  <c r="B2866" i="1"/>
  <c r="B2867" i="1"/>
  <c r="B2868" i="1"/>
  <c r="B2869" i="1"/>
  <c r="B2870" i="1"/>
  <c r="B2871" i="1"/>
  <c r="B2872" i="1"/>
  <c r="B2873" i="1"/>
  <c r="B2874" i="1"/>
  <c r="B2875" i="1"/>
  <c r="B2876" i="1"/>
  <c r="B2877" i="1"/>
  <c r="B2878" i="1"/>
  <c r="B2879" i="1"/>
  <c r="B2880" i="1"/>
  <c r="B2881" i="1"/>
  <c r="B2882" i="1"/>
  <c r="B2883" i="1"/>
  <c r="B2884" i="1"/>
  <c r="B2885" i="1"/>
  <c r="B2886" i="1"/>
  <c r="B2887" i="1"/>
  <c r="B2888" i="1"/>
  <c r="B2889" i="1"/>
  <c r="B2890" i="1"/>
  <c r="B2891" i="1"/>
  <c r="B2892" i="1"/>
  <c r="B2893" i="1"/>
  <c r="B2894" i="1"/>
  <c r="B2895" i="1"/>
  <c r="B2896" i="1"/>
  <c r="B2897" i="1"/>
  <c r="B2898" i="1"/>
  <c r="B2899" i="1"/>
  <c r="B2900" i="1"/>
  <c r="B2901" i="1"/>
  <c r="B2902" i="1"/>
  <c r="B2903" i="1"/>
  <c r="B2904" i="1"/>
  <c r="B2905" i="1"/>
  <c r="B2906" i="1"/>
  <c r="B2907" i="1"/>
  <c r="B2908" i="1"/>
  <c r="B2909" i="1"/>
  <c r="B2910" i="1"/>
  <c r="B2911" i="1"/>
  <c r="B2912" i="1"/>
  <c r="B2913" i="1"/>
  <c r="B2914" i="1"/>
  <c r="B2915" i="1"/>
  <c r="B2916" i="1"/>
  <c r="B2917" i="1"/>
  <c r="B2918" i="1"/>
  <c r="B2919" i="1"/>
  <c r="B2920" i="1"/>
  <c r="B2921" i="1"/>
  <c r="B2922" i="1"/>
  <c r="B2923" i="1"/>
  <c r="B2924" i="1"/>
  <c r="B2925" i="1"/>
  <c r="B2926" i="1"/>
  <c r="B2927" i="1"/>
  <c r="B2928" i="1"/>
  <c r="B2929" i="1"/>
  <c r="B2930" i="1"/>
  <c r="B2931" i="1"/>
  <c r="B2932" i="1"/>
  <c r="B2933" i="1"/>
  <c r="B2934" i="1"/>
  <c r="B2935" i="1"/>
  <c r="B2936" i="1"/>
  <c r="B2937" i="1"/>
  <c r="B2938" i="1"/>
  <c r="B2939" i="1"/>
  <c r="B2940" i="1"/>
  <c r="B2941" i="1"/>
  <c r="B2942" i="1"/>
  <c r="B2943" i="1"/>
  <c r="B2944" i="1"/>
  <c r="B2945" i="1"/>
  <c r="B2946" i="1"/>
  <c r="B2947" i="1"/>
  <c r="B2948" i="1"/>
  <c r="B2949" i="1"/>
  <c r="B2950" i="1"/>
  <c r="B2951" i="1"/>
  <c r="B2952" i="1"/>
  <c r="B2953" i="1"/>
  <c r="B2954" i="1"/>
  <c r="B2955" i="1"/>
  <c r="B2956" i="1"/>
  <c r="B2957" i="1"/>
  <c r="B2958" i="1"/>
  <c r="B2959" i="1"/>
  <c r="B2960" i="1"/>
  <c r="B2961" i="1"/>
  <c r="B2962" i="1"/>
  <c r="B2963" i="1"/>
  <c r="B2964" i="1"/>
  <c r="B2965" i="1"/>
  <c r="B2966" i="1"/>
  <c r="B2967" i="1"/>
  <c r="B2968" i="1"/>
  <c r="B2969" i="1"/>
  <c r="B2970" i="1"/>
  <c r="B2971" i="1"/>
  <c r="B2972" i="1"/>
  <c r="B2973" i="1"/>
  <c r="B2974" i="1"/>
  <c r="B2975" i="1"/>
  <c r="B2976" i="1"/>
  <c r="B2977" i="1"/>
  <c r="B2978" i="1"/>
  <c r="B2979" i="1"/>
  <c r="B2980" i="1"/>
  <c r="B2981" i="1"/>
  <c r="B2982" i="1"/>
  <c r="B2983" i="1"/>
  <c r="B2984" i="1"/>
  <c r="B2985" i="1"/>
  <c r="B2986" i="1"/>
  <c r="B2987" i="1"/>
  <c r="B2988" i="1"/>
  <c r="B2989" i="1"/>
  <c r="B2990" i="1"/>
  <c r="B2991" i="1"/>
  <c r="B2992" i="1"/>
  <c r="B2993" i="1"/>
  <c r="B2994" i="1"/>
  <c r="B2995" i="1"/>
  <c r="B2996" i="1"/>
  <c r="B2997" i="1"/>
  <c r="B2998" i="1"/>
  <c r="B2999" i="1"/>
  <c r="B3000" i="1"/>
  <c r="B3001" i="1"/>
  <c r="B3002" i="1"/>
  <c r="B3003" i="1"/>
  <c r="B3004" i="1"/>
  <c r="B3005" i="1"/>
  <c r="B3006" i="1"/>
  <c r="B3007" i="1"/>
  <c r="B3008" i="1"/>
  <c r="B3009" i="1"/>
  <c r="B3010" i="1"/>
  <c r="B3011" i="1"/>
  <c r="B3012" i="1"/>
  <c r="B3013" i="1"/>
  <c r="B3014" i="1"/>
  <c r="B3015" i="1"/>
  <c r="B3016" i="1"/>
  <c r="B3017" i="1"/>
  <c r="B3018" i="1"/>
  <c r="B3019" i="1"/>
  <c r="B3020" i="1"/>
  <c r="B3021" i="1"/>
  <c r="B3022" i="1"/>
  <c r="B3023" i="1"/>
  <c r="B3024" i="1"/>
  <c r="B3025" i="1"/>
  <c r="B3026" i="1"/>
  <c r="B3027" i="1"/>
  <c r="B3028" i="1"/>
  <c r="B3029" i="1"/>
  <c r="B3030" i="1"/>
  <c r="B3031" i="1"/>
  <c r="B3032" i="1"/>
  <c r="B3033" i="1"/>
  <c r="B3034" i="1"/>
  <c r="B3035" i="1"/>
  <c r="B3036" i="1"/>
  <c r="B3037" i="1"/>
  <c r="B3038" i="1"/>
  <c r="B3039" i="1"/>
  <c r="B3040" i="1"/>
  <c r="B3041" i="1"/>
  <c r="B3042" i="1"/>
  <c r="B3043" i="1"/>
  <c r="B3044" i="1"/>
  <c r="B3045" i="1"/>
  <c r="B3046" i="1"/>
  <c r="B3047" i="1"/>
  <c r="B3048" i="1"/>
  <c r="B3049" i="1"/>
  <c r="B3050" i="1"/>
  <c r="B3051" i="1"/>
  <c r="B3052" i="1"/>
  <c r="B3053" i="1"/>
  <c r="B3054" i="1"/>
  <c r="B3055" i="1"/>
  <c r="B3056" i="1"/>
  <c r="B3057" i="1"/>
  <c r="B3058" i="1"/>
  <c r="B3059" i="1"/>
  <c r="B3060" i="1"/>
  <c r="B3061" i="1"/>
  <c r="B3062" i="1"/>
  <c r="B3063" i="1"/>
  <c r="B3064" i="1"/>
  <c r="B3065" i="1"/>
  <c r="B3066" i="1"/>
  <c r="B3067" i="1"/>
  <c r="B3068" i="1"/>
  <c r="B3069" i="1"/>
  <c r="B3070" i="1"/>
  <c r="B3071" i="1"/>
  <c r="B3072" i="1"/>
  <c r="B3073" i="1"/>
  <c r="B3074" i="1"/>
  <c r="B3075" i="1"/>
  <c r="B3076" i="1"/>
  <c r="B3077" i="1"/>
  <c r="B3078" i="1"/>
  <c r="B3079" i="1"/>
  <c r="B3080" i="1"/>
  <c r="B3081" i="1"/>
  <c r="B3082" i="1"/>
  <c r="B3083" i="1"/>
  <c r="B3084" i="1"/>
  <c r="B3085" i="1"/>
  <c r="B3086" i="1"/>
  <c r="B3087" i="1"/>
  <c r="B3088" i="1"/>
  <c r="B3089" i="1"/>
  <c r="B3090" i="1"/>
  <c r="B3091" i="1"/>
  <c r="B3092" i="1"/>
  <c r="B3093" i="1"/>
  <c r="B3094" i="1"/>
  <c r="B3095" i="1"/>
  <c r="B3096" i="1"/>
  <c r="B3097" i="1"/>
  <c r="B3098" i="1"/>
  <c r="B3099" i="1"/>
  <c r="B3100" i="1"/>
  <c r="B3101" i="1"/>
  <c r="B3102" i="1"/>
  <c r="B3103" i="1"/>
  <c r="B3104" i="1"/>
  <c r="B3105" i="1"/>
  <c r="B3106" i="1"/>
  <c r="B3107" i="1"/>
  <c r="B3108" i="1"/>
  <c r="B3109" i="1"/>
  <c r="B3110" i="1"/>
  <c r="B3111" i="1"/>
  <c r="B3112" i="1"/>
  <c r="B3113" i="1"/>
  <c r="B3114" i="1"/>
  <c r="B3115" i="1"/>
  <c r="B3116" i="1"/>
  <c r="B3117" i="1"/>
  <c r="B3118" i="1"/>
  <c r="B3119" i="1"/>
  <c r="B3120" i="1"/>
  <c r="B3121" i="1"/>
  <c r="B3122" i="1"/>
  <c r="B3123" i="1"/>
  <c r="B3124" i="1"/>
  <c r="B3125" i="1"/>
  <c r="B3126" i="1"/>
  <c r="B3127" i="1"/>
  <c r="B3128" i="1"/>
  <c r="B3129" i="1"/>
  <c r="B3130" i="1"/>
  <c r="B3131" i="1"/>
  <c r="B3132" i="1"/>
  <c r="B3133" i="1"/>
  <c r="B3134" i="1"/>
  <c r="B3135" i="1"/>
  <c r="B3136" i="1"/>
  <c r="B3137" i="1"/>
  <c r="B3138" i="1"/>
  <c r="B3139" i="1"/>
  <c r="B3140" i="1"/>
  <c r="B3141" i="1"/>
  <c r="B3142" i="1"/>
  <c r="B3143" i="1"/>
  <c r="B3144" i="1"/>
  <c r="B3145" i="1"/>
  <c r="B3146" i="1"/>
  <c r="B3147" i="1"/>
  <c r="B3148" i="1"/>
  <c r="B3149" i="1"/>
  <c r="B3150" i="1"/>
  <c r="B3151" i="1"/>
  <c r="B3152" i="1"/>
  <c r="B3153" i="1"/>
  <c r="B3154" i="1"/>
  <c r="B3155" i="1"/>
  <c r="B3156" i="1"/>
  <c r="B3157" i="1"/>
  <c r="B3158" i="1"/>
  <c r="B3159" i="1"/>
  <c r="B3160" i="1"/>
  <c r="B3161" i="1"/>
  <c r="B3162" i="1"/>
  <c r="B3163" i="1"/>
  <c r="B3164" i="1"/>
  <c r="B3165" i="1"/>
  <c r="B3166" i="1"/>
  <c r="B3167" i="1"/>
  <c r="B3168" i="1"/>
  <c r="B3169" i="1"/>
  <c r="B3170" i="1"/>
  <c r="B3171" i="1"/>
  <c r="B3172" i="1"/>
  <c r="B3173" i="1"/>
  <c r="B3174" i="1"/>
  <c r="B3175" i="1"/>
  <c r="B3176" i="1"/>
  <c r="B3177" i="1"/>
  <c r="B3178" i="1"/>
  <c r="B3179" i="1"/>
  <c r="B3180" i="1"/>
  <c r="B3181" i="1"/>
  <c r="B3182" i="1"/>
  <c r="B3183" i="1"/>
  <c r="B3184" i="1"/>
  <c r="B3185" i="1"/>
  <c r="B3186" i="1"/>
  <c r="B3187" i="1"/>
  <c r="B3188" i="1"/>
  <c r="B3189" i="1"/>
  <c r="B3190" i="1"/>
  <c r="B3191" i="1"/>
  <c r="B3192" i="1"/>
  <c r="B3193" i="1"/>
  <c r="B3194" i="1"/>
  <c r="B3195" i="1"/>
  <c r="B3196" i="1"/>
  <c r="B3197" i="1"/>
  <c r="B3198" i="1"/>
  <c r="B3199" i="1"/>
  <c r="B3200" i="1"/>
  <c r="B3201" i="1"/>
  <c r="B3202" i="1"/>
  <c r="B3203" i="1"/>
  <c r="B3204" i="1"/>
  <c r="B3205" i="1"/>
  <c r="B3206" i="1"/>
  <c r="B3207" i="1"/>
  <c r="B3208" i="1"/>
  <c r="B3209" i="1"/>
  <c r="B3210" i="1"/>
  <c r="B3211" i="1"/>
  <c r="B3212" i="1"/>
  <c r="B3213" i="1"/>
  <c r="B3214" i="1"/>
  <c r="B3215" i="1"/>
  <c r="B3216" i="1"/>
  <c r="B3217" i="1"/>
  <c r="B3218" i="1"/>
  <c r="B3219" i="1"/>
  <c r="B3220" i="1"/>
  <c r="B3221" i="1"/>
  <c r="B3222" i="1"/>
  <c r="B3223" i="1"/>
  <c r="B3224" i="1"/>
  <c r="B3225" i="1"/>
  <c r="B3226" i="1"/>
  <c r="B3227" i="1"/>
  <c r="B3228" i="1"/>
  <c r="B3229" i="1"/>
  <c r="B3230" i="1"/>
  <c r="B3231" i="1"/>
  <c r="B3232" i="1"/>
  <c r="B3233" i="1"/>
  <c r="B3234" i="1"/>
  <c r="B3235" i="1"/>
  <c r="B3236" i="1"/>
  <c r="B3237" i="1"/>
  <c r="B3238" i="1"/>
  <c r="B3239" i="1"/>
  <c r="B3240" i="1"/>
  <c r="B3241" i="1"/>
  <c r="B3242" i="1"/>
  <c r="B3243" i="1"/>
  <c r="B3244" i="1"/>
  <c r="B3245" i="1"/>
  <c r="B3246" i="1"/>
  <c r="B3247" i="1"/>
  <c r="B3248" i="1"/>
  <c r="B3249" i="1"/>
  <c r="B3250" i="1"/>
  <c r="B3251" i="1"/>
  <c r="B3252" i="1"/>
  <c r="B3253" i="1"/>
  <c r="B3254" i="1"/>
  <c r="B3255" i="1"/>
  <c r="B3256" i="1"/>
  <c r="B3257" i="1"/>
  <c r="B3258" i="1"/>
  <c r="B3259" i="1"/>
  <c r="B3260" i="1"/>
  <c r="B3261" i="1"/>
  <c r="B3262" i="1"/>
  <c r="B3263" i="1"/>
  <c r="B3264" i="1"/>
  <c r="B3265" i="1"/>
  <c r="B3266" i="1"/>
  <c r="B3267" i="1"/>
  <c r="B3268" i="1"/>
  <c r="B3269" i="1"/>
  <c r="B3270" i="1"/>
  <c r="B3271" i="1"/>
  <c r="B3272" i="1"/>
  <c r="B3273" i="1"/>
  <c r="B3274" i="1"/>
  <c r="B3275" i="1"/>
  <c r="B3276" i="1"/>
  <c r="B3277" i="1"/>
  <c r="B3278" i="1"/>
  <c r="B3279" i="1"/>
  <c r="B3280" i="1"/>
  <c r="B3281" i="1"/>
  <c r="B3282" i="1"/>
  <c r="B3283" i="1"/>
  <c r="B3284" i="1"/>
  <c r="B3285" i="1"/>
  <c r="B3286" i="1"/>
  <c r="B3287" i="1"/>
  <c r="B3288" i="1"/>
  <c r="B3289" i="1"/>
  <c r="B3290" i="1"/>
  <c r="B3291" i="1"/>
  <c r="B3292" i="1"/>
  <c r="B3293" i="1"/>
  <c r="B3294" i="1"/>
  <c r="B3295" i="1"/>
  <c r="B3296" i="1"/>
  <c r="B3297" i="1"/>
  <c r="B3298" i="1"/>
  <c r="B3299" i="1"/>
  <c r="B3300" i="1"/>
  <c r="B3301" i="1"/>
  <c r="B3302" i="1"/>
  <c r="B3303" i="1"/>
  <c r="B3304" i="1"/>
  <c r="B3305" i="1"/>
  <c r="B3306" i="1"/>
  <c r="B3307" i="1"/>
  <c r="B3308" i="1"/>
  <c r="B3309" i="1"/>
  <c r="B3310" i="1"/>
  <c r="B3311" i="1"/>
  <c r="B3312" i="1"/>
  <c r="B3313" i="1"/>
  <c r="B3314" i="1"/>
  <c r="B3315" i="1"/>
  <c r="B3316" i="1"/>
  <c r="B3317" i="1"/>
  <c r="B3318" i="1"/>
  <c r="B3319" i="1"/>
  <c r="B3320" i="1"/>
  <c r="B3321" i="1"/>
  <c r="B3322" i="1"/>
  <c r="B3323" i="1"/>
  <c r="B3324" i="1"/>
  <c r="B3325" i="1"/>
  <c r="B3326" i="1"/>
  <c r="B3327" i="1"/>
  <c r="B3328" i="1"/>
  <c r="B3329" i="1"/>
  <c r="B3330" i="1"/>
  <c r="B3331" i="1"/>
  <c r="B3332" i="1"/>
  <c r="B3333" i="1"/>
  <c r="B3334" i="1"/>
  <c r="B3335" i="1"/>
  <c r="B3336" i="1"/>
  <c r="B3337" i="1"/>
  <c r="B3338" i="1"/>
  <c r="B3339" i="1"/>
  <c r="B3340" i="1"/>
  <c r="B3341" i="1"/>
  <c r="B3342" i="1"/>
  <c r="B3343" i="1"/>
  <c r="B3344" i="1"/>
  <c r="B3345" i="1"/>
  <c r="B3346" i="1"/>
  <c r="B3347" i="1"/>
  <c r="B3348" i="1"/>
  <c r="B3349" i="1"/>
  <c r="B3350" i="1"/>
  <c r="B3351" i="1"/>
  <c r="B3352" i="1"/>
  <c r="B3353" i="1"/>
  <c r="B3354" i="1"/>
  <c r="B3355" i="1"/>
  <c r="B3356" i="1"/>
  <c r="B3357" i="1"/>
  <c r="B3358" i="1"/>
  <c r="B3359" i="1"/>
  <c r="B3360" i="1"/>
  <c r="B3361" i="1"/>
  <c r="B3362" i="1"/>
  <c r="B3363" i="1"/>
  <c r="B3364" i="1"/>
  <c r="B3365" i="1"/>
  <c r="B3366" i="1"/>
  <c r="B3367" i="1"/>
  <c r="B3368" i="1"/>
  <c r="B3369" i="1"/>
  <c r="B3370" i="1"/>
  <c r="B3371" i="1"/>
  <c r="B3372" i="1"/>
  <c r="B3373" i="1"/>
  <c r="B3374" i="1"/>
  <c r="B3375" i="1"/>
  <c r="B3376" i="1"/>
  <c r="B3377" i="1"/>
  <c r="B3378" i="1"/>
  <c r="B3379" i="1"/>
  <c r="B3380" i="1"/>
  <c r="B3381" i="1"/>
  <c r="B3382" i="1"/>
  <c r="B3383" i="1"/>
  <c r="B3384" i="1"/>
  <c r="B3385" i="1"/>
  <c r="B3386" i="1"/>
  <c r="B3387" i="1"/>
  <c r="B3388" i="1"/>
  <c r="B3389" i="1"/>
  <c r="B3390" i="1"/>
  <c r="B3391" i="1"/>
  <c r="B3392" i="1"/>
  <c r="B3393" i="1"/>
  <c r="B3394" i="1"/>
  <c r="B3395" i="1"/>
  <c r="B3396" i="1"/>
  <c r="B3397" i="1"/>
  <c r="B3398" i="1"/>
  <c r="B3399" i="1"/>
  <c r="B3400" i="1"/>
  <c r="B3401" i="1"/>
  <c r="B3402" i="1"/>
  <c r="B3403" i="1"/>
  <c r="B3404" i="1"/>
  <c r="B3405" i="1"/>
  <c r="B3406" i="1"/>
  <c r="B3407" i="1"/>
  <c r="B3408" i="1"/>
  <c r="B3409" i="1"/>
  <c r="B3410" i="1"/>
  <c r="B3411" i="1"/>
  <c r="B3412" i="1"/>
  <c r="B3413" i="1"/>
  <c r="B3414" i="1"/>
  <c r="B3415" i="1"/>
  <c r="B3416" i="1"/>
  <c r="B3417" i="1"/>
  <c r="B3418" i="1"/>
  <c r="B3419" i="1"/>
  <c r="B3420" i="1"/>
  <c r="B3421" i="1"/>
  <c r="B3422" i="1"/>
  <c r="B3423" i="1"/>
  <c r="B3424" i="1"/>
  <c r="B3425" i="1"/>
  <c r="B3426" i="1"/>
  <c r="B3427" i="1"/>
  <c r="B3428" i="1"/>
  <c r="B3429" i="1"/>
  <c r="B3430" i="1"/>
  <c r="B3431" i="1"/>
  <c r="B3432" i="1"/>
  <c r="B3433" i="1"/>
  <c r="B3434" i="1"/>
  <c r="B3435" i="1"/>
  <c r="B3436" i="1"/>
  <c r="B3437" i="1"/>
  <c r="B3438" i="1"/>
  <c r="B3439" i="1"/>
  <c r="B3440" i="1"/>
  <c r="B3441" i="1"/>
  <c r="B3442" i="1"/>
  <c r="B3443" i="1"/>
  <c r="B3444" i="1"/>
  <c r="B3445" i="1"/>
  <c r="B3446" i="1"/>
  <c r="B3447" i="1"/>
  <c r="B3448" i="1"/>
  <c r="B3449" i="1"/>
  <c r="B3450" i="1"/>
  <c r="B3451" i="1"/>
  <c r="B3452" i="1"/>
  <c r="B3453" i="1"/>
  <c r="B3454" i="1"/>
  <c r="B3455" i="1"/>
  <c r="B3456" i="1"/>
  <c r="B3457" i="1"/>
  <c r="B3458" i="1"/>
  <c r="B3459" i="1"/>
  <c r="B3460" i="1"/>
  <c r="B3461" i="1"/>
  <c r="B3462" i="1"/>
  <c r="B3463" i="1"/>
  <c r="B3464" i="1"/>
  <c r="B3465" i="1"/>
  <c r="B3466" i="1"/>
  <c r="B3467" i="1"/>
  <c r="B3468" i="1"/>
  <c r="B3469" i="1"/>
  <c r="B3470" i="1"/>
  <c r="B3471" i="1"/>
  <c r="B3472" i="1"/>
  <c r="B3473" i="1"/>
  <c r="B3474" i="1"/>
  <c r="B3475" i="1"/>
  <c r="B3476" i="1"/>
  <c r="B3477" i="1"/>
  <c r="B3478" i="1"/>
  <c r="B3479" i="1"/>
  <c r="B3480" i="1"/>
  <c r="B3481" i="1"/>
  <c r="B3482" i="1"/>
  <c r="B3483" i="1"/>
  <c r="B3484" i="1"/>
  <c r="B3485" i="1"/>
  <c r="B3486" i="1"/>
  <c r="B3487" i="1"/>
  <c r="B3488" i="1"/>
  <c r="B3489" i="1"/>
  <c r="B3490" i="1"/>
  <c r="B3491" i="1"/>
  <c r="B3492" i="1"/>
  <c r="B3493" i="1"/>
  <c r="B3494" i="1"/>
  <c r="B3495" i="1"/>
  <c r="B3496" i="1"/>
  <c r="B3497" i="1"/>
  <c r="B3498" i="1"/>
  <c r="B3499" i="1"/>
  <c r="B3500" i="1"/>
  <c r="B3501" i="1"/>
  <c r="B3502" i="1"/>
  <c r="B3503" i="1"/>
  <c r="B3504" i="1"/>
  <c r="B3505" i="1"/>
  <c r="B3506" i="1"/>
  <c r="B3507" i="1"/>
  <c r="B3508" i="1"/>
  <c r="B3509" i="1"/>
  <c r="B3510" i="1"/>
  <c r="B3511" i="1"/>
  <c r="B3512" i="1"/>
  <c r="B3513" i="1"/>
  <c r="B3514" i="1"/>
  <c r="B3515" i="1"/>
  <c r="B3516" i="1"/>
  <c r="B3517" i="1"/>
  <c r="B3518" i="1"/>
  <c r="B3519" i="1"/>
  <c r="B3520" i="1"/>
  <c r="B3521" i="1"/>
  <c r="B3522" i="1"/>
  <c r="B3523" i="1"/>
  <c r="B3524" i="1"/>
  <c r="B3525" i="1"/>
  <c r="B3526" i="1"/>
  <c r="B3527" i="1"/>
  <c r="B3528" i="1"/>
  <c r="B3529" i="1"/>
  <c r="B3530" i="1"/>
  <c r="B3531" i="1"/>
  <c r="B3532" i="1"/>
  <c r="B3533" i="1"/>
  <c r="B3534" i="1"/>
  <c r="B3535" i="1"/>
  <c r="B3536" i="1"/>
  <c r="B3537" i="1"/>
  <c r="B3538" i="1"/>
  <c r="B3539" i="1"/>
  <c r="B3540" i="1"/>
  <c r="B3541" i="1"/>
  <c r="B3542" i="1"/>
  <c r="B3543" i="1"/>
  <c r="B3544" i="1"/>
  <c r="B3545" i="1"/>
  <c r="B3546" i="1"/>
  <c r="B3547" i="1"/>
  <c r="B3548" i="1"/>
  <c r="B3549" i="1"/>
  <c r="B3550" i="1"/>
  <c r="B3551" i="1"/>
  <c r="B3552" i="1"/>
  <c r="B3553" i="1"/>
  <c r="B3554" i="1"/>
  <c r="B3555" i="1"/>
  <c r="B3556" i="1"/>
  <c r="B3557" i="1"/>
  <c r="B3558" i="1"/>
  <c r="B3559" i="1"/>
  <c r="B3560" i="1"/>
  <c r="B3561" i="1"/>
  <c r="B3562" i="1"/>
  <c r="B3563" i="1"/>
  <c r="B3564" i="1"/>
  <c r="B3565" i="1"/>
  <c r="B3566" i="1"/>
  <c r="B3567" i="1"/>
  <c r="B3568" i="1"/>
  <c r="B3569" i="1"/>
  <c r="B3570" i="1"/>
  <c r="B3571" i="1"/>
  <c r="B3572" i="1"/>
  <c r="B3573" i="1"/>
  <c r="B3574" i="1"/>
  <c r="B3575" i="1"/>
  <c r="B3576" i="1"/>
  <c r="B3577" i="1"/>
  <c r="B3578" i="1"/>
  <c r="B3579" i="1"/>
  <c r="B3580" i="1"/>
  <c r="B3581" i="1"/>
  <c r="B3582" i="1"/>
  <c r="B3583" i="1"/>
  <c r="B3584" i="1"/>
  <c r="B3585" i="1"/>
  <c r="B3586" i="1"/>
  <c r="B3587" i="1"/>
  <c r="B3588" i="1"/>
  <c r="B3589" i="1"/>
  <c r="B3590" i="1"/>
  <c r="B3591" i="1"/>
  <c r="B3592" i="1"/>
  <c r="B3593" i="1"/>
  <c r="B3594" i="1"/>
  <c r="B3595" i="1"/>
  <c r="B3596" i="1"/>
  <c r="B3597" i="1"/>
  <c r="B3598" i="1"/>
  <c r="B3599" i="1"/>
  <c r="B3600" i="1"/>
  <c r="B3601" i="1"/>
  <c r="B3602" i="1"/>
  <c r="B3603" i="1"/>
  <c r="B3604" i="1"/>
  <c r="B3605" i="1"/>
  <c r="B3606" i="1"/>
  <c r="B3607" i="1"/>
  <c r="B3608" i="1"/>
  <c r="B3609" i="1"/>
  <c r="B3610" i="1"/>
  <c r="B3611" i="1"/>
  <c r="B3612" i="1"/>
  <c r="B3613" i="1"/>
  <c r="B3614" i="1"/>
  <c r="B3615" i="1"/>
  <c r="B3616" i="1"/>
  <c r="B3617" i="1"/>
  <c r="B3618" i="1"/>
  <c r="B3619" i="1"/>
  <c r="B3620" i="1"/>
  <c r="B3621" i="1"/>
  <c r="B3622" i="1"/>
  <c r="B3623" i="1"/>
  <c r="B3624" i="1"/>
  <c r="B3625" i="1"/>
  <c r="B3626" i="1"/>
  <c r="B3627" i="1"/>
  <c r="B3628" i="1"/>
  <c r="B3629" i="1"/>
  <c r="B3630" i="1"/>
  <c r="B3631" i="1"/>
  <c r="B3632" i="1"/>
  <c r="B3633" i="1"/>
  <c r="B3634" i="1"/>
  <c r="B3635" i="1"/>
  <c r="B3636" i="1"/>
  <c r="B3637" i="1"/>
  <c r="B3638" i="1"/>
  <c r="B3639" i="1"/>
  <c r="B3640" i="1"/>
  <c r="B3641" i="1"/>
  <c r="B3642" i="1"/>
  <c r="B3643" i="1"/>
  <c r="B3644" i="1"/>
  <c r="B3645" i="1"/>
  <c r="B3646" i="1"/>
  <c r="B3647" i="1"/>
  <c r="B3648" i="1"/>
  <c r="B3649" i="1"/>
  <c r="B3650" i="1"/>
  <c r="B3651" i="1"/>
  <c r="B3652" i="1"/>
  <c r="B3653" i="1"/>
  <c r="B3654" i="1"/>
  <c r="B3655" i="1"/>
  <c r="B3656" i="1"/>
  <c r="B3657" i="1"/>
  <c r="B3658" i="1"/>
  <c r="B3659" i="1"/>
  <c r="B3660" i="1"/>
  <c r="B3661" i="1"/>
  <c r="B3662" i="1"/>
  <c r="B3663" i="1"/>
  <c r="B3664" i="1"/>
  <c r="B3665" i="1"/>
  <c r="B3666" i="1"/>
  <c r="B3667" i="1"/>
  <c r="B3668" i="1"/>
  <c r="B3669" i="1"/>
  <c r="B3670" i="1"/>
  <c r="B3671" i="1"/>
  <c r="B3672" i="1"/>
  <c r="B3673" i="1"/>
  <c r="B3674" i="1"/>
  <c r="B3675" i="1"/>
  <c r="B3676" i="1"/>
  <c r="B3677" i="1"/>
  <c r="B3678" i="1"/>
  <c r="B3679" i="1"/>
  <c r="B3680" i="1"/>
  <c r="B3681" i="1"/>
  <c r="B3682" i="1"/>
  <c r="B3683" i="1"/>
  <c r="B3684" i="1"/>
  <c r="B3685" i="1"/>
  <c r="B3686" i="1"/>
  <c r="B3687" i="1"/>
  <c r="B3688" i="1"/>
  <c r="B3689" i="1"/>
  <c r="B3690" i="1"/>
  <c r="B3691" i="1"/>
  <c r="B3692" i="1"/>
  <c r="B3693" i="1"/>
  <c r="B3694" i="1"/>
  <c r="B3695" i="1"/>
  <c r="B3696" i="1"/>
  <c r="B3697" i="1"/>
  <c r="B3698" i="1"/>
  <c r="B3699" i="1"/>
  <c r="B3700" i="1"/>
  <c r="B3701" i="1"/>
  <c r="B3702" i="1"/>
  <c r="B3703" i="1"/>
  <c r="B3704" i="1"/>
  <c r="B3705" i="1"/>
  <c r="B3706" i="1"/>
  <c r="B3707" i="1"/>
  <c r="B3708" i="1"/>
  <c r="B3709" i="1"/>
  <c r="B3710" i="1"/>
  <c r="B3711" i="1"/>
  <c r="B3712" i="1"/>
  <c r="B3713" i="1"/>
  <c r="B3714" i="1"/>
  <c r="B3715" i="1"/>
  <c r="B3716" i="1"/>
  <c r="B3717" i="1"/>
  <c r="B3718" i="1"/>
  <c r="B3719" i="1"/>
  <c r="B3720" i="1"/>
  <c r="B3721" i="1"/>
  <c r="B3722" i="1"/>
  <c r="B3723" i="1"/>
  <c r="B3724" i="1"/>
  <c r="B3725" i="1"/>
  <c r="B3726" i="1"/>
  <c r="B3727" i="1"/>
  <c r="B3728" i="1"/>
  <c r="B3729" i="1"/>
  <c r="B3730" i="1"/>
  <c r="B3731" i="1"/>
  <c r="B3732" i="1"/>
  <c r="B3733" i="1"/>
  <c r="B3734" i="1"/>
  <c r="B3735" i="1"/>
  <c r="B3736" i="1"/>
  <c r="B3737" i="1"/>
  <c r="B3738" i="1"/>
  <c r="B3739" i="1"/>
  <c r="B3740" i="1"/>
  <c r="B3741" i="1"/>
  <c r="B3742" i="1"/>
  <c r="B3743" i="1"/>
  <c r="B3744" i="1"/>
  <c r="B3745" i="1"/>
  <c r="B3746" i="1"/>
  <c r="B3747" i="1"/>
  <c r="B3748" i="1"/>
  <c r="B3749" i="1"/>
  <c r="B3750" i="1"/>
  <c r="B3751" i="1"/>
  <c r="B3752" i="1"/>
  <c r="B3753" i="1"/>
  <c r="B3754" i="1"/>
  <c r="B3755" i="1"/>
  <c r="B3756" i="1"/>
  <c r="B3757" i="1"/>
  <c r="B3758" i="1"/>
  <c r="B3759" i="1"/>
  <c r="B3760" i="1"/>
  <c r="B3761" i="1"/>
  <c r="B3762" i="1"/>
  <c r="B3763" i="1"/>
  <c r="B3764" i="1"/>
  <c r="B3765" i="1"/>
  <c r="B3766" i="1"/>
  <c r="B3767" i="1"/>
  <c r="B3768" i="1"/>
  <c r="B3769" i="1"/>
  <c r="B3770" i="1"/>
  <c r="B3771" i="1"/>
  <c r="B3772" i="1"/>
  <c r="B3773" i="1"/>
  <c r="B3774" i="1"/>
  <c r="B3775" i="1"/>
  <c r="B3776" i="1"/>
  <c r="B3777" i="1"/>
  <c r="B3778" i="1"/>
  <c r="B3779" i="1"/>
  <c r="B3780" i="1"/>
  <c r="B3781" i="1"/>
  <c r="B3782" i="1"/>
  <c r="B3783" i="1"/>
  <c r="B3784" i="1"/>
  <c r="B3785" i="1"/>
  <c r="B3786" i="1"/>
  <c r="B3787" i="1"/>
  <c r="B3788" i="1"/>
  <c r="B3789" i="1"/>
  <c r="B3790" i="1"/>
  <c r="B3791" i="1"/>
  <c r="B3792" i="1"/>
  <c r="B3793" i="1"/>
  <c r="B3794" i="1"/>
  <c r="B3795" i="1"/>
  <c r="B3796" i="1"/>
  <c r="B3797" i="1"/>
  <c r="B3798" i="1"/>
  <c r="B3799" i="1"/>
  <c r="B3800" i="1"/>
  <c r="B3801" i="1"/>
  <c r="B3802" i="1"/>
  <c r="B3803" i="1"/>
  <c r="B3804" i="1"/>
  <c r="B3805" i="1"/>
  <c r="B3806" i="1"/>
  <c r="B3807" i="1"/>
  <c r="B3808" i="1"/>
  <c r="B3809" i="1"/>
  <c r="B3810" i="1"/>
  <c r="B3811" i="1"/>
  <c r="B3812" i="1"/>
  <c r="B3813" i="1"/>
  <c r="B3814" i="1"/>
  <c r="B3815" i="1"/>
  <c r="B3816" i="1"/>
  <c r="B3817" i="1"/>
  <c r="B3818" i="1"/>
  <c r="B3819" i="1"/>
  <c r="B3820" i="1"/>
  <c r="B3821" i="1"/>
  <c r="B3822" i="1"/>
  <c r="B3823" i="1"/>
  <c r="B3824" i="1"/>
  <c r="B3825" i="1"/>
  <c r="B3826" i="1"/>
  <c r="B3827" i="1"/>
  <c r="B3828" i="1"/>
  <c r="B3829" i="1"/>
  <c r="B3830" i="1"/>
  <c r="B3831" i="1"/>
  <c r="B3832" i="1"/>
  <c r="B3833" i="1"/>
  <c r="B3834" i="1"/>
  <c r="B3835" i="1"/>
  <c r="B3836" i="1"/>
  <c r="B3837" i="1"/>
  <c r="B3838" i="1"/>
  <c r="B3839" i="1"/>
  <c r="B3840" i="1"/>
  <c r="B3841" i="1"/>
  <c r="B3842" i="1"/>
  <c r="B3843" i="1"/>
  <c r="B3844" i="1"/>
  <c r="B3845" i="1"/>
  <c r="B3846" i="1"/>
  <c r="B3847" i="1"/>
  <c r="B3848" i="1"/>
  <c r="B3849" i="1"/>
  <c r="B3850" i="1"/>
  <c r="B3851" i="1"/>
  <c r="B3852" i="1"/>
  <c r="B3853" i="1"/>
  <c r="B3854" i="1"/>
  <c r="B3855" i="1"/>
  <c r="B3856" i="1"/>
  <c r="B3857" i="1"/>
  <c r="B3858" i="1"/>
  <c r="B3859" i="1"/>
  <c r="B3860" i="1"/>
  <c r="B3861" i="1"/>
  <c r="B3862" i="1"/>
  <c r="B3863" i="1"/>
  <c r="B3864" i="1"/>
  <c r="B3865" i="1"/>
  <c r="B3866" i="1"/>
  <c r="B3867" i="1"/>
  <c r="B3868" i="1"/>
  <c r="B3869" i="1"/>
  <c r="B3870" i="1"/>
  <c r="B3871" i="1"/>
  <c r="B3872" i="1"/>
  <c r="B3873" i="1"/>
  <c r="B3874" i="1"/>
  <c r="B3875" i="1"/>
  <c r="B3876" i="1"/>
  <c r="B3877" i="1"/>
  <c r="B3878" i="1"/>
  <c r="B3879" i="1"/>
  <c r="B3880" i="1"/>
  <c r="B3881" i="1"/>
  <c r="B3882" i="1"/>
  <c r="B3883" i="1"/>
  <c r="B3884" i="1"/>
  <c r="B3885" i="1"/>
  <c r="B3886" i="1"/>
  <c r="B3887" i="1"/>
  <c r="B3888" i="1"/>
  <c r="B3889" i="1"/>
  <c r="B3890" i="1"/>
  <c r="B3891" i="1"/>
  <c r="B3892" i="1"/>
  <c r="B3893" i="1"/>
  <c r="B3894" i="1"/>
  <c r="B3895" i="1"/>
  <c r="B3896" i="1"/>
  <c r="B3897" i="1"/>
  <c r="B3898" i="1"/>
  <c r="B3899" i="1"/>
  <c r="B3900" i="1"/>
  <c r="B3901" i="1"/>
  <c r="B3902" i="1"/>
  <c r="B3903" i="1"/>
  <c r="B3904" i="1"/>
  <c r="B3905" i="1"/>
  <c r="B3906" i="1"/>
  <c r="B3907" i="1"/>
  <c r="B3908" i="1"/>
  <c r="B3909" i="1"/>
  <c r="B3910" i="1"/>
  <c r="B3911" i="1"/>
  <c r="B3912" i="1"/>
  <c r="B3913" i="1"/>
  <c r="B3914" i="1"/>
  <c r="B3915" i="1"/>
  <c r="B3916" i="1"/>
  <c r="B3917" i="1"/>
  <c r="B3918" i="1"/>
  <c r="B3919" i="1"/>
  <c r="B3920" i="1"/>
  <c r="B3921" i="1"/>
  <c r="B3922" i="1"/>
  <c r="B3923" i="1"/>
  <c r="B3924" i="1"/>
  <c r="B3925" i="1"/>
  <c r="B3926" i="1"/>
  <c r="B3927" i="1"/>
  <c r="B3928" i="1"/>
  <c r="B3929" i="1"/>
  <c r="B3930" i="1"/>
  <c r="B3931" i="1"/>
  <c r="B3932" i="1"/>
  <c r="B3933" i="1"/>
  <c r="B3934" i="1"/>
  <c r="B3935" i="1"/>
  <c r="B3936" i="1"/>
  <c r="B3937" i="1"/>
  <c r="B3938" i="1"/>
  <c r="B3939" i="1"/>
  <c r="B3940" i="1"/>
  <c r="B3941" i="1"/>
  <c r="B3942" i="1"/>
  <c r="B3943" i="1"/>
  <c r="B3944" i="1"/>
  <c r="B3945" i="1"/>
  <c r="B3946" i="1"/>
  <c r="B3947" i="1"/>
  <c r="B3948" i="1"/>
  <c r="B3949" i="1"/>
  <c r="B3950" i="1"/>
  <c r="B3951" i="1"/>
  <c r="B3952" i="1"/>
  <c r="B3953" i="1"/>
  <c r="B3954" i="1"/>
  <c r="B3955" i="1"/>
  <c r="B3956" i="1"/>
  <c r="B3957" i="1"/>
  <c r="B3958" i="1"/>
  <c r="B3959" i="1"/>
  <c r="B3960" i="1"/>
  <c r="B3961" i="1"/>
  <c r="B3962" i="1"/>
  <c r="B3963" i="1"/>
  <c r="B3964" i="1"/>
  <c r="B3965" i="1"/>
  <c r="B3966" i="1"/>
  <c r="B3967" i="1"/>
  <c r="B3968" i="1"/>
  <c r="B3969" i="1"/>
  <c r="B3970" i="1"/>
  <c r="B3971" i="1"/>
  <c r="B3972" i="1"/>
  <c r="B3973" i="1"/>
  <c r="B3974" i="1"/>
  <c r="B3975" i="1"/>
  <c r="B3976" i="1"/>
  <c r="B3977" i="1"/>
  <c r="B3978" i="1"/>
  <c r="B3979" i="1"/>
  <c r="B3980" i="1"/>
  <c r="B3981" i="1"/>
  <c r="B3982" i="1"/>
  <c r="B3983" i="1"/>
  <c r="B3984" i="1"/>
  <c r="B3985" i="1"/>
  <c r="B3986" i="1"/>
  <c r="B3987" i="1"/>
  <c r="B3988" i="1"/>
  <c r="B3989" i="1"/>
  <c r="B3990" i="1"/>
  <c r="B3991" i="1"/>
  <c r="B3992" i="1"/>
  <c r="B3993" i="1"/>
  <c r="B3994" i="1"/>
  <c r="B3995" i="1"/>
  <c r="B3996" i="1"/>
  <c r="B3997" i="1"/>
  <c r="B3998" i="1"/>
  <c r="B3999" i="1"/>
  <c r="B4000" i="1"/>
  <c r="B4001" i="1"/>
  <c r="B4002" i="1"/>
  <c r="B4003" i="1"/>
  <c r="B4004" i="1"/>
  <c r="B4005" i="1"/>
  <c r="B4006" i="1"/>
  <c r="B4007" i="1"/>
  <c r="B4008" i="1"/>
  <c r="B4009" i="1"/>
  <c r="B4010" i="1"/>
  <c r="B4011" i="1"/>
  <c r="B4012" i="1"/>
  <c r="B4013" i="1"/>
  <c r="B4014" i="1"/>
  <c r="B4015" i="1"/>
  <c r="B4016" i="1"/>
  <c r="B4017" i="1"/>
  <c r="B4018" i="1"/>
  <c r="B4019" i="1"/>
  <c r="B4020" i="1"/>
  <c r="B4021" i="1"/>
  <c r="B4022" i="1"/>
  <c r="B4023" i="1"/>
  <c r="B4024" i="1"/>
  <c r="B4025" i="1"/>
  <c r="B4026" i="1"/>
  <c r="B4027" i="1"/>
  <c r="B4028" i="1"/>
  <c r="B4029" i="1"/>
  <c r="B4030" i="1"/>
  <c r="B4031" i="1"/>
  <c r="B4032" i="1"/>
  <c r="B4033" i="1"/>
  <c r="B4034" i="1"/>
  <c r="B4035" i="1"/>
  <c r="B4036" i="1"/>
  <c r="B4037" i="1"/>
  <c r="B4038" i="1"/>
  <c r="B4039" i="1"/>
  <c r="B4040" i="1"/>
  <c r="B4041" i="1"/>
  <c r="B4042" i="1"/>
  <c r="B4043" i="1"/>
  <c r="B4044" i="1"/>
  <c r="B4045" i="1"/>
  <c r="B4046" i="1"/>
  <c r="B4047" i="1"/>
  <c r="B4048" i="1"/>
  <c r="B4049" i="1"/>
  <c r="B4050" i="1"/>
  <c r="B4051" i="1"/>
  <c r="B4052" i="1"/>
  <c r="B4053" i="1"/>
  <c r="B4054" i="1"/>
  <c r="B4055" i="1"/>
  <c r="B4056" i="1"/>
  <c r="B4057" i="1"/>
  <c r="B4058" i="1"/>
  <c r="B4059" i="1"/>
  <c r="B4060" i="1"/>
  <c r="B4061" i="1"/>
  <c r="B4062" i="1"/>
  <c r="B4063" i="1"/>
  <c r="B4064" i="1"/>
  <c r="B4065" i="1"/>
  <c r="B4066" i="1"/>
  <c r="B4067" i="1"/>
  <c r="B4068" i="1"/>
  <c r="B4069" i="1"/>
  <c r="B4070" i="1"/>
  <c r="B4071" i="1"/>
  <c r="B4072" i="1"/>
  <c r="B4073" i="1"/>
  <c r="B4074" i="1"/>
  <c r="B4075" i="1"/>
  <c r="B4076" i="1"/>
  <c r="B4077" i="1"/>
  <c r="B4078" i="1"/>
  <c r="B4079" i="1"/>
  <c r="B4080" i="1"/>
  <c r="B4081" i="1"/>
  <c r="B4082" i="1"/>
  <c r="B4083" i="1"/>
  <c r="B4084" i="1"/>
  <c r="B4085" i="1"/>
  <c r="B4086" i="1"/>
  <c r="B4087" i="1"/>
  <c r="B4088" i="1"/>
  <c r="B4089" i="1"/>
  <c r="B4090" i="1"/>
  <c r="B4091" i="1"/>
  <c r="B4092" i="1"/>
  <c r="B4093" i="1"/>
  <c r="B4094" i="1"/>
  <c r="B4095" i="1"/>
  <c r="B4096" i="1"/>
  <c r="B4097" i="1"/>
  <c r="B4098" i="1"/>
  <c r="B4099" i="1"/>
  <c r="B4100" i="1"/>
  <c r="B4101" i="1"/>
  <c r="B4102" i="1"/>
  <c r="B4103" i="1"/>
  <c r="B4104" i="1"/>
  <c r="B4105" i="1"/>
  <c r="B4106" i="1"/>
  <c r="B4107" i="1"/>
  <c r="B4108" i="1"/>
  <c r="B4109" i="1"/>
  <c r="B4110" i="1"/>
  <c r="B4111" i="1"/>
  <c r="B4112" i="1"/>
  <c r="B4113" i="1"/>
  <c r="B4114" i="1"/>
  <c r="B4115" i="1"/>
  <c r="B4116" i="1"/>
  <c r="B4117" i="1"/>
  <c r="B4118" i="1"/>
  <c r="B4119" i="1"/>
  <c r="B4120" i="1"/>
  <c r="B4121" i="1"/>
  <c r="B4122" i="1"/>
  <c r="B4123" i="1"/>
  <c r="B4124" i="1"/>
  <c r="B4125" i="1"/>
  <c r="B4126" i="1"/>
  <c r="B4127" i="1"/>
  <c r="B4128" i="1"/>
  <c r="B4129" i="1"/>
  <c r="B4130" i="1"/>
  <c r="B4131" i="1"/>
  <c r="B4132" i="1"/>
  <c r="B4133" i="1"/>
  <c r="B4134" i="1"/>
  <c r="B4135" i="1"/>
  <c r="B4136" i="1"/>
  <c r="B4137" i="1"/>
  <c r="B4138" i="1"/>
  <c r="B4139" i="1"/>
  <c r="B4140" i="1"/>
  <c r="B4141" i="1"/>
  <c r="B4142" i="1"/>
  <c r="B4143" i="1"/>
  <c r="B4144" i="1"/>
  <c r="B4145" i="1"/>
  <c r="B4146" i="1"/>
  <c r="B4147" i="1"/>
  <c r="B4148" i="1"/>
  <c r="B4149" i="1"/>
  <c r="B4150" i="1"/>
  <c r="B4151" i="1"/>
  <c r="B4152" i="1"/>
  <c r="B4153" i="1"/>
  <c r="B4154" i="1"/>
  <c r="B4155" i="1"/>
  <c r="B4156" i="1"/>
  <c r="B4157" i="1"/>
  <c r="B4158" i="1"/>
  <c r="B4159" i="1"/>
  <c r="B4160" i="1"/>
  <c r="B4161" i="1"/>
  <c r="B4162" i="1"/>
  <c r="B4163" i="1"/>
  <c r="B4164" i="1"/>
  <c r="B4165" i="1"/>
  <c r="B4166" i="1"/>
  <c r="B4167" i="1"/>
  <c r="B4168" i="1"/>
  <c r="B4169" i="1"/>
  <c r="B4170" i="1"/>
  <c r="B4171" i="1"/>
  <c r="B4172" i="1"/>
  <c r="B4173" i="1"/>
  <c r="B4174" i="1"/>
  <c r="B4175" i="1"/>
  <c r="B4176" i="1"/>
  <c r="B4177" i="1"/>
  <c r="B4178" i="1"/>
  <c r="B4179" i="1"/>
  <c r="B4180" i="1"/>
  <c r="B4181" i="1"/>
  <c r="B4182" i="1"/>
  <c r="B4183" i="1"/>
  <c r="B4184" i="1"/>
  <c r="B4185" i="1"/>
  <c r="B4186" i="1"/>
  <c r="B4187" i="1"/>
  <c r="B4188" i="1"/>
  <c r="B4189" i="1"/>
  <c r="B4190" i="1"/>
  <c r="B4191" i="1"/>
  <c r="B4192" i="1"/>
  <c r="B4193" i="1"/>
  <c r="B4194" i="1"/>
  <c r="B4195" i="1"/>
  <c r="B4196" i="1"/>
  <c r="B4197" i="1"/>
  <c r="B4198" i="1"/>
  <c r="B4199" i="1"/>
  <c r="B4200" i="1"/>
  <c r="B4201" i="1"/>
  <c r="B4202" i="1"/>
  <c r="B4203" i="1"/>
  <c r="B4204" i="1"/>
  <c r="B4205" i="1"/>
  <c r="B4206" i="1"/>
  <c r="B4207" i="1"/>
  <c r="B4208" i="1"/>
  <c r="B4209" i="1"/>
  <c r="B4210" i="1"/>
  <c r="B4211" i="1"/>
  <c r="B4212" i="1"/>
  <c r="B4213" i="1"/>
  <c r="B4214" i="1"/>
  <c r="B4215" i="1"/>
  <c r="B4216" i="1"/>
  <c r="B4217" i="1"/>
  <c r="B4218" i="1"/>
  <c r="B4219" i="1"/>
  <c r="B4220" i="1"/>
  <c r="B4221" i="1"/>
  <c r="B4222" i="1"/>
  <c r="B4223" i="1"/>
  <c r="B4224" i="1"/>
  <c r="B4225" i="1"/>
  <c r="B4226" i="1"/>
  <c r="B4227" i="1"/>
  <c r="B4228" i="1"/>
  <c r="B4229" i="1"/>
  <c r="B4230" i="1"/>
  <c r="B4231" i="1"/>
  <c r="B4232" i="1"/>
  <c r="B4233" i="1"/>
  <c r="B4234" i="1"/>
  <c r="B4235" i="1"/>
  <c r="B4236" i="1"/>
  <c r="B4237" i="1"/>
  <c r="B4238" i="1"/>
  <c r="B4239" i="1"/>
  <c r="B4240" i="1"/>
  <c r="B4241" i="1"/>
  <c r="B4242" i="1"/>
  <c r="B4243" i="1"/>
  <c r="B4244" i="1"/>
  <c r="B4245" i="1"/>
  <c r="B4246" i="1"/>
  <c r="B4247" i="1"/>
  <c r="B4248" i="1"/>
  <c r="B4249" i="1"/>
  <c r="B4250" i="1"/>
  <c r="B4251" i="1"/>
  <c r="B4252" i="1"/>
  <c r="B4253" i="1"/>
  <c r="B4254" i="1"/>
  <c r="B4255" i="1"/>
  <c r="B4256" i="1"/>
  <c r="B4257" i="1"/>
  <c r="B4258" i="1"/>
  <c r="B4259" i="1"/>
  <c r="B4260" i="1"/>
  <c r="B4261" i="1"/>
  <c r="B4262" i="1"/>
  <c r="B4263" i="1"/>
  <c r="B4264" i="1"/>
  <c r="B4265" i="1"/>
  <c r="B4266" i="1"/>
  <c r="B4267" i="1"/>
  <c r="B4268" i="1"/>
  <c r="B4269" i="1"/>
  <c r="B4270" i="1"/>
  <c r="B4271" i="1"/>
  <c r="B4272" i="1"/>
  <c r="B4273" i="1"/>
  <c r="B4274" i="1"/>
  <c r="B4275" i="1"/>
  <c r="B4276" i="1"/>
  <c r="B4277" i="1"/>
  <c r="B4278" i="1"/>
  <c r="B4279" i="1"/>
  <c r="B4280" i="1"/>
  <c r="B4281" i="1"/>
  <c r="B4282" i="1"/>
  <c r="B4283" i="1"/>
  <c r="B4284" i="1"/>
  <c r="B4285" i="1"/>
  <c r="B4286" i="1"/>
  <c r="B4287" i="1"/>
  <c r="B4288" i="1"/>
  <c r="B4289" i="1"/>
  <c r="B4290" i="1"/>
  <c r="B4291" i="1"/>
  <c r="B4292" i="1"/>
  <c r="B4293" i="1"/>
  <c r="B4294" i="1"/>
  <c r="B4295" i="1"/>
  <c r="B4296" i="1"/>
  <c r="B4297" i="1"/>
  <c r="B4298" i="1"/>
  <c r="B4299" i="1"/>
  <c r="B4300" i="1"/>
  <c r="B4301" i="1"/>
  <c r="B4302" i="1"/>
  <c r="B4303" i="1"/>
  <c r="B4304" i="1"/>
  <c r="B4305" i="1"/>
  <c r="B4306" i="1"/>
  <c r="B4307" i="1"/>
  <c r="B4308" i="1"/>
  <c r="B4309" i="1"/>
  <c r="B4310" i="1"/>
  <c r="B4311" i="1"/>
  <c r="B4312" i="1"/>
  <c r="B4313" i="1"/>
  <c r="B4314" i="1"/>
  <c r="B4315" i="1"/>
  <c r="B4316" i="1"/>
  <c r="B4317" i="1"/>
  <c r="B4318" i="1"/>
  <c r="B4319" i="1"/>
  <c r="B4320" i="1"/>
  <c r="B4321" i="1"/>
  <c r="B4322" i="1"/>
  <c r="B4323" i="1"/>
  <c r="B4324" i="1"/>
  <c r="B4325" i="1"/>
  <c r="B4326" i="1"/>
  <c r="B4327" i="1"/>
  <c r="B4328" i="1"/>
  <c r="B4329" i="1"/>
  <c r="B4330" i="1"/>
  <c r="B4331" i="1"/>
  <c r="B4332" i="1"/>
  <c r="B4333" i="1"/>
  <c r="B4334" i="1"/>
  <c r="B4335" i="1"/>
  <c r="B4336" i="1"/>
  <c r="B4337" i="1"/>
  <c r="B4338" i="1"/>
  <c r="B4339" i="1"/>
  <c r="B4340" i="1"/>
  <c r="B4341" i="1"/>
  <c r="B4342" i="1"/>
  <c r="B4343" i="1"/>
  <c r="B4344" i="1"/>
  <c r="B4345" i="1"/>
  <c r="B4346" i="1"/>
  <c r="B4347" i="1"/>
  <c r="B4348" i="1"/>
  <c r="B4349" i="1"/>
  <c r="B4350" i="1"/>
  <c r="B4351" i="1"/>
  <c r="B4352" i="1"/>
  <c r="B4353" i="1"/>
  <c r="B4354" i="1"/>
  <c r="B4355" i="1"/>
  <c r="B4356" i="1"/>
  <c r="B4357" i="1"/>
  <c r="B4358" i="1"/>
  <c r="B4359" i="1"/>
  <c r="B4360" i="1"/>
  <c r="B4361" i="1"/>
  <c r="B4362" i="1"/>
  <c r="B4363" i="1"/>
  <c r="B4364" i="1"/>
  <c r="B4365" i="1"/>
  <c r="B4366" i="1"/>
  <c r="B4367" i="1"/>
  <c r="B4368" i="1"/>
  <c r="B4369" i="1"/>
  <c r="B4370" i="1"/>
  <c r="B4371" i="1"/>
  <c r="B4372" i="1"/>
  <c r="B4373" i="1"/>
  <c r="B4374" i="1"/>
  <c r="B4375" i="1"/>
  <c r="B4376" i="1"/>
  <c r="B4377" i="1"/>
  <c r="B4378" i="1"/>
  <c r="B4379" i="1"/>
  <c r="B4380" i="1"/>
  <c r="B4381" i="1"/>
  <c r="B4382" i="1"/>
  <c r="B4383" i="1"/>
  <c r="B4384" i="1"/>
  <c r="B4385" i="1"/>
  <c r="B4386" i="1"/>
  <c r="B4387" i="1"/>
  <c r="B4388" i="1"/>
  <c r="B4389" i="1"/>
  <c r="B4390" i="1"/>
  <c r="B4391" i="1"/>
  <c r="B4392" i="1"/>
  <c r="B4393" i="1"/>
  <c r="B4394" i="1"/>
  <c r="B4395" i="1"/>
  <c r="B4396" i="1"/>
  <c r="B4397" i="1"/>
  <c r="B4398" i="1"/>
  <c r="B4399" i="1"/>
  <c r="B4400" i="1"/>
  <c r="B4401" i="1"/>
  <c r="B4402" i="1"/>
  <c r="B4403" i="1"/>
  <c r="B4404" i="1"/>
  <c r="B4405" i="1"/>
  <c r="B4406" i="1"/>
  <c r="B4407" i="1"/>
  <c r="B4408" i="1"/>
  <c r="B4409" i="1"/>
  <c r="B4410" i="1"/>
  <c r="B4411" i="1"/>
  <c r="B4412" i="1"/>
  <c r="B4413" i="1"/>
  <c r="B4414" i="1"/>
  <c r="B4415" i="1"/>
  <c r="B4416" i="1"/>
  <c r="B4417" i="1"/>
  <c r="B4418" i="1"/>
  <c r="B4419" i="1"/>
  <c r="B4420" i="1"/>
  <c r="B4421" i="1"/>
  <c r="B4422" i="1"/>
  <c r="B4423" i="1"/>
  <c r="B4424" i="1"/>
  <c r="B4425" i="1"/>
  <c r="B4426" i="1"/>
  <c r="B4427" i="1"/>
  <c r="B4428" i="1"/>
  <c r="B4429" i="1"/>
  <c r="B4430" i="1"/>
  <c r="B4431" i="1"/>
  <c r="B4432" i="1"/>
  <c r="B4433" i="1"/>
  <c r="B4434" i="1"/>
  <c r="B4435" i="1"/>
  <c r="B4436" i="1"/>
  <c r="B4437" i="1"/>
  <c r="B4438" i="1"/>
  <c r="B4439" i="1"/>
  <c r="B4440" i="1"/>
  <c r="B4441" i="1"/>
  <c r="B4442" i="1"/>
  <c r="B4443" i="1"/>
  <c r="B4444" i="1"/>
  <c r="B4445" i="1"/>
  <c r="B4446" i="1"/>
  <c r="B4447" i="1"/>
  <c r="B4448" i="1"/>
  <c r="B4449" i="1"/>
  <c r="B4450" i="1"/>
  <c r="B4451" i="1"/>
  <c r="B4452" i="1"/>
  <c r="B4453" i="1"/>
  <c r="B4454" i="1"/>
  <c r="B4455" i="1"/>
  <c r="B4456" i="1"/>
  <c r="B4457" i="1"/>
  <c r="B4458" i="1"/>
  <c r="B4459" i="1"/>
  <c r="B4460" i="1"/>
  <c r="B4461" i="1"/>
  <c r="B4462" i="1"/>
  <c r="B4463" i="1"/>
  <c r="B4464" i="1"/>
  <c r="B4465" i="1"/>
  <c r="B4466" i="1"/>
  <c r="B4467" i="1"/>
  <c r="B4468" i="1"/>
  <c r="B4469" i="1"/>
  <c r="B4470" i="1"/>
  <c r="B4471" i="1"/>
  <c r="B4472" i="1"/>
  <c r="B4473" i="1"/>
  <c r="B4474" i="1"/>
  <c r="B4475" i="1"/>
  <c r="B4476" i="1"/>
  <c r="B4477" i="1"/>
  <c r="B4478" i="1"/>
  <c r="B4479" i="1"/>
  <c r="B4480" i="1"/>
  <c r="B4481" i="1"/>
  <c r="B4482" i="1"/>
  <c r="B4483" i="1"/>
  <c r="B4484" i="1"/>
  <c r="B4485" i="1"/>
  <c r="B4486" i="1"/>
  <c r="B4487" i="1"/>
  <c r="B4488" i="1"/>
  <c r="B4489" i="1"/>
  <c r="B4490" i="1"/>
  <c r="B4491" i="1"/>
  <c r="B4492" i="1"/>
  <c r="B4493" i="1"/>
  <c r="B4494" i="1"/>
  <c r="B4495" i="1"/>
  <c r="B4496" i="1"/>
  <c r="B4497" i="1"/>
  <c r="B4498" i="1"/>
  <c r="B4499" i="1"/>
  <c r="B4500" i="1"/>
  <c r="B4501" i="1"/>
  <c r="B4502" i="1"/>
  <c r="B4503" i="1"/>
  <c r="B4504" i="1"/>
  <c r="B4505" i="1"/>
  <c r="B4506" i="1"/>
  <c r="B4507" i="1"/>
  <c r="B4508" i="1"/>
  <c r="B4509" i="1"/>
  <c r="B4510" i="1"/>
  <c r="B4511" i="1"/>
  <c r="B4512" i="1"/>
  <c r="B4513" i="1"/>
  <c r="B4514" i="1"/>
  <c r="B4515" i="1"/>
  <c r="B4516" i="1"/>
  <c r="B4517" i="1"/>
  <c r="B4518" i="1"/>
  <c r="B4519" i="1"/>
  <c r="B4520" i="1"/>
  <c r="B4521" i="1"/>
  <c r="B4522" i="1"/>
  <c r="B4523" i="1"/>
  <c r="B4524" i="1"/>
  <c r="B4525" i="1"/>
  <c r="B4526" i="1"/>
  <c r="B4527" i="1"/>
  <c r="B4528" i="1"/>
  <c r="B4529" i="1"/>
  <c r="B4530" i="1"/>
  <c r="B4531" i="1"/>
  <c r="B4532" i="1"/>
  <c r="B4533" i="1"/>
  <c r="B4534" i="1"/>
  <c r="B4535" i="1"/>
  <c r="B4536" i="1"/>
  <c r="B4537" i="1"/>
  <c r="B4538" i="1"/>
  <c r="B4539" i="1"/>
  <c r="B4540" i="1"/>
  <c r="B4541" i="1"/>
  <c r="B4542" i="1"/>
  <c r="B4543" i="1"/>
  <c r="B4544" i="1"/>
  <c r="B4545" i="1"/>
  <c r="B4546" i="1"/>
  <c r="B4547" i="1"/>
  <c r="B4548" i="1"/>
  <c r="B4549" i="1"/>
  <c r="B4550" i="1"/>
  <c r="B4551" i="1"/>
  <c r="B4552" i="1"/>
  <c r="B4553" i="1"/>
  <c r="B4554" i="1"/>
  <c r="B4555" i="1"/>
  <c r="B4556" i="1"/>
  <c r="B4557" i="1"/>
  <c r="B4558" i="1"/>
  <c r="B4559" i="1"/>
  <c r="B4560" i="1"/>
  <c r="B4561" i="1"/>
  <c r="B4562" i="1"/>
  <c r="B4563" i="1"/>
  <c r="B4564" i="1"/>
  <c r="B4565" i="1"/>
  <c r="B4566" i="1"/>
  <c r="B4567" i="1"/>
  <c r="B4568" i="1"/>
  <c r="B4569" i="1"/>
  <c r="B4570" i="1"/>
  <c r="B4571" i="1"/>
  <c r="B4572" i="1"/>
  <c r="B4573" i="1"/>
  <c r="B4574" i="1"/>
  <c r="B4575" i="1"/>
  <c r="B4576" i="1"/>
  <c r="B4577" i="1"/>
  <c r="B4578" i="1"/>
  <c r="B4579" i="1"/>
  <c r="B4580" i="1"/>
  <c r="B4581" i="1"/>
  <c r="B4582" i="1"/>
  <c r="B4583" i="1"/>
  <c r="B4584" i="1"/>
  <c r="B4585" i="1"/>
  <c r="B4586" i="1"/>
  <c r="B4587" i="1"/>
  <c r="B4588" i="1"/>
  <c r="B4589" i="1"/>
  <c r="B4590" i="1"/>
  <c r="B4591" i="1"/>
  <c r="B4592" i="1"/>
  <c r="B4593" i="1"/>
  <c r="B4594" i="1"/>
  <c r="B4595" i="1"/>
  <c r="B4596" i="1"/>
  <c r="B4597" i="1"/>
  <c r="B4598" i="1"/>
  <c r="B4599" i="1"/>
  <c r="B4600" i="1"/>
  <c r="B4601" i="1"/>
  <c r="B4602" i="1"/>
  <c r="B4603" i="1"/>
  <c r="B4604" i="1"/>
  <c r="B4605" i="1"/>
  <c r="B4606" i="1"/>
  <c r="B4607" i="1"/>
  <c r="B4608" i="1"/>
  <c r="B4609" i="1"/>
  <c r="B4610" i="1"/>
  <c r="B4611" i="1"/>
  <c r="B4612" i="1"/>
  <c r="B4613" i="1"/>
  <c r="B4614" i="1"/>
  <c r="B4615" i="1"/>
  <c r="B4616" i="1"/>
  <c r="B4617" i="1"/>
  <c r="B4618" i="1"/>
  <c r="B4619" i="1"/>
  <c r="B4620" i="1"/>
  <c r="B4621" i="1"/>
  <c r="B4622" i="1"/>
  <c r="B4623" i="1"/>
  <c r="B4624" i="1"/>
  <c r="B4625" i="1"/>
  <c r="B4626" i="1"/>
  <c r="B4627" i="1"/>
  <c r="B4628" i="1"/>
  <c r="B4629" i="1"/>
  <c r="B4630" i="1"/>
  <c r="B4631" i="1"/>
  <c r="B4632" i="1"/>
  <c r="B4633" i="1"/>
  <c r="B4634" i="1"/>
  <c r="B4635" i="1"/>
  <c r="B4636" i="1"/>
  <c r="B4637" i="1"/>
  <c r="B4638" i="1"/>
  <c r="B4639" i="1"/>
  <c r="B4640" i="1"/>
  <c r="B4641" i="1"/>
  <c r="B4642" i="1"/>
  <c r="B4643" i="1"/>
  <c r="B4644" i="1"/>
  <c r="B4645" i="1"/>
  <c r="B4646" i="1"/>
  <c r="B4647" i="1"/>
  <c r="B4648" i="1"/>
  <c r="B4649" i="1"/>
  <c r="B4650" i="1"/>
  <c r="B4651" i="1"/>
  <c r="B4652" i="1"/>
  <c r="B4653" i="1"/>
  <c r="B4654" i="1"/>
  <c r="B4655" i="1"/>
  <c r="B4656" i="1"/>
  <c r="B4657" i="1"/>
  <c r="B4658" i="1"/>
  <c r="B4659" i="1"/>
  <c r="B4660" i="1"/>
  <c r="B4661" i="1"/>
  <c r="B4662" i="1"/>
  <c r="B4663" i="1"/>
  <c r="B4664" i="1"/>
  <c r="B4665" i="1"/>
  <c r="B4666" i="1"/>
  <c r="B4667" i="1"/>
  <c r="B4668" i="1"/>
  <c r="B4669" i="1"/>
  <c r="B4670" i="1"/>
  <c r="B4671" i="1"/>
  <c r="B4672" i="1"/>
  <c r="B4673" i="1"/>
  <c r="B4674" i="1"/>
  <c r="B4675" i="1"/>
  <c r="B4676" i="1"/>
  <c r="B4677" i="1"/>
  <c r="B4678" i="1"/>
  <c r="B4679" i="1"/>
  <c r="B4680" i="1"/>
  <c r="B4681" i="1"/>
  <c r="B4682" i="1"/>
  <c r="B4683" i="1"/>
  <c r="B4684" i="1"/>
  <c r="B4685" i="1"/>
  <c r="B4686" i="1"/>
  <c r="B4687" i="1"/>
  <c r="B4688" i="1"/>
  <c r="B4689" i="1"/>
  <c r="B4690" i="1"/>
  <c r="B4691" i="1"/>
  <c r="B4692" i="1"/>
  <c r="B4693" i="1"/>
  <c r="B4694" i="1"/>
  <c r="B4695" i="1"/>
  <c r="B4696" i="1"/>
  <c r="B4697" i="1"/>
  <c r="B4698" i="1"/>
  <c r="B4699" i="1"/>
  <c r="B4700" i="1"/>
  <c r="B4701" i="1"/>
  <c r="B4702" i="1"/>
  <c r="B4703" i="1"/>
  <c r="B4704" i="1"/>
  <c r="B4705" i="1"/>
  <c r="B4706" i="1"/>
  <c r="B4707" i="1"/>
  <c r="B4708" i="1"/>
  <c r="B4709" i="1"/>
  <c r="B4710" i="1"/>
  <c r="B4711" i="1"/>
  <c r="B4712" i="1"/>
  <c r="B4713" i="1"/>
  <c r="B4714" i="1"/>
  <c r="B4715" i="1"/>
  <c r="B4716" i="1"/>
  <c r="B4717" i="1"/>
  <c r="B4718" i="1"/>
  <c r="B4719" i="1"/>
  <c r="B4720" i="1"/>
  <c r="B4721" i="1"/>
  <c r="B4722" i="1"/>
  <c r="B4723" i="1"/>
  <c r="B4724" i="1"/>
  <c r="B4725" i="1"/>
  <c r="B4726" i="1"/>
  <c r="B4727" i="1"/>
  <c r="B4728" i="1"/>
  <c r="B4729" i="1"/>
  <c r="B4730" i="1"/>
  <c r="B4731" i="1"/>
  <c r="B4732" i="1"/>
  <c r="B4733" i="1"/>
  <c r="B4734" i="1"/>
  <c r="B4735" i="1"/>
  <c r="B4736" i="1"/>
  <c r="B4737" i="1"/>
  <c r="B4738" i="1"/>
  <c r="B4739" i="1"/>
  <c r="B4740" i="1"/>
  <c r="B4741" i="1"/>
  <c r="B4742" i="1"/>
  <c r="B4743" i="1"/>
  <c r="B4744" i="1"/>
  <c r="B4745" i="1"/>
  <c r="B4746" i="1"/>
  <c r="B4747" i="1"/>
  <c r="B4748" i="1"/>
  <c r="B4749" i="1"/>
  <c r="B4750" i="1"/>
  <c r="B4751" i="1"/>
  <c r="B4752" i="1"/>
  <c r="B4753" i="1"/>
  <c r="B4754" i="1"/>
  <c r="B4755" i="1"/>
  <c r="B4756" i="1"/>
  <c r="B4757" i="1"/>
  <c r="B4758" i="1"/>
  <c r="B4759" i="1"/>
  <c r="B4760" i="1"/>
  <c r="B4761" i="1"/>
  <c r="B4762" i="1"/>
  <c r="B4763" i="1"/>
  <c r="B4764" i="1"/>
  <c r="B4765" i="1"/>
  <c r="B4766" i="1"/>
  <c r="B4767" i="1"/>
  <c r="B4768" i="1"/>
  <c r="B4769" i="1"/>
  <c r="B4770" i="1"/>
  <c r="B4771" i="1"/>
  <c r="B4772" i="1"/>
  <c r="B4773" i="1"/>
  <c r="B4774" i="1"/>
  <c r="B4775" i="1"/>
  <c r="B4776" i="1"/>
  <c r="B4777" i="1"/>
  <c r="B4778" i="1"/>
  <c r="B4779" i="1"/>
  <c r="B4780" i="1"/>
  <c r="B4781" i="1"/>
  <c r="B4782" i="1"/>
  <c r="B4783" i="1"/>
  <c r="B4784" i="1"/>
  <c r="B4785" i="1"/>
  <c r="B4786" i="1"/>
  <c r="B4787" i="1"/>
  <c r="B4788" i="1"/>
  <c r="B4789" i="1"/>
  <c r="B4790" i="1"/>
  <c r="B4791" i="1"/>
  <c r="B4792" i="1"/>
  <c r="B4793" i="1"/>
  <c r="B4794" i="1"/>
  <c r="B4795" i="1"/>
  <c r="B4796" i="1"/>
  <c r="B4797" i="1"/>
  <c r="B4798" i="1"/>
  <c r="B4799" i="1"/>
  <c r="B4800" i="1"/>
  <c r="B4801" i="1"/>
  <c r="B4802" i="1"/>
  <c r="B4803" i="1"/>
  <c r="B4804" i="1"/>
  <c r="B4805" i="1"/>
  <c r="B4806" i="1"/>
  <c r="B4807" i="1"/>
  <c r="B4808" i="1"/>
  <c r="B4809" i="1"/>
  <c r="B4810" i="1"/>
  <c r="B4811" i="1"/>
  <c r="B4812" i="1"/>
  <c r="B4813" i="1"/>
  <c r="B4814" i="1"/>
  <c r="B4815" i="1"/>
  <c r="B4816" i="1"/>
  <c r="B4817" i="1"/>
  <c r="B4818" i="1"/>
  <c r="B4819" i="1"/>
  <c r="B4820" i="1"/>
  <c r="B4821" i="1"/>
  <c r="B4822" i="1"/>
  <c r="B4823" i="1"/>
  <c r="B4824" i="1"/>
  <c r="B4825" i="1"/>
  <c r="B4826" i="1"/>
  <c r="B4827" i="1"/>
  <c r="B4828" i="1"/>
  <c r="B4829" i="1"/>
  <c r="B4830" i="1"/>
  <c r="B4831" i="1"/>
  <c r="B4832" i="1"/>
  <c r="B4833" i="1"/>
  <c r="B4834" i="1"/>
  <c r="B4835" i="1"/>
  <c r="B4836" i="1"/>
  <c r="B4837" i="1"/>
  <c r="B4838" i="1"/>
  <c r="B4839" i="1"/>
  <c r="B4840" i="1"/>
  <c r="B4841" i="1"/>
  <c r="B4842" i="1"/>
  <c r="B4843" i="1"/>
  <c r="B4844" i="1"/>
  <c r="B4845" i="1"/>
  <c r="B4846" i="1"/>
  <c r="B4847" i="1"/>
  <c r="B4848" i="1"/>
  <c r="B4849" i="1"/>
  <c r="B4850" i="1"/>
  <c r="B4851" i="1"/>
  <c r="B4852" i="1"/>
  <c r="B4853" i="1"/>
  <c r="B4854" i="1"/>
  <c r="B4855" i="1"/>
  <c r="B4856" i="1"/>
  <c r="B4857" i="1"/>
  <c r="B4858" i="1"/>
  <c r="B4859" i="1"/>
  <c r="B4860" i="1"/>
  <c r="B4861" i="1"/>
  <c r="B4862" i="1"/>
  <c r="B4863" i="1"/>
  <c r="B4864" i="1"/>
  <c r="B4865" i="1"/>
  <c r="B4866" i="1"/>
  <c r="B4867" i="1"/>
  <c r="B4868" i="1"/>
  <c r="B4869" i="1"/>
  <c r="B4870" i="1"/>
  <c r="B4871" i="1"/>
  <c r="B4872" i="1"/>
  <c r="B4873" i="1"/>
  <c r="B4874" i="1"/>
  <c r="B4875" i="1"/>
  <c r="B4876" i="1"/>
  <c r="B4877" i="1"/>
  <c r="B4878" i="1"/>
  <c r="B4879" i="1"/>
  <c r="B4880" i="1"/>
  <c r="B4881" i="1"/>
  <c r="B4882" i="1"/>
  <c r="B4883" i="1"/>
  <c r="B4884" i="1"/>
  <c r="B4885" i="1"/>
  <c r="B4886" i="1"/>
  <c r="B4887" i="1"/>
  <c r="B4888" i="1"/>
  <c r="B4889" i="1"/>
  <c r="B4890" i="1"/>
  <c r="B4891" i="1"/>
  <c r="B4892" i="1"/>
  <c r="B4893" i="1"/>
  <c r="B4894" i="1"/>
  <c r="B4895" i="1"/>
  <c r="B4896" i="1"/>
  <c r="B4897" i="1"/>
  <c r="B4898" i="1"/>
  <c r="B4899" i="1"/>
  <c r="B4900" i="1"/>
  <c r="B4901" i="1"/>
  <c r="B4902" i="1"/>
  <c r="B4903" i="1"/>
  <c r="B4904" i="1"/>
  <c r="B4905" i="1"/>
  <c r="B4906" i="1"/>
  <c r="B4907" i="1"/>
  <c r="B4908" i="1"/>
  <c r="B4909" i="1"/>
  <c r="B4910" i="1"/>
  <c r="B4911" i="1"/>
  <c r="B4912" i="1"/>
  <c r="B4913" i="1"/>
  <c r="B4914" i="1"/>
  <c r="B4915" i="1"/>
  <c r="B4916" i="1"/>
  <c r="B4917" i="1"/>
  <c r="B4918" i="1"/>
  <c r="B4919" i="1"/>
  <c r="B4920" i="1"/>
  <c r="B4921" i="1"/>
  <c r="B4922" i="1"/>
  <c r="B4923" i="1"/>
  <c r="B4924" i="1"/>
  <c r="B4925" i="1"/>
  <c r="B4926" i="1"/>
  <c r="B4927" i="1"/>
  <c r="B4928" i="1"/>
  <c r="B4929" i="1"/>
  <c r="B4930" i="1"/>
  <c r="B4931" i="1"/>
  <c r="B4932" i="1"/>
  <c r="B4933" i="1"/>
  <c r="B4934" i="1"/>
  <c r="B4935" i="1"/>
  <c r="B4936" i="1"/>
  <c r="B4937" i="1"/>
  <c r="B4938" i="1"/>
  <c r="B4939" i="1"/>
  <c r="B4940" i="1"/>
  <c r="B4941" i="1"/>
  <c r="B4942" i="1"/>
  <c r="B4943" i="1"/>
  <c r="B4944" i="1"/>
  <c r="B4945" i="1"/>
  <c r="B4946" i="1"/>
  <c r="B4947" i="1"/>
  <c r="B4948" i="1"/>
  <c r="B4949" i="1"/>
  <c r="B4950" i="1"/>
  <c r="B4951" i="1"/>
  <c r="B4952" i="1"/>
  <c r="B4953" i="1"/>
  <c r="B4954" i="1"/>
  <c r="B4955" i="1"/>
  <c r="B4956" i="1"/>
  <c r="B4957" i="1"/>
  <c r="B4958" i="1"/>
  <c r="B4959" i="1"/>
  <c r="B4960" i="1"/>
  <c r="B4961" i="1"/>
  <c r="B4962" i="1"/>
  <c r="B4963" i="1"/>
  <c r="B4964" i="1"/>
  <c r="B4965" i="1"/>
  <c r="B4966" i="1"/>
  <c r="B4967" i="1"/>
  <c r="B4968" i="1"/>
  <c r="B4969" i="1"/>
  <c r="B4970" i="1"/>
  <c r="B4971" i="1"/>
  <c r="B4972" i="1"/>
  <c r="B4973" i="1"/>
  <c r="B4974" i="1"/>
  <c r="B4975" i="1"/>
  <c r="B4976" i="1"/>
  <c r="B4977" i="1"/>
  <c r="B4978" i="1"/>
  <c r="B4979" i="1"/>
  <c r="B4980" i="1"/>
  <c r="B4981" i="1"/>
  <c r="B4982" i="1"/>
  <c r="B4983" i="1"/>
  <c r="B4984" i="1"/>
  <c r="B4985" i="1"/>
  <c r="B4986" i="1"/>
  <c r="B4987" i="1"/>
  <c r="B4988" i="1"/>
  <c r="B4989" i="1"/>
  <c r="B4990" i="1"/>
  <c r="B4991" i="1"/>
  <c r="B4992" i="1"/>
  <c r="B4993" i="1"/>
  <c r="B4994" i="1"/>
  <c r="B4995" i="1"/>
  <c r="B4996" i="1"/>
  <c r="B4997" i="1"/>
  <c r="B4998" i="1"/>
  <c r="B4999" i="1"/>
  <c r="B5000" i="1"/>
  <c r="B5001" i="1"/>
  <c r="B5002" i="1"/>
  <c r="B5003" i="1"/>
  <c r="B5004" i="1"/>
  <c r="B5005" i="1"/>
  <c r="B5006" i="1"/>
  <c r="B5007" i="1"/>
  <c r="B5008" i="1"/>
  <c r="B5009" i="1"/>
  <c r="B5010" i="1"/>
  <c r="B5011" i="1"/>
  <c r="B5012" i="1"/>
  <c r="B5013" i="1"/>
  <c r="B5014" i="1"/>
  <c r="B5015" i="1"/>
  <c r="B5016" i="1"/>
  <c r="B5017" i="1"/>
  <c r="B5018" i="1"/>
  <c r="B5019" i="1"/>
  <c r="B5020" i="1"/>
  <c r="B5021" i="1"/>
  <c r="B5022" i="1"/>
  <c r="B5023" i="1"/>
  <c r="B5024" i="1"/>
  <c r="B5025" i="1"/>
  <c r="B5026" i="1"/>
  <c r="B5027" i="1"/>
  <c r="B5028" i="1"/>
  <c r="B5029" i="1"/>
  <c r="B5030" i="1"/>
  <c r="B5031" i="1"/>
  <c r="B5032" i="1"/>
  <c r="B5033" i="1"/>
  <c r="B5034" i="1"/>
  <c r="B5035" i="1"/>
  <c r="B5036" i="1"/>
  <c r="B5037" i="1"/>
  <c r="B5038" i="1"/>
  <c r="B5039" i="1"/>
  <c r="B5040" i="1"/>
  <c r="B5041" i="1"/>
  <c r="B5042" i="1"/>
  <c r="B5043" i="1"/>
  <c r="B5044" i="1"/>
  <c r="B5045" i="1"/>
  <c r="B5046" i="1"/>
  <c r="B5047" i="1"/>
  <c r="B5048" i="1"/>
  <c r="B5049" i="1"/>
  <c r="B5050" i="1"/>
  <c r="B5051" i="1"/>
  <c r="B5052" i="1"/>
  <c r="B5053" i="1"/>
  <c r="B5054" i="1"/>
  <c r="B5055" i="1"/>
  <c r="B5056" i="1"/>
  <c r="B5057" i="1"/>
  <c r="B5058" i="1"/>
  <c r="B5059" i="1"/>
  <c r="B5060" i="1"/>
  <c r="B5061" i="1"/>
  <c r="B5062" i="1"/>
  <c r="B5063" i="1"/>
  <c r="B5064" i="1"/>
  <c r="B5065" i="1"/>
  <c r="B5066" i="1"/>
  <c r="B5067" i="1"/>
  <c r="B5068" i="1"/>
  <c r="B5069" i="1"/>
  <c r="B5070" i="1"/>
  <c r="B5071" i="1"/>
  <c r="B5072" i="1"/>
  <c r="B5073" i="1"/>
  <c r="B5074" i="1"/>
  <c r="B5075" i="1"/>
  <c r="B5076" i="1"/>
  <c r="B5077" i="1"/>
  <c r="B5078" i="1"/>
  <c r="B5079" i="1"/>
  <c r="B5080" i="1"/>
  <c r="B5081" i="1"/>
  <c r="B5082" i="1"/>
  <c r="B5083" i="1"/>
  <c r="B5084" i="1"/>
  <c r="B5085" i="1"/>
  <c r="B5086" i="1"/>
  <c r="B5087" i="1"/>
  <c r="B5088" i="1"/>
  <c r="B5089" i="1"/>
  <c r="B5090" i="1"/>
  <c r="B5091" i="1"/>
  <c r="B5092" i="1"/>
  <c r="B5093" i="1"/>
  <c r="B5094" i="1"/>
  <c r="B5095" i="1"/>
  <c r="B5096" i="1"/>
  <c r="B5097" i="1"/>
  <c r="B5098" i="1"/>
  <c r="B5099" i="1"/>
  <c r="B5100" i="1"/>
  <c r="B5101" i="1"/>
  <c r="B5102" i="1"/>
  <c r="B5103" i="1"/>
  <c r="B5104" i="1"/>
  <c r="B5105" i="1"/>
  <c r="B5106" i="1"/>
  <c r="B3" i="1"/>
  <c r="A3" i="1"/>
  <c r="C993" i="1" l="1"/>
  <c r="G2" i="1"/>
  <c r="H2" i="1"/>
  <c r="D2" i="1"/>
  <c r="B2" i="1"/>
  <c r="C2" i="1"/>
  <c r="E2" i="1"/>
  <c r="F2" i="1"/>
  <c r="G4624" i="1"/>
  <c r="H4624" i="1"/>
  <c r="D4624" i="1"/>
  <c r="A4624" i="1"/>
  <c r="C4624" i="1"/>
  <c r="E4624" i="1"/>
  <c r="F4624" i="1"/>
  <c r="G277" i="1"/>
  <c r="H277" i="1"/>
  <c r="D277" i="1"/>
  <c r="A277" i="1"/>
  <c r="C277" i="1"/>
  <c r="E277" i="1"/>
  <c r="F277" i="1"/>
  <c r="G3832" i="1"/>
  <c r="H3832" i="1"/>
  <c r="D3832" i="1"/>
  <c r="A3832" i="1"/>
  <c r="C3832" i="1"/>
  <c r="E3832" i="1"/>
  <c r="F3832" i="1"/>
  <c r="G2554" i="1"/>
  <c r="H2554" i="1"/>
  <c r="D2554" i="1"/>
  <c r="A2554" i="1"/>
  <c r="C2554" i="1"/>
  <c r="E2554" i="1"/>
  <c r="F2554" i="1"/>
  <c r="G3688" i="1"/>
  <c r="H3688" i="1"/>
  <c r="D3688" i="1"/>
  <c r="A3688" i="1"/>
  <c r="C3688" i="1"/>
  <c r="E3688" i="1"/>
  <c r="F3688" i="1"/>
  <c r="G1143" i="1"/>
  <c r="H1143" i="1"/>
  <c r="D1143" i="1"/>
  <c r="A1143" i="1"/>
  <c r="C1143" i="1"/>
  <c r="E1143" i="1"/>
  <c r="F1143" i="1"/>
  <c r="G4434" i="1"/>
  <c r="H4434" i="1"/>
  <c r="D4434" i="1"/>
  <c r="A4434" i="1"/>
  <c r="C4434" i="1"/>
  <c r="E4434" i="1"/>
  <c r="F4434" i="1"/>
  <c r="G2075" i="1"/>
  <c r="H2075" i="1"/>
  <c r="D2075" i="1"/>
  <c r="A2075" i="1"/>
  <c r="C2075" i="1"/>
  <c r="E2075" i="1"/>
  <c r="F2075" i="1"/>
  <c r="G4381" i="1"/>
  <c r="H4381" i="1"/>
  <c r="D4381" i="1"/>
  <c r="A4381" i="1"/>
  <c r="C4381" i="1"/>
  <c r="E4381" i="1"/>
  <c r="F4381" i="1"/>
  <c r="G3972" i="1"/>
  <c r="H3972" i="1"/>
  <c r="D3972" i="1"/>
  <c r="A3972" i="1"/>
  <c r="C3972" i="1"/>
  <c r="E3972" i="1"/>
  <c r="F3972" i="1"/>
  <c r="G2076" i="1"/>
  <c r="H2076" i="1"/>
  <c r="D2076" i="1"/>
  <c r="A2076" i="1"/>
  <c r="C2076" i="1"/>
  <c r="E2076" i="1"/>
  <c r="F2076" i="1"/>
  <c r="G4383" i="1"/>
  <c r="H4383" i="1"/>
  <c r="D4383" i="1"/>
  <c r="A4383" i="1"/>
  <c r="C4383" i="1"/>
  <c r="E4383" i="1"/>
  <c r="F4383" i="1"/>
  <c r="G4317" i="1"/>
  <c r="H4317" i="1"/>
  <c r="D4317" i="1"/>
  <c r="A4317" i="1"/>
  <c r="C4317" i="1"/>
  <c r="E4317" i="1"/>
  <c r="F4317" i="1"/>
  <c r="G2078" i="1"/>
  <c r="H2078" i="1"/>
  <c r="D2078" i="1"/>
  <c r="A2078" i="1"/>
  <c r="C2078" i="1"/>
  <c r="E2078" i="1"/>
  <c r="F2078" i="1"/>
  <c r="G4384" i="1"/>
  <c r="H4384" i="1"/>
  <c r="D4384" i="1"/>
  <c r="A4384" i="1"/>
  <c r="C4384" i="1"/>
  <c r="E4384" i="1"/>
  <c r="F4384" i="1"/>
  <c r="G1352" i="1"/>
  <c r="H1352" i="1"/>
  <c r="D1352" i="1"/>
  <c r="A1352" i="1"/>
  <c r="C1352" i="1"/>
  <c r="E1352" i="1"/>
  <c r="F1352" i="1"/>
  <c r="G1467" i="1"/>
  <c r="H1467" i="1"/>
  <c r="D1467" i="1"/>
  <c r="A1467" i="1"/>
  <c r="C1467" i="1"/>
  <c r="E1467" i="1"/>
  <c r="F1467" i="1"/>
  <c r="G4387" i="1"/>
  <c r="H4387" i="1"/>
  <c r="D4387" i="1"/>
  <c r="A4387" i="1"/>
  <c r="C4387" i="1"/>
  <c r="E4387" i="1"/>
  <c r="F4387" i="1"/>
  <c r="G1334" i="1"/>
  <c r="H1334" i="1"/>
  <c r="D1334" i="1"/>
  <c r="A1334" i="1"/>
  <c r="C1334" i="1"/>
  <c r="E1334" i="1"/>
  <c r="F1334" i="1"/>
  <c r="G2084" i="1"/>
  <c r="H2084" i="1"/>
  <c r="D2084" i="1"/>
  <c r="A2084" i="1"/>
  <c r="C2084" i="1"/>
  <c r="E2084" i="1"/>
  <c r="F2084" i="1"/>
  <c r="G4396" i="1"/>
  <c r="H4396" i="1"/>
  <c r="D4396" i="1"/>
  <c r="A4396" i="1"/>
  <c r="C4396" i="1"/>
  <c r="E4396" i="1"/>
  <c r="F4396" i="1"/>
  <c r="G1333" i="1"/>
  <c r="H1333" i="1"/>
  <c r="D1333" i="1"/>
  <c r="A1333" i="1"/>
  <c r="C1333" i="1"/>
  <c r="E1333" i="1"/>
  <c r="F1333" i="1"/>
  <c r="G2112" i="1"/>
  <c r="H2112" i="1"/>
  <c r="D2112" i="1"/>
  <c r="A2112" i="1"/>
  <c r="C2112" i="1"/>
  <c r="E2112" i="1"/>
  <c r="F2112" i="1"/>
  <c r="G4398" i="1"/>
  <c r="H4398" i="1"/>
  <c r="D4398" i="1"/>
  <c r="A4398" i="1"/>
  <c r="C4398" i="1"/>
  <c r="E4398" i="1"/>
  <c r="F4398" i="1"/>
  <c r="G458" i="1"/>
  <c r="H458" i="1"/>
  <c r="D458" i="1"/>
  <c r="A458" i="1"/>
  <c r="C458" i="1"/>
  <c r="E458" i="1"/>
  <c r="F458" i="1"/>
  <c r="G2115" i="1"/>
  <c r="H2115" i="1"/>
  <c r="D2115" i="1"/>
  <c r="A2115" i="1"/>
  <c r="C2115" i="1"/>
  <c r="E2115" i="1"/>
  <c r="F2115" i="1"/>
  <c r="G4399" i="1"/>
  <c r="H4399" i="1"/>
  <c r="D4399" i="1"/>
  <c r="A4399" i="1"/>
  <c r="C4399" i="1"/>
  <c r="E4399" i="1"/>
  <c r="F4399" i="1"/>
  <c r="G1335" i="1"/>
  <c r="H1335" i="1"/>
  <c r="D1335" i="1"/>
  <c r="A1335" i="1"/>
  <c r="C1335" i="1"/>
  <c r="E1335" i="1"/>
  <c r="F1335" i="1"/>
  <c r="G2126" i="1"/>
  <c r="H2126" i="1"/>
  <c r="D2126" i="1"/>
  <c r="A2126" i="1"/>
  <c r="C2126" i="1"/>
  <c r="E2126" i="1"/>
  <c r="F2126" i="1"/>
  <c r="G4400" i="1"/>
  <c r="H4400" i="1"/>
  <c r="D4400" i="1"/>
  <c r="A4400" i="1"/>
  <c r="C4400" i="1"/>
  <c r="E4400" i="1"/>
  <c r="F4400" i="1"/>
  <c r="G469" i="1"/>
  <c r="H469" i="1"/>
  <c r="D469" i="1"/>
  <c r="A469" i="1"/>
  <c r="C469" i="1"/>
  <c r="E469" i="1"/>
  <c r="F469" i="1"/>
  <c r="G2141" i="1"/>
  <c r="H2141" i="1"/>
  <c r="D2141" i="1"/>
  <c r="A2141" i="1"/>
  <c r="C2141" i="1"/>
  <c r="E2141" i="1"/>
  <c r="F2141" i="1"/>
  <c r="G4406" i="1"/>
  <c r="H4406" i="1"/>
  <c r="D4406" i="1"/>
  <c r="A4406" i="1"/>
  <c r="C4406" i="1"/>
  <c r="E4406" i="1"/>
  <c r="F4406" i="1"/>
  <c r="G1390" i="1"/>
  <c r="H1390" i="1"/>
  <c r="D1390" i="1"/>
  <c r="A1390" i="1"/>
  <c r="C1390" i="1"/>
  <c r="E1390" i="1"/>
  <c r="F1390" i="1"/>
  <c r="G2199" i="1"/>
  <c r="H2199" i="1"/>
  <c r="D2199" i="1"/>
  <c r="A2199" i="1"/>
  <c r="C2199" i="1"/>
  <c r="E2199" i="1"/>
  <c r="F2199" i="1"/>
  <c r="G4407" i="1"/>
  <c r="H4407" i="1"/>
  <c r="D4407" i="1"/>
  <c r="A4407" i="1"/>
  <c r="C4407" i="1"/>
  <c r="E4407" i="1"/>
  <c r="F4407" i="1"/>
  <c r="G1401" i="1"/>
  <c r="H1401" i="1"/>
  <c r="D1401" i="1"/>
  <c r="A1401" i="1"/>
  <c r="C1401" i="1"/>
  <c r="E1401" i="1"/>
  <c r="F1401" i="1"/>
  <c r="G2143" i="1"/>
  <c r="H2143" i="1"/>
  <c r="D2143" i="1"/>
  <c r="A2143" i="1"/>
  <c r="C2143" i="1"/>
  <c r="E2143" i="1"/>
  <c r="F2143" i="1"/>
  <c r="G112" i="1"/>
  <c r="H112" i="1"/>
  <c r="D112" i="1"/>
  <c r="A112" i="1"/>
  <c r="C112" i="1"/>
  <c r="E112" i="1"/>
  <c r="F112" i="1"/>
  <c r="G1407" i="1"/>
  <c r="H1407" i="1"/>
  <c r="D1407" i="1"/>
  <c r="A1407" i="1"/>
  <c r="C1407" i="1"/>
  <c r="E1407" i="1"/>
  <c r="F1407" i="1"/>
  <c r="G2173" i="1"/>
  <c r="H2173" i="1"/>
  <c r="D2173" i="1"/>
  <c r="A2173" i="1"/>
  <c r="C2173" i="1"/>
  <c r="E2173" i="1"/>
  <c r="F2173" i="1"/>
  <c r="G4435" i="1"/>
  <c r="H4435" i="1"/>
  <c r="D4435" i="1"/>
  <c r="A4435" i="1"/>
  <c r="C4435" i="1"/>
  <c r="E4435" i="1"/>
  <c r="F4435" i="1"/>
  <c r="G4436" i="1"/>
  <c r="H4436" i="1"/>
  <c r="D4436" i="1"/>
  <c r="A4436" i="1"/>
  <c r="C4436" i="1"/>
  <c r="E4436" i="1"/>
  <c r="F4436" i="1"/>
  <c r="G1418" i="1"/>
  <c r="H1418" i="1"/>
  <c r="D1418" i="1"/>
  <c r="A1418" i="1"/>
  <c r="C1418" i="1"/>
  <c r="E1418" i="1"/>
  <c r="F1418" i="1"/>
  <c r="G2185" i="1"/>
  <c r="H2185" i="1"/>
  <c r="D2185" i="1"/>
  <c r="A2185" i="1"/>
  <c r="C2185" i="1"/>
  <c r="E2185" i="1"/>
  <c r="F2185" i="1"/>
  <c r="G4441" i="1"/>
  <c r="H4441" i="1"/>
  <c r="D4441" i="1"/>
  <c r="A4441" i="1"/>
  <c r="C4441" i="1"/>
  <c r="E4441" i="1"/>
  <c r="F4441" i="1"/>
  <c r="G1341" i="1"/>
  <c r="H1341" i="1"/>
  <c r="D1341" i="1"/>
  <c r="A1341" i="1"/>
  <c r="C1341" i="1"/>
  <c r="E1341" i="1"/>
  <c r="F1341" i="1"/>
  <c r="G2095" i="1"/>
  <c r="H2095" i="1"/>
  <c r="D2095" i="1"/>
  <c r="A2095" i="1"/>
  <c r="C2095" i="1"/>
  <c r="E2095" i="1"/>
  <c r="F2095" i="1"/>
  <c r="G4445" i="1"/>
  <c r="H4445" i="1"/>
  <c r="D4445" i="1"/>
  <c r="A4445" i="1"/>
  <c r="C4445" i="1"/>
  <c r="E4445" i="1"/>
  <c r="F4445" i="1"/>
  <c r="G570" i="1"/>
  <c r="H570" i="1"/>
  <c r="D570" i="1"/>
  <c r="A570" i="1"/>
  <c r="C570" i="1"/>
  <c r="E570" i="1"/>
  <c r="F570" i="1"/>
  <c r="G2096" i="1"/>
  <c r="H2096" i="1"/>
  <c r="D2096" i="1"/>
  <c r="A2096" i="1"/>
  <c r="C2096" i="1"/>
  <c r="E2096" i="1"/>
  <c r="F2096" i="1"/>
  <c r="G4460" i="1"/>
  <c r="H4460" i="1"/>
  <c r="D4460" i="1"/>
  <c r="A4460" i="1"/>
  <c r="C4460" i="1"/>
  <c r="E4460" i="1"/>
  <c r="F4460" i="1"/>
  <c r="G571" i="1"/>
  <c r="H571" i="1"/>
  <c r="D571" i="1"/>
  <c r="A571" i="1"/>
  <c r="C571" i="1"/>
  <c r="E571" i="1"/>
  <c r="F571" i="1"/>
  <c r="G2247" i="1"/>
  <c r="H2247" i="1"/>
  <c r="D2247" i="1"/>
  <c r="A2247" i="1"/>
  <c r="C2247" i="1"/>
  <c r="E2247" i="1"/>
  <c r="F2247" i="1"/>
  <c r="G1368" i="1"/>
  <c r="H1368" i="1"/>
  <c r="D1368" i="1"/>
  <c r="A1368" i="1"/>
  <c r="C1368" i="1"/>
  <c r="E1368" i="1"/>
  <c r="F1368" i="1"/>
  <c r="G2086" i="1"/>
  <c r="H2086" i="1"/>
  <c r="D2086" i="1"/>
  <c r="A2086" i="1"/>
  <c r="C2086" i="1"/>
  <c r="E2086" i="1"/>
  <c r="F2086" i="1"/>
  <c r="G1372" i="1"/>
  <c r="H1372" i="1"/>
  <c r="D1372" i="1"/>
  <c r="A1372" i="1"/>
  <c r="C1372" i="1"/>
  <c r="E1372" i="1"/>
  <c r="F1372" i="1"/>
  <c r="G1376" i="1"/>
  <c r="H1376" i="1"/>
  <c r="D1376" i="1"/>
  <c r="A1376" i="1"/>
  <c r="C1376" i="1"/>
  <c r="E1376" i="1"/>
  <c r="F1376" i="1"/>
  <c r="G1277" i="1"/>
  <c r="H1277" i="1"/>
  <c r="D1277" i="1"/>
  <c r="A1277" i="1"/>
  <c r="C1277" i="1"/>
  <c r="E1277" i="1"/>
  <c r="F1277" i="1"/>
  <c r="G4474" i="1"/>
  <c r="H4474" i="1"/>
  <c r="D4474" i="1"/>
  <c r="A4474" i="1"/>
  <c r="C4474" i="1"/>
  <c r="E4474" i="1"/>
  <c r="F4474" i="1"/>
  <c r="G2258" i="1"/>
  <c r="H2258" i="1"/>
  <c r="D2258" i="1"/>
  <c r="A2258" i="1"/>
  <c r="C2258" i="1"/>
  <c r="E2258" i="1"/>
  <c r="F2258" i="1"/>
  <c r="G4475" i="1"/>
  <c r="H4475" i="1"/>
  <c r="D4475" i="1"/>
  <c r="A4475" i="1"/>
  <c r="C4475" i="1"/>
  <c r="E4475" i="1"/>
  <c r="F4475" i="1"/>
  <c r="G2556" i="1"/>
  <c r="H2556" i="1"/>
  <c r="D2556" i="1"/>
  <c r="A2556" i="1"/>
  <c r="C2556" i="1"/>
  <c r="E2556" i="1"/>
  <c r="F2556" i="1"/>
  <c r="G2260" i="1"/>
  <c r="H2260" i="1"/>
  <c r="D2260" i="1"/>
  <c r="A2260" i="1"/>
  <c r="C2260" i="1"/>
  <c r="E2260" i="1"/>
  <c r="F2260" i="1"/>
  <c r="G2259" i="1"/>
  <c r="H2259" i="1"/>
  <c r="D2259" i="1"/>
  <c r="A2259" i="1"/>
  <c r="C2259" i="1"/>
  <c r="E2259" i="1"/>
  <c r="F2259" i="1"/>
  <c r="G2632" i="1"/>
  <c r="H2632" i="1"/>
  <c r="D2632" i="1"/>
  <c r="A2632" i="1"/>
  <c r="C2632" i="1"/>
  <c r="E2632" i="1"/>
  <c r="F2632" i="1"/>
  <c r="G2280" i="1"/>
  <c r="H2280" i="1"/>
  <c r="D2280" i="1"/>
  <c r="A2280" i="1"/>
  <c r="C2280" i="1"/>
  <c r="E2280" i="1"/>
  <c r="F2280" i="1"/>
  <c r="G4493" i="1"/>
  <c r="H4493" i="1"/>
  <c r="D4493" i="1"/>
  <c r="A4493" i="1"/>
  <c r="C4493" i="1"/>
  <c r="E4493" i="1"/>
  <c r="F4493" i="1"/>
  <c r="G2639" i="1"/>
  <c r="H2639" i="1"/>
  <c r="D2639" i="1"/>
  <c r="A2639" i="1"/>
  <c r="C2639" i="1"/>
  <c r="E2639" i="1"/>
  <c r="F2639" i="1"/>
  <c r="G2281" i="1"/>
  <c r="H2281" i="1"/>
  <c r="D2281" i="1"/>
  <c r="A2281" i="1"/>
  <c r="C2281" i="1"/>
  <c r="E2281" i="1"/>
  <c r="F2281" i="1"/>
  <c r="G4501" i="1"/>
  <c r="H4501" i="1"/>
  <c r="D4501" i="1"/>
  <c r="A4501" i="1"/>
  <c r="C4501" i="1"/>
  <c r="E4501" i="1"/>
  <c r="F4501" i="1"/>
  <c r="G1348" i="1"/>
  <c r="H1348" i="1"/>
  <c r="D1348" i="1"/>
  <c r="A1348" i="1"/>
  <c r="C1348" i="1"/>
  <c r="E1348" i="1"/>
  <c r="F1348" i="1"/>
  <c r="G2283" i="1"/>
  <c r="H2283" i="1"/>
  <c r="D2283" i="1"/>
  <c r="A2283" i="1"/>
  <c r="C2283" i="1"/>
  <c r="E2283" i="1"/>
  <c r="F2283" i="1"/>
  <c r="G1456" i="1"/>
  <c r="H1456" i="1"/>
  <c r="D1456" i="1"/>
  <c r="A1456" i="1"/>
  <c r="C1456" i="1"/>
  <c r="E1456" i="1"/>
  <c r="F1456" i="1"/>
  <c r="G2282" i="1"/>
  <c r="H2282" i="1"/>
  <c r="D2282" i="1"/>
  <c r="A2282" i="1"/>
  <c r="C2282" i="1"/>
  <c r="E2282" i="1"/>
  <c r="F2282" i="1"/>
  <c r="G4503" i="1"/>
  <c r="H4503" i="1"/>
  <c r="D4503" i="1"/>
  <c r="A4503" i="1"/>
  <c r="C4503" i="1"/>
  <c r="E4503" i="1"/>
  <c r="F4503" i="1"/>
  <c r="G1461" i="1"/>
  <c r="H1461" i="1"/>
  <c r="D1461" i="1"/>
  <c r="A1461" i="1"/>
  <c r="C1461" i="1"/>
  <c r="E1461" i="1"/>
  <c r="F1461" i="1"/>
  <c r="G2285" i="1"/>
  <c r="H2285" i="1"/>
  <c r="D2285" i="1"/>
  <c r="A2285" i="1"/>
  <c r="C2285" i="1"/>
  <c r="E2285" i="1"/>
  <c r="F2285" i="1"/>
  <c r="G4504" i="1"/>
  <c r="H4504" i="1"/>
  <c r="D4504" i="1"/>
  <c r="A4504" i="1"/>
  <c r="C4504" i="1"/>
  <c r="E4504" i="1"/>
  <c r="F4504" i="1"/>
  <c r="G647" i="1"/>
  <c r="H647" i="1"/>
  <c r="D647" i="1"/>
  <c r="A647" i="1"/>
  <c r="C647" i="1"/>
  <c r="E647" i="1"/>
  <c r="F647" i="1"/>
  <c r="G2287" i="1"/>
  <c r="H2287" i="1"/>
  <c r="D2287" i="1"/>
  <c r="A2287" i="1"/>
  <c r="C2287" i="1"/>
  <c r="E2287" i="1"/>
  <c r="F2287" i="1"/>
  <c r="G1501" i="1"/>
  <c r="H1501" i="1"/>
  <c r="D1501" i="1"/>
  <c r="A1501" i="1"/>
  <c r="C1501" i="1"/>
  <c r="E1501" i="1"/>
  <c r="F1501" i="1"/>
  <c r="G1423" i="1"/>
  <c r="H1423" i="1"/>
  <c r="D1423" i="1"/>
  <c r="A1423" i="1"/>
  <c r="C1423" i="1"/>
  <c r="E1423" i="1"/>
  <c r="F1423" i="1"/>
  <c r="G2291" i="1"/>
  <c r="H2291" i="1"/>
  <c r="D2291" i="1"/>
  <c r="A2291" i="1"/>
  <c r="C2291" i="1"/>
  <c r="E2291" i="1"/>
  <c r="F2291" i="1"/>
  <c r="G4509" i="1"/>
  <c r="H4509" i="1"/>
  <c r="D4509" i="1"/>
  <c r="A4509" i="1"/>
  <c r="C4509" i="1"/>
  <c r="E4509" i="1"/>
  <c r="F4509" i="1"/>
  <c r="G3770" i="1"/>
  <c r="H3770" i="1"/>
  <c r="D3770" i="1"/>
  <c r="A3770" i="1"/>
  <c r="C3770" i="1"/>
  <c r="E3770" i="1"/>
  <c r="F3770" i="1"/>
  <c r="G1362" i="1"/>
  <c r="H1362" i="1"/>
  <c r="D1362" i="1"/>
  <c r="A1362" i="1"/>
  <c r="C1362" i="1"/>
  <c r="E1362" i="1"/>
  <c r="F1362" i="1"/>
  <c r="G4510" i="1"/>
  <c r="H4510" i="1"/>
  <c r="D4510" i="1"/>
  <c r="A4510" i="1"/>
  <c r="C4510" i="1"/>
  <c r="E4510" i="1"/>
  <c r="F4510" i="1"/>
  <c r="G4216" i="1"/>
  <c r="H4216" i="1"/>
  <c r="D4216" i="1"/>
  <c r="A4216" i="1"/>
  <c r="C4216" i="1"/>
  <c r="E4216" i="1"/>
  <c r="F4216" i="1"/>
  <c r="G4514" i="1"/>
  <c r="H4514" i="1"/>
  <c r="D4514" i="1"/>
  <c r="A4514" i="1"/>
  <c r="C4514" i="1"/>
  <c r="E4514" i="1"/>
  <c r="F4514" i="1"/>
  <c r="G1454" i="1"/>
  <c r="H1454" i="1"/>
  <c r="D1454" i="1"/>
  <c r="A1454" i="1"/>
  <c r="C1454" i="1"/>
  <c r="E1454" i="1"/>
  <c r="F1454" i="1"/>
  <c r="G4512" i="1"/>
  <c r="H4512" i="1"/>
  <c r="D4512" i="1"/>
  <c r="A4512" i="1"/>
  <c r="C4512" i="1"/>
  <c r="E4512" i="1"/>
  <c r="F4512" i="1"/>
  <c r="G3966" i="1"/>
  <c r="H3966" i="1"/>
  <c r="D3966" i="1"/>
  <c r="A3966" i="1"/>
  <c r="C3966" i="1"/>
  <c r="E3966" i="1"/>
  <c r="F3966" i="1"/>
  <c r="G4519" i="1"/>
  <c r="H4519" i="1"/>
  <c r="D4519" i="1"/>
  <c r="A4519" i="1"/>
  <c r="C4519" i="1"/>
  <c r="E4519" i="1"/>
  <c r="F4519" i="1"/>
  <c r="G2688" i="1"/>
  <c r="H2688" i="1"/>
  <c r="D2688" i="1"/>
  <c r="A2688" i="1"/>
  <c r="C2688" i="1"/>
  <c r="E2688" i="1"/>
  <c r="F2688" i="1"/>
  <c r="G2307" i="1"/>
  <c r="H2307" i="1"/>
  <c r="D2307" i="1"/>
  <c r="A2307" i="1"/>
  <c r="C2307" i="1"/>
  <c r="E2307" i="1"/>
  <c r="F2307" i="1"/>
  <c r="G4520" i="1"/>
  <c r="H4520" i="1"/>
  <c r="D4520" i="1"/>
  <c r="A4520" i="1"/>
  <c r="C4520" i="1"/>
  <c r="E4520" i="1"/>
  <c r="F4520" i="1"/>
  <c r="G1397" i="1"/>
  <c r="H1397" i="1"/>
  <c r="D1397" i="1"/>
  <c r="A1397" i="1"/>
  <c r="C1397" i="1"/>
  <c r="E1397" i="1"/>
  <c r="F1397" i="1"/>
  <c r="G2311" i="1"/>
  <c r="H2311" i="1"/>
  <c r="D2311" i="1"/>
  <c r="A2311" i="1"/>
  <c r="C2311" i="1"/>
  <c r="E2311" i="1"/>
  <c r="F2311" i="1"/>
  <c r="G2857" i="1"/>
  <c r="H2857" i="1"/>
  <c r="D2857" i="1"/>
  <c r="A2857" i="1"/>
  <c r="C2857" i="1"/>
  <c r="E2857" i="1"/>
  <c r="F2857" i="1"/>
  <c r="G2315" i="1"/>
  <c r="H2315" i="1"/>
  <c r="D2315" i="1"/>
  <c r="A2315" i="1"/>
  <c r="C2315" i="1"/>
  <c r="E2315" i="1"/>
  <c r="F2315" i="1"/>
  <c r="G1426" i="1"/>
  <c r="H1426" i="1"/>
  <c r="D1426" i="1"/>
  <c r="A1426" i="1"/>
  <c r="C1426" i="1"/>
  <c r="E1426" i="1"/>
  <c r="F1426" i="1"/>
  <c r="G2322" i="1"/>
  <c r="H2322" i="1"/>
  <c r="D2322" i="1"/>
  <c r="A2322" i="1"/>
  <c r="C2322" i="1"/>
  <c r="E2322" i="1"/>
  <c r="F2322" i="1"/>
  <c r="G4526" i="1"/>
  <c r="H4526" i="1"/>
  <c r="D4526" i="1"/>
  <c r="A4526" i="1"/>
  <c r="C4526" i="1"/>
  <c r="E4526" i="1"/>
  <c r="F4526" i="1"/>
  <c r="G2062" i="1"/>
  <c r="H2062" i="1"/>
  <c r="D2062" i="1"/>
  <c r="A2062" i="1"/>
  <c r="C2062" i="1"/>
  <c r="E2062" i="1"/>
  <c r="F2062" i="1"/>
  <c r="G2323" i="1"/>
  <c r="H2323" i="1"/>
  <c r="D2323" i="1"/>
  <c r="A2323" i="1"/>
  <c r="C2323" i="1"/>
  <c r="E2323" i="1"/>
  <c r="F2323" i="1"/>
  <c r="G4527" i="1"/>
  <c r="H4527" i="1"/>
  <c r="D4527" i="1"/>
  <c r="A4527" i="1"/>
  <c r="C4527" i="1"/>
  <c r="E4527" i="1"/>
  <c r="F4527" i="1"/>
  <c r="G1342" i="1"/>
  <c r="H1342" i="1"/>
  <c r="D1342" i="1"/>
  <c r="A1342" i="1"/>
  <c r="C1342" i="1"/>
  <c r="E1342" i="1"/>
  <c r="F1342" i="1"/>
  <c r="G2334" i="1"/>
  <c r="H2334" i="1"/>
  <c r="D2334" i="1"/>
  <c r="A2334" i="1"/>
  <c r="C2334" i="1"/>
  <c r="E2334" i="1"/>
  <c r="F2334" i="1"/>
  <c r="G3464" i="1"/>
  <c r="H3464" i="1"/>
  <c r="D3464" i="1"/>
  <c r="A3464" i="1"/>
  <c r="C3464" i="1"/>
  <c r="E3464" i="1"/>
  <c r="F3464" i="1"/>
  <c r="G2930" i="1"/>
  <c r="H2930" i="1"/>
  <c r="D2930" i="1"/>
  <c r="A2930" i="1"/>
  <c r="C2930" i="1"/>
  <c r="E2930" i="1"/>
  <c r="F2930" i="1"/>
  <c r="G1443" i="1"/>
  <c r="H1443" i="1"/>
  <c r="D1443" i="1"/>
  <c r="A1443" i="1"/>
  <c r="C1443" i="1"/>
  <c r="E1443" i="1"/>
  <c r="F1443" i="1"/>
  <c r="G2340" i="1"/>
  <c r="H2340" i="1"/>
  <c r="D2340" i="1"/>
  <c r="A2340" i="1"/>
  <c r="C2340" i="1"/>
  <c r="E2340" i="1"/>
  <c r="F2340" i="1"/>
  <c r="G2873" i="1"/>
  <c r="H2873" i="1"/>
  <c r="D2873" i="1"/>
  <c r="A2873" i="1"/>
  <c r="C2873" i="1"/>
  <c r="E2873" i="1"/>
  <c r="F2873" i="1"/>
  <c r="G2968" i="1"/>
  <c r="H2968" i="1"/>
  <c r="D2968" i="1"/>
  <c r="A2968" i="1"/>
  <c r="C2968" i="1"/>
  <c r="E2968" i="1"/>
  <c r="F2968" i="1"/>
  <c r="G474" i="1"/>
  <c r="H474" i="1"/>
  <c r="D474" i="1"/>
  <c r="A474" i="1"/>
  <c r="C474" i="1"/>
  <c r="E474" i="1"/>
  <c r="F474" i="1"/>
  <c r="G2345" i="1"/>
  <c r="H2345" i="1"/>
  <c r="D2345" i="1"/>
  <c r="A2345" i="1"/>
  <c r="C2345" i="1"/>
  <c r="E2345" i="1"/>
  <c r="F2345" i="1"/>
  <c r="G1094" i="1"/>
  <c r="H1094" i="1"/>
  <c r="D1094" i="1"/>
  <c r="A1094" i="1"/>
  <c r="C1094" i="1"/>
  <c r="E1094" i="1"/>
  <c r="F1094" i="1"/>
  <c r="G2997" i="1"/>
  <c r="H2997" i="1"/>
  <c r="D2997" i="1"/>
  <c r="A2997" i="1"/>
  <c r="C2997" i="1"/>
  <c r="E2997" i="1"/>
  <c r="F2997" i="1"/>
  <c r="G2346" i="1"/>
  <c r="H2346" i="1"/>
  <c r="D2346" i="1"/>
  <c r="A2346" i="1"/>
  <c r="C2346" i="1"/>
  <c r="E2346" i="1"/>
  <c r="F2346" i="1"/>
  <c r="G1080" i="1"/>
  <c r="H1080" i="1"/>
  <c r="D1080" i="1"/>
  <c r="A1080" i="1"/>
  <c r="C1080" i="1"/>
  <c r="E1080" i="1"/>
  <c r="F1080" i="1"/>
  <c r="G3056" i="1"/>
  <c r="H3056" i="1"/>
  <c r="D3056" i="1"/>
  <c r="A3056" i="1"/>
  <c r="C3056" i="1"/>
  <c r="E3056" i="1"/>
  <c r="F3056" i="1"/>
  <c r="G2351" i="1"/>
  <c r="H2351" i="1"/>
  <c r="D2351" i="1"/>
  <c r="A2351" i="1"/>
  <c r="C2351" i="1"/>
  <c r="E2351" i="1"/>
  <c r="F2351" i="1"/>
  <c r="G3087" i="1"/>
  <c r="H3087" i="1"/>
  <c r="D3087" i="1"/>
  <c r="A3087" i="1"/>
  <c r="C3087" i="1"/>
  <c r="E3087" i="1"/>
  <c r="F3087" i="1"/>
  <c r="G2352" i="1"/>
  <c r="H2352" i="1"/>
  <c r="D2352" i="1"/>
  <c r="A2352" i="1"/>
  <c r="C2352" i="1"/>
  <c r="E2352" i="1"/>
  <c r="F2352" i="1"/>
  <c r="G1337" i="1"/>
  <c r="H1337" i="1"/>
  <c r="D1337" i="1"/>
  <c r="A1337" i="1"/>
  <c r="C1337" i="1"/>
  <c r="E1337" i="1"/>
  <c r="F1337" i="1"/>
  <c r="G2355" i="1"/>
  <c r="H2355" i="1"/>
  <c r="D2355" i="1"/>
  <c r="A2355" i="1"/>
  <c r="C2355" i="1"/>
  <c r="E2355" i="1"/>
  <c r="F2355" i="1"/>
  <c r="G2922" i="1"/>
  <c r="H2922" i="1"/>
  <c r="D2922" i="1"/>
  <c r="A2922" i="1"/>
  <c r="C2922" i="1"/>
  <c r="E2922" i="1"/>
  <c r="F2922" i="1"/>
  <c r="G1383" i="1"/>
  <c r="H1383" i="1"/>
  <c r="D1383" i="1"/>
  <c r="A1383" i="1"/>
  <c r="C1383" i="1"/>
  <c r="E1383" i="1"/>
  <c r="F1383" i="1"/>
  <c r="G2357" i="1"/>
  <c r="H2357" i="1"/>
  <c r="D2357" i="1"/>
  <c r="A2357" i="1"/>
  <c r="C2357" i="1"/>
  <c r="E2357" i="1"/>
  <c r="F2357" i="1"/>
  <c r="G3211" i="1"/>
  <c r="H3211" i="1"/>
  <c r="D3211" i="1"/>
  <c r="A3211" i="1"/>
  <c r="C3211" i="1"/>
  <c r="E3211" i="1"/>
  <c r="F3211" i="1"/>
  <c r="G3251" i="1"/>
  <c r="H3251" i="1"/>
  <c r="D3251" i="1"/>
  <c r="A3251" i="1"/>
  <c r="C3251" i="1"/>
  <c r="E3251" i="1"/>
  <c r="F3251" i="1"/>
  <c r="G2359" i="1"/>
  <c r="H2359" i="1"/>
  <c r="D2359" i="1"/>
  <c r="A2359" i="1"/>
  <c r="C2359" i="1"/>
  <c r="E2359" i="1"/>
  <c r="F2359" i="1"/>
  <c r="G3187" i="1"/>
  <c r="H3187" i="1"/>
  <c r="D3187" i="1"/>
  <c r="A3187" i="1"/>
  <c r="C3187" i="1"/>
  <c r="E3187" i="1"/>
  <c r="F3187" i="1"/>
  <c r="G1840" i="1"/>
  <c r="H1840" i="1"/>
  <c r="D1840" i="1"/>
  <c r="A1840" i="1"/>
  <c r="C1840" i="1"/>
  <c r="E1840" i="1"/>
  <c r="F1840" i="1"/>
  <c r="G2362" i="1"/>
  <c r="H2362" i="1"/>
  <c r="D2362" i="1"/>
  <c r="A2362" i="1"/>
  <c r="C2362" i="1"/>
  <c r="E2362" i="1"/>
  <c r="F2362" i="1"/>
  <c r="G742" i="1"/>
  <c r="H742" i="1"/>
  <c r="D742" i="1"/>
  <c r="A742" i="1"/>
  <c r="C742" i="1"/>
  <c r="E742" i="1"/>
  <c r="F742" i="1"/>
  <c r="G3289" i="1"/>
  <c r="H3289" i="1"/>
  <c r="D3289" i="1"/>
  <c r="A3289" i="1"/>
  <c r="C3289" i="1"/>
  <c r="E3289" i="1"/>
  <c r="F3289" i="1"/>
  <c r="G2364" i="1"/>
  <c r="H2364" i="1"/>
  <c r="D2364" i="1"/>
  <c r="A2364" i="1"/>
  <c r="C2364" i="1"/>
  <c r="E2364" i="1"/>
  <c r="F2364" i="1"/>
  <c r="G2894" i="1"/>
  <c r="H2894" i="1"/>
  <c r="D2894" i="1"/>
  <c r="A2894" i="1"/>
  <c r="C2894" i="1"/>
  <c r="E2894" i="1"/>
  <c r="F2894" i="1"/>
  <c r="G2368" i="1"/>
  <c r="H2368" i="1"/>
  <c r="D2368" i="1"/>
  <c r="A2368" i="1"/>
  <c r="C2368" i="1"/>
  <c r="E2368" i="1"/>
  <c r="F2368" i="1"/>
  <c r="G1340" i="1"/>
  <c r="H1340" i="1"/>
  <c r="D1340" i="1"/>
  <c r="A1340" i="1"/>
  <c r="C1340" i="1"/>
  <c r="E1340" i="1"/>
  <c r="F1340" i="1"/>
  <c r="G2379" i="1"/>
  <c r="H2379" i="1"/>
  <c r="D2379" i="1"/>
  <c r="A2379" i="1"/>
  <c r="C2379" i="1"/>
  <c r="E2379" i="1"/>
  <c r="F2379" i="1"/>
  <c r="G3188" i="1"/>
  <c r="H3188" i="1"/>
  <c r="D3188" i="1"/>
  <c r="A3188" i="1"/>
  <c r="C3188" i="1"/>
  <c r="E3188" i="1"/>
  <c r="F3188" i="1"/>
  <c r="G3529" i="1"/>
  <c r="H3529" i="1"/>
  <c r="D3529" i="1"/>
  <c r="A3529" i="1"/>
  <c r="C3529" i="1"/>
  <c r="E3529" i="1"/>
  <c r="F3529" i="1"/>
  <c r="G2401" i="1"/>
  <c r="H2401" i="1"/>
  <c r="D2401" i="1"/>
  <c r="A2401" i="1"/>
  <c r="C2401" i="1"/>
  <c r="E2401" i="1"/>
  <c r="F2401" i="1"/>
  <c r="G3189" i="1"/>
  <c r="H3189" i="1"/>
  <c r="D3189" i="1"/>
  <c r="A3189" i="1"/>
  <c r="C3189" i="1"/>
  <c r="E3189" i="1"/>
  <c r="F3189" i="1"/>
  <c r="G4100" i="1"/>
  <c r="H4100" i="1"/>
  <c r="D4100" i="1"/>
  <c r="A4100" i="1"/>
  <c r="C4100" i="1"/>
  <c r="E4100" i="1"/>
  <c r="F4100" i="1"/>
  <c r="G2398" i="1"/>
  <c r="H2398" i="1"/>
  <c r="D2398" i="1"/>
  <c r="A2398" i="1"/>
  <c r="C2398" i="1"/>
  <c r="E2398" i="1"/>
  <c r="F2398" i="1"/>
  <c r="G3191" i="1"/>
  <c r="H3191" i="1"/>
  <c r="D3191" i="1"/>
  <c r="A3191" i="1"/>
  <c r="C3191" i="1"/>
  <c r="E3191" i="1"/>
  <c r="F3191" i="1"/>
  <c r="G4178" i="1"/>
  <c r="H4178" i="1"/>
  <c r="D4178" i="1"/>
  <c r="A4178" i="1"/>
  <c r="C4178" i="1"/>
  <c r="E4178" i="1"/>
  <c r="F4178" i="1"/>
  <c r="G2399" i="1"/>
  <c r="H2399" i="1"/>
  <c r="D2399" i="1"/>
  <c r="A2399" i="1"/>
  <c r="C2399" i="1"/>
  <c r="E2399" i="1"/>
  <c r="F2399" i="1"/>
  <c r="G3192" i="1"/>
  <c r="H3192" i="1"/>
  <c r="D3192" i="1"/>
  <c r="A3192" i="1"/>
  <c r="C3192" i="1"/>
  <c r="E3192" i="1"/>
  <c r="F3192" i="1"/>
  <c r="G4269" i="1"/>
  <c r="H4269" i="1"/>
  <c r="D4269" i="1"/>
  <c r="A4269" i="1"/>
  <c r="C4269" i="1"/>
  <c r="E4269" i="1"/>
  <c r="F4269" i="1"/>
  <c r="G2403" i="1"/>
  <c r="H2403" i="1"/>
  <c r="D2403" i="1"/>
  <c r="A2403" i="1"/>
  <c r="C2403" i="1"/>
  <c r="E2403" i="1"/>
  <c r="F2403" i="1"/>
  <c r="G3193" i="1"/>
  <c r="H3193" i="1"/>
  <c r="D3193" i="1"/>
  <c r="A3193" i="1"/>
  <c r="C3193" i="1"/>
  <c r="E3193" i="1"/>
  <c r="F3193" i="1"/>
  <c r="G3576" i="1"/>
  <c r="H3576" i="1"/>
  <c r="D3576" i="1"/>
  <c r="A3576" i="1"/>
  <c r="C3576" i="1"/>
  <c r="E3576" i="1"/>
  <c r="F3576" i="1"/>
  <c r="G2409" i="1"/>
  <c r="H2409" i="1"/>
  <c r="D2409" i="1"/>
  <c r="A2409" i="1"/>
  <c r="C2409" i="1"/>
  <c r="E2409" i="1"/>
  <c r="F2409" i="1"/>
  <c r="G3626" i="1"/>
  <c r="H3626" i="1"/>
  <c r="D3626" i="1"/>
  <c r="A3626" i="1"/>
  <c r="C3626" i="1"/>
  <c r="E3626" i="1"/>
  <c r="F3626" i="1"/>
  <c r="G3208" i="1"/>
  <c r="H3208" i="1"/>
  <c r="D3208" i="1"/>
  <c r="A3208" i="1"/>
  <c r="C3208" i="1"/>
  <c r="E3208" i="1"/>
  <c r="F3208" i="1"/>
  <c r="G3359" i="1"/>
  <c r="H3359" i="1"/>
  <c r="D3359" i="1"/>
  <c r="A3359" i="1"/>
  <c r="C3359" i="1"/>
  <c r="E3359" i="1"/>
  <c r="F3359" i="1"/>
  <c r="G3749" i="1"/>
  <c r="H3749" i="1"/>
  <c r="D3749" i="1"/>
  <c r="A3749" i="1"/>
  <c r="C3749" i="1"/>
  <c r="E3749" i="1"/>
  <c r="F3749" i="1"/>
  <c r="G2417" i="1"/>
  <c r="H2417" i="1"/>
  <c r="D2417" i="1"/>
  <c r="A2417" i="1"/>
  <c r="C2417" i="1"/>
  <c r="E2417" i="1"/>
  <c r="F2417" i="1"/>
  <c r="G110" i="1"/>
  <c r="H110" i="1"/>
  <c r="D110" i="1"/>
  <c r="A110" i="1"/>
  <c r="C110" i="1"/>
  <c r="E110" i="1"/>
  <c r="F110" i="1"/>
  <c r="G2421" i="1"/>
  <c r="H2421" i="1"/>
  <c r="D2421" i="1"/>
  <c r="A2421" i="1"/>
  <c r="C2421" i="1"/>
  <c r="E2421" i="1"/>
  <c r="F2421" i="1"/>
  <c r="G1412" i="1"/>
  <c r="H1412" i="1"/>
  <c r="D1412" i="1"/>
  <c r="A1412" i="1"/>
  <c r="C1412" i="1"/>
  <c r="E1412" i="1"/>
  <c r="F1412" i="1"/>
  <c r="G2667" i="1"/>
  <c r="H2667" i="1"/>
  <c r="D2667" i="1"/>
  <c r="A2667" i="1"/>
  <c r="C2667" i="1"/>
  <c r="E2667" i="1"/>
  <c r="F2667" i="1"/>
  <c r="G2481" i="1"/>
  <c r="H2481" i="1"/>
  <c r="D2481" i="1"/>
  <c r="A2481" i="1"/>
  <c r="C2481" i="1"/>
  <c r="E2481" i="1"/>
  <c r="F2481" i="1"/>
  <c r="G3846" i="1"/>
  <c r="H3846" i="1"/>
  <c r="D3846" i="1"/>
  <c r="A3846" i="1"/>
  <c r="C3846" i="1"/>
  <c r="E3846" i="1"/>
  <c r="F3846" i="1"/>
  <c r="G1349" i="1"/>
  <c r="H1349" i="1"/>
  <c r="D1349" i="1"/>
  <c r="A1349" i="1"/>
  <c r="C1349" i="1"/>
  <c r="E1349" i="1"/>
  <c r="F1349" i="1"/>
  <c r="G2528" i="1"/>
  <c r="H2528" i="1"/>
  <c r="D2528" i="1"/>
  <c r="A2528" i="1"/>
  <c r="C2528" i="1"/>
  <c r="E2528" i="1"/>
  <c r="F2528" i="1"/>
  <c r="G3727" i="1"/>
  <c r="H3727" i="1"/>
  <c r="D3727" i="1"/>
  <c r="A3727" i="1"/>
  <c r="C3727" i="1"/>
  <c r="E3727" i="1"/>
  <c r="F3727" i="1"/>
  <c r="G4585" i="1"/>
  <c r="H4585" i="1"/>
  <c r="D4585" i="1"/>
  <c r="A4585" i="1"/>
  <c r="C4585" i="1"/>
  <c r="E4585" i="1"/>
  <c r="F4585" i="1"/>
  <c r="G2439" i="1"/>
  <c r="H2439" i="1"/>
  <c r="D2439" i="1"/>
  <c r="A2439" i="1"/>
  <c r="C2439" i="1"/>
  <c r="E2439" i="1"/>
  <c r="F2439" i="1"/>
  <c r="G3711" i="1"/>
  <c r="H3711" i="1"/>
  <c r="D3711" i="1"/>
  <c r="A3711" i="1"/>
  <c r="C3711" i="1"/>
  <c r="E3711" i="1"/>
  <c r="F3711" i="1"/>
  <c r="G4587" i="1"/>
  <c r="H4587" i="1"/>
  <c r="D4587" i="1"/>
  <c r="A4587" i="1"/>
  <c r="C4587" i="1"/>
  <c r="E4587" i="1"/>
  <c r="F4587" i="1"/>
  <c r="G2533" i="1"/>
  <c r="H2533" i="1"/>
  <c r="D2533" i="1"/>
  <c r="A2533" i="1"/>
  <c r="C2533" i="1"/>
  <c r="E2533" i="1"/>
  <c r="F2533" i="1"/>
  <c r="G3407" i="1"/>
  <c r="H3407" i="1"/>
  <c r="D3407" i="1"/>
  <c r="A3407" i="1"/>
  <c r="C3407" i="1"/>
  <c r="E3407" i="1"/>
  <c r="F3407" i="1"/>
  <c r="G4593" i="1"/>
  <c r="H4593" i="1"/>
  <c r="D4593" i="1"/>
  <c r="A4593" i="1"/>
  <c r="C4593" i="1"/>
  <c r="E4593" i="1"/>
  <c r="F4593" i="1"/>
  <c r="G2541" i="1"/>
  <c r="H2541" i="1"/>
  <c r="D2541" i="1"/>
  <c r="A2541" i="1"/>
  <c r="C2541" i="1"/>
  <c r="E2541" i="1"/>
  <c r="F2541" i="1"/>
  <c r="G3633" i="1"/>
  <c r="H3633" i="1"/>
  <c r="D3633" i="1"/>
  <c r="A3633" i="1"/>
  <c r="C3633" i="1"/>
  <c r="E3633" i="1"/>
  <c r="F3633" i="1"/>
  <c r="G4571" i="1"/>
  <c r="H4571" i="1"/>
  <c r="D4571" i="1"/>
  <c r="A4571" i="1"/>
  <c r="C4571" i="1"/>
  <c r="E4571" i="1"/>
  <c r="F4571" i="1"/>
  <c r="G2545" i="1"/>
  <c r="H2545" i="1"/>
  <c r="D2545" i="1"/>
  <c r="A2545" i="1"/>
  <c r="C2545" i="1"/>
  <c r="E2545" i="1"/>
  <c r="F2545" i="1"/>
  <c r="G3630" i="1"/>
  <c r="H3630" i="1"/>
  <c r="D3630" i="1"/>
  <c r="A3630" i="1"/>
  <c r="C3630" i="1"/>
  <c r="E3630" i="1"/>
  <c r="F3630" i="1"/>
  <c r="G4422" i="1"/>
  <c r="H4422" i="1"/>
  <c r="D4422" i="1"/>
  <c r="A4422" i="1"/>
  <c r="C4422" i="1"/>
  <c r="E4422" i="1"/>
  <c r="F4422" i="1"/>
  <c r="G2552" i="1"/>
  <c r="H2552" i="1"/>
  <c r="D2552" i="1"/>
  <c r="A2552" i="1"/>
  <c r="C2552" i="1"/>
  <c r="E2552" i="1"/>
  <c r="F2552" i="1"/>
  <c r="G3821" i="1"/>
  <c r="H3821" i="1"/>
  <c r="D3821" i="1"/>
  <c r="A3821" i="1"/>
  <c r="C3821" i="1"/>
  <c r="E3821" i="1"/>
  <c r="F3821" i="1"/>
  <c r="G4604" i="1"/>
  <c r="H4604" i="1"/>
  <c r="D4604" i="1"/>
  <c r="A4604" i="1"/>
  <c r="C4604" i="1"/>
  <c r="E4604" i="1"/>
  <c r="F4604" i="1"/>
  <c r="G2558" i="1"/>
  <c r="H2558" i="1"/>
  <c r="D2558" i="1"/>
  <c r="A2558" i="1"/>
  <c r="C2558" i="1"/>
  <c r="E2558" i="1"/>
  <c r="F2558" i="1"/>
  <c r="G4572" i="1"/>
  <c r="H4572" i="1"/>
  <c r="D4572" i="1"/>
  <c r="A4572" i="1"/>
  <c r="C4572" i="1"/>
  <c r="E4572" i="1"/>
  <c r="F4572" i="1"/>
  <c r="G2562" i="1"/>
  <c r="H2562" i="1"/>
  <c r="D2562" i="1"/>
  <c r="A2562" i="1"/>
  <c r="C2562" i="1"/>
  <c r="E2562" i="1"/>
  <c r="F2562" i="1"/>
  <c r="G2851" i="1"/>
  <c r="H2851" i="1"/>
  <c r="D2851" i="1"/>
  <c r="A2851" i="1"/>
  <c r="C2851" i="1"/>
  <c r="E2851" i="1"/>
  <c r="F2851" i="1"/>
  <c r="G4651" i="1"/>
  <c r="H4651" i="1"/>
  <c r="D4651" i="1"/>
  <c r="A4651" i="1"/>
  <c r="C4651" i="1"/>
  <c r="E4651" i="1"/>
  <c r="F4651" i="1"/>
  <c r="G2565" i="1"/>
  <c r="H2565" i="1"/>
  <c r="D2565" i="1"/>
  <c r="A2565" i="1"/>
  <c r="C2565" i="1"/>
  <c r="E2565" i="1"/>
  <c r="F2565" i="1"/>
  <c r="G3495" i="1"/>
  <c r="H3495" i="1"/>
  <c r="D3495" i="1"/>
  <c r="A3495" i="1"/>
  <c r="C3495" i="1"/>
  <c r="E3495" i="1"/>
  <c r="F3495" i="1"/>
  <c r="G4859" i="1"/>
  <c r="H4859" i="1"/>
  <c r="D4859" i="1"/>
  <c r="A4859" i="1"/>
  <c r="C4859" i="1"/>
  <c r="E4859" i="1"/>
  <c r="F4859" i="1"/>
  <c r="G2566" i="1"/>
  <c r="H2566" i="1"/>
  <c r="D2566" i="1"/>
  <c r="A2566" i="1"/>
  <c r="C2566" i="1"/>
  <c r="E2566" i="1"/>
  <c r="F2566" i="1"/>
  <c r="G4823" i="1"/>
  <c r="H4823" i="1"/>
  <c r="D4823" i="1"/>
  <c r="A4823" i="1"/>
  <c r="C4823" i="1"/>
  <c r="E4823" i="1"/>
  <c r="F4823" i="1"/>
  <c r="G1410" i="1"/>
  <c r="H1410" i="1"/>
  <c r="D1410" i="1"/>
  <c r="A1410" i="1"/>
  <c r="C1410" i="1"/>
  <c r="E1410" i="1"/>
  <c r="F1410" i="1"/>
  <c r="G2574" i="1"/>
  <c r="H2574" i="1"/>
  <c r="D2574" i="1"/>
  <c r="A2574" i="1"/>
  <c r="C2574" i="1"/>
  <c r="E2574" i="1"/>
  <c r="F2574" i="1"/>
  <c r="G4530" i="1"/>
  <c r="H4530" i="1"/>
  <c r="D4530" i="1"/>
  <c r="A4530" i="1"/>
  <c r="C4530" i="1"/>
  <c r="E4530" i="1"/>
  <c r="F4530" i="1"/>
  <c r="G2580" i="1"/>
  <c r="H2580" i="1"/>
  <c r="D2580" i="1"/>
  <c r="A2580" i="1"/>
  <c r="C2580" i="1"/>
  <c r="E2580" i="1"/>
  <c r="F2580" i="1"/>
  <c r="G4518" i="1"/>
  <c r="H4518" i="1"/>
  <c r="D4518" i="1"/>
  <c r="A4518" i="1"/>
  <c r="C4518" i="1"/>
  <c r="E4518" i="1"/>
  <c r="F4518" i="1"/>
  <c r="G4981" i="1"/>
  <c r="H4981" i="1"/>
  <c r="D4981" i="1"/>
  <c r="A4981" i="1"/>
  <c r="C4981" i="1"/>
  <c r="E4981" i="1"/>
  <c r="F4981" i="1"/>
  <c r="G2592" i="1"/>
  <c r="H2592" i="1"/>
  <c r="D2592" i="1"/>
  <c r="A2592" i="1"/>
  <c r="C2592" i="1"/>
  <c r="E2592" i="1"/>
  <c r="F2592" i="1"/>
  <c r="G4516" i="1"/>
  <c r="H4516" i="1"/>
  <c r="D4516" i="1"/>
  <c r="A4516" i="1"/>
  <c r="C4516" i="1"/>
  <c r="E4516" i="1"/>
  <c r="F4516" i="1"/>
  <c r="G2808" i="1"/>
  <c r="H2808" i="1"/>
  <c r="D2808" i="1"/>
  <c r="A2808" i="1"/>
  <c r="C2808" i="1"/>
  <c r="E2808" i="1"/>
  <c r="F2808" i="1"/>
  <c r="G2593" i="1"/>
  <c r="H2593" i="1"/>
  <c r="D2593" i="1"/>
  <c r="A2593" i="1"/>
  <c r="C2593" i="1"/>
  <c r="E2593" i="1"/>
  <c r="F2593" i="1"/>
  <c r="G4635" i="1"/>
  <c r="H4635" i="1"/>
  <c r="D4635" i="1"/>
  <c r="A4635" i="1"/>
  <c r="C4635" i="1"/>
  <c r="E4635" i="1"/>
  <c r="F4635" i="1"/>
  <c r="G1035" i="1"/>
  <c r="H1035" i="1"/>
  <c r="D1035" i="1"/>
  <c r="A1035" i="1"/>
  <c r="C1035" i="1"/>
  <c r="E1035" i="1"/>
  <c r="F1035" i="1"/>
  <c r="G2594" i="1"/>
  <c r="H2594" i="1"/>
  <c r="D2594" i="1"/>
  <c r="A2594" i="1"/>
  <c r="C2594" i="1"/>
  <c r="E2594" i="1"/>
  <c r="F2594" i="1"/>
  <c r="G1255" i="1"/>
  <c r="H1255" i="1"/>
  <c r="D1255" i="1"/>
  <c r="A1255" i="1"/>
  <c r="C1255" i="1"/>
  <c r="E1255" i="1"/>
  <c r="F1255" i="1"/>
  <c r="G1048" i="1"/>
  <c r="H1048" i="1"/>
  <c r="D1048" i="1"/>
  <c r="A1048" i="1"/>
  <c r="C1048" i="1"/>
  <c r="E1048" i="1"/>
  <c r="F1048" i="1"/>
  <c r="G2597" i="1"/>
  <c r="H2597" i="1"/>
  <c r="D2597" i="1"/>
  <c r="A2597" i="1"/>
  <c r="C2597" i="1"/>
  <c r="E2597" i="1"/>
  <c r="F2597" i="1"/>
  <c r="G4258" i="1"/>
  <c r="H4258" i="1"/>
  <c r="D4258" i="1"/>
  <c r="A4258" i="1"/>
  <c r="C4258" i="1"/>
  <c r="E4258" i="1"/>
  <c r="F4258" i="1"/>
  <c r="G1346" i="1"/>
  <c r="H1346" i="1"/>
  <c r="D1346" i="1"/>
  <c r="A1346" i="1"/>
  <c r="C1346" i="1"/>
  <c r="E1346" i="1"/>
  <c r="F1346" i="1"/>
  <c r="G2596" i="1"/>
  <c r="H2596" i="1"/>
  <c r="D2596" i="1"/>
  <c r="A2596" i="1"/>
  <c r="C2596" i="1"/>
  <c r="E2596" i="1"/>
  <c r="F2596" i="1"/>
  <c r="G4421" i="1"/>
  <c r="H4421" i="1"/>
  <c r="D4421" i="1"/>
  <c r="A4421" i="1"/>
  <c r="C4421" i="1"/>
  <c r="E4421" i="1"/>
  <c r="F4421" i="1"/>
  <c r="G4397" i="1"/>
  <c r="H4397" i="1"/>
  <c r="D4397" i="1"/>
  <c r="A4397" i="1"/>
  <c r="C4397" i="1"/>
  <c r="E4397" i="1"/>
  <c r="F4397" i="1"/>
  <c r="G2598" i="1"/>
  <c r="H2598" i="1"/>
  <c r="D2598" i="1"/>
  <c r="A2598" i="1"/>
  <c r="C2598" i="1"/>
  <c r="E2598" i="1"/>
  <c r="F2598" i="1"/>
  <c r="G1386" i="1"/>
  <c r="H1386" i="1"/>
  <c r="D1386" i="1"/>
  <c r="A1386" i="1"/>
  <c r="C1386" i="1"/>
  <c r="E1386" i="1"/>
  <c r="F1386" i="1"/>
  <c r="G2599" i="1"/>
  <c r="H2599" i="1"/>
  <c r="D2599" i="1"/>
  <c r="A2599" i="1"/>
  <c r="C2599" i="1"/>
  <c r="E2599" i="1"/>
  <c r="F2599" i="1"/>
  <c r="G3866" i="1"/>
  <c r="H3866" i="1"/>
  <c r="D3866" i="1"/>
  <c r="A3866" i="1"/>
  <c r="C3866" i="1"/>
  <c r="E3866" i="1"/>
  <c r="F3866" i="1"/>
  <c r="G4607" i="1"/>
  <c r="H4607" i="1"/>
  <c r="D4607" i="1"/>
  <c r="A4607" i="1"/>
  <c r="C4607" i="1"/>
  <c r="E4607" i="1"/>
  <c r="F4607" i="1"/>
  <c r="G2651" i="1"/>
  <c r="H2651" i="1"/>
  <c r="D2651" i="1"/>
  <c r="A2651" i="1"/>
  <c r="C2651" i="1"/>
  <c r="E2651" i="1"/>
  <c r="F2651" i="1"/>
  <c r="G2600" i="1"/>
  <c r="H2600" i="1"/>
  <c r="D2600" i="1"/>
  <c r="A2600" i="1"/>
  <c r="C2600" i="1"/>
  <c r="E2600" i="1"/>
  <c r="F2600" i="1"/>
  <c r="G1065" i="1"/>
  <c r="H1065" i="1"/>
  <c r="D1065" i="1"/>
  <c r="A1065" i="1"/>
  <c r="C1065" i="1"/>
  <c r="E1065" i="1"/>
  <c r="F1065" i="1"/>
  <c r="G1339" i="1"/>
  <c r="H1339" i="1"/>
  <c r="D1339" i="1"/>
  <c r="A1339" i="1"/>
  <c r="C1339" i="1"/>
  <c r="E1339" i="1"/>
  <c r="F1339" i="1"/>
  <c r="G2603" i="1"/>
  <c r="H2603" i="1"/>
  <c r="D2603" i="1"/>
  <c r="A2603" i="1"/>
  <c r="C2603" i="1"/>
  <c r="E2603" i="1"/>
  <c r="F2603" i="1"/>
  <c r="G4284" i="1"/>
  <c r="H4284" i="1"/>
  <c r="D4284" i="1"/>
  <c r="A4284" i="1"/>
  <c r="C4284" i="1"/>
  <c r="E4284" i="1"/>
  <c r="F4284" i="1"/>
  <c r="G3958" i="1"/>
  <c r="H3958" i="1"/>
  <c r="D3958" i="1"/>
  <c r="A3958" i="1"/>
  <c r="C3958" i="1"/>
  <c r="E3958" i="1"/>
  <c r="F3958" i="1"/>
  <c r="G2605" i="1"/>
  <c r="H2605" i="1"/>
  <c r="D2605" i="1"/>
  <c r="A2605" i="1"/>
  <c r="C2605" i="1"/>
  <c r="E2605" i="1"/>
  <c r="F2605" i="1"/>
  <c r="G2226" i="1"/>
  <c r="H2226" i="1"/>
  <c r="D2226" i="1"/>
  <c r="A2226" i="1"/>
  <c r="C2226" i="1"/>
  <c r="E2226" i="1"/>
  <c r="F2226" i="1"/>
  <c r="G4057" i="1"/>
  <c r="H4057" i="1"/>
  <c r="D4057" i="1"/>
  <c r="A4057" i="1"/>
  <c r="C4057" i="1"/>
  <c r="E4057" i="1"/>
  <c r="F4057" i="1"/>
  <c r="G2624" i="1"/>
  <c r="H2624" i="1"/>
  <c r="D2624" i="1"/>
  <c r="A2624" i="1"/>
  <c r="C2624" i="1"/>
  <c r="E2624" i="1"/>
  <c r="F2624" i="1"/>
  <c r="G4356" i="1"/>
  <c r="H4356" i="1"/>
  <c r="D4356" i="1"/>
  <c r="A4356" i="1"/>
  <c r="C4356" i="1"/>
  <c r="E4356" i="1"/>
  <c r="F4356" i="1"/>
  <c r="G3248" i="1"/>
  <c r="H3248" i="1"/>
  <c r="D3248" i="1"/>
  <c r="A3248" i="1"/>
  <c r="C3248" i="1"/>
  <c r="E3248" i="1"/>
  <c r="F3248" i="1"/>
  <c r="G2625" i="1"/>
  <c r="H2625" i="1"/>
  <c r="D2625" i="1"/>
  <c r="A2625" i="1"/>
  <c r="C2625" i="1"/>
  <c r="E2625" i="1"/>
  <c r="F2625" i="1"/>
  <c r="G3862" i="1"/>
  <c r="H3862" i="1"/>
  <c r="D3862" i="1"/>
  <c r="A3862" i="1"/>
  <c r="C3862" i="1"/>
  <c r="E3862" i="1"/>
  <c r="F3862" i="1"/>
  <c r="G4813" i="1"/>
  <c r="H4813" i="1"/>
  <c r="D4813" i="1"/>
  <c r="A4813" i="1"/>
  <c r="C4813" i="1"/>
  <c r="E4813" i="1"/>
  <c r="F4813" i="1"/>
  <c r="G2626" i="1"/>
  <c r="H2626" i="1"/>
  <c r="D2626" i="1"/>
  <c r="A2626" i="1"/>
  <c r="C2626" i="1"/>
  <c r="E2626" i="1"/>
  <c r="F2626" i="1"/>
  <c r="G466" i="1"/>
  <c r="H466" i="1"/>
  <c r="D466" i="1"/>
  <c r="A466" i="1"/>
  <c r="C466" i="1"/>
  <c r="E466" i="1"/>
  <c r="F466" i="1"/>
  <c r="G3938" i="1"/>
  <c r="H3938" i="1"/>
  <c r="D3938" i="1"/>
  <c r="A3938" i="1"/>
  <c r="C3938" i="1"/>
  <c r="E3938" i="1"/>
  <c r="F3938" i="1"/>
  <c r="G4797" i="1"/>
  <c r="H4797" i="1"/>
  <c r="D4797" i="1"/>
  <c r="A4797" i="1"/>
  <c r="C4797" i="1"/>
  <c r="E4797" i="1"/>
  <c r="F4797" i="1"/>
  <c r="G2629" i="1"/>
  <c r="H2629" i="1"/>
  <c r="D2629" i="1"/>
  <c r="A2629" i="1"/>
  <c r="C2629" i="1"/>
  <c r="E2629" i="1"/>
  <c r="F2629" i="1"/>
  <c r="G1765" i="1"/>
  <c r="H1765" i="1"/>
  <c r="D1765" i="1"/>
  <c r="A1765" i="1"/>
  <c r="C1765" i="1"/>
  <c r="E1765" i="1"/>
  <c r="F1765" i="1"/>
  <c r="G2548" i="1"/>
  <c r="H2548" i="1"/>
  <c r="D2548" i="1"/>
  <c r="A2548" i="1"/>
  <c r="C2548" i="1"/>
  <c r="E2548" i="1"/>
  <c r="F2548" i="1"/>
  <c r="G4158" i="1"/>
  <c r="H4158" i="1"/>
  <c r="D4158" i="1"/>
  <c r="A4158" i="1"/>
  <c r="C4158" i="1"/>
  <c r="E4158" i="1"/>
  <c r="F4158" i="1"/>
  <c r="G1110" i="1"/>
  <c r="H1110" i="1"/>
  <c r="D1110" i="1"/>
  <c r="A1110" i="1"/>
  <c r="C1110" i="1"/>
  <c r="E1110" i="1"/>
  <c r="F1110" i="1"/>
  <c r="G2630" i="1"/>
  <c r="H2630" i="1"/>
  <c r="D2630" i="1"/>
  <c r="A2630" i="1"/>
  <c r="C2630" i="1"/>
  <c r="E2630" i="1"/>
  <c r="F2630" i="1"/>
  <c r="G5035" i="1"/>
  <c r="H5035" i="1"/>
  <c r="D5035" i="1"/>
  <c r="A5035" i="1"/>
  <c r="C5035" i="1"/>
  <c r="E5035" i="1"/>
  <c r="F5035" i="1"/>
  <c r="G1408" i="1"/>
  <c r="H1408" i="1"/>
  <c r="D1408" i="1"/>
  <c r="A1408" i="1"/>
  <c r="C1408" i="1"/>
  <c r="E1408" i="1"/>
  <c r="F1408" i="1"/>
  <c r="G2633" i="1"/>
  <c r="H2633" i="1"/>
  <c r="D2633" i="1"/>
  <c r="A2633" i="1"/>
  <c r="C2633" i="1"/>
  <c r="E2633" i="1"/>
  <c r="F2633" i="1"/>
  <c r="G5103" i="1"/>
  <c r="H5103" i="1"/>
  <c r="D5103" i="1"/>
  <c r="A5103" i="1"/>
  <c r="C5103" i="1"/>
  <c r="E5103" i="1"/>
  <c r="F5103" i="1"/>
  <c r="G416" i="1"/>
  <c r="H416" i="1"/>
  <c r="D416" i="1"/>
  <c r="A416" i="1"/>
  <c r="C416" i="1"/>
  <c r="E416" i="1"/>
  <c r="F416" i="1"/>
  <c r="G2635" i="1"/>
  <c r="H2635" i="1"/>
  <c r="D2635" i="1"/>
  <c r="A2635" i="1"/>
  <c r="C2635" i="1"/>
  <c r="E2635" i="1"/>
  <c r="F2635" i="1"/>
  <c r="G5048" i="1"/>
  <c r="H5048" i="1"/>
  <c r="D5048" i="1"/>
  <c r="A5048" i="1"/>
  <c r="C5048" i="1"/>
  <c r="E5048" i="1"/>
  <c r="F5048" i="1"/>
  <c r="G4134" i="1"/>
  <c r="H4134" i="1"/>
  <c r="D4134" i="1"/>
  <c r="A4134" i="1"/>
  <c r="C4134" i="1"/>
  <c r="E4134" i="1"/>
  <c r="F4134" i="1"/>
  <c r="G4738" i="1"/>
  <c r="H4738" i="1"/>
  <c r="D4738" i="1"/>
  <c r="A4738" i="1"/>
  <c r="C4738" i="1"/>
  <c r="E4738" i="1"/>
  <c r="F4738" i="1"/>
  <c r="G1463" i="1"/>
  <c r="H1463" i="1"/>
  <c r="D1463" i="1"/>
  <c r="A1463" i="1"/>
  <c r="C1463" i="1"/>
  <c r="E1463" i="1"/>
  <c r="F1463" i="1"/>
  <c r="G4836" i="1"/>
  <c r="H4836" i="1"/>
  <c r="D4836" i="1"/>
  <c r="A4836" i="1"/>
  <c r="C4836" i="1"/>
  <c r="E4836" i="1"/>
  <c r="F4836" i="1"/>
  <c r="G169" i="1"/>
  <c r="H169" i="1"/>
  <c r="D169" i="1"/>
  <c r="A169" i="1"/>
  <c r="C169" i="1"/>
  <c r="E169" i="1"/>
  <c r="F169" i="1"/>
  <c r="G2656" i="1"/>
  <c r="H2656" i="1"/>
  <c r="D2656" i="1"/>
  <c r="A2656" i="1"/>
  <c r="C2656" i="1"/>
  <c r="E2656" i="1"/>
  <c r="F2656" i="1"/>
  <c r="G4885" i="1"/>
  <c r="H4885" i="1"/>
  <c r="D4885" i="1"/>
  <c r="A4885" i="1"/>
  <c r="C4885" i="1"/>
  <c r="E4885" i="1"/>
  <c r="F4885" i="1"/>
  <c r="G668" i="1"/>
  <c r="H668" i="1"/>
  <c r="D668" i="1"/>
  <c r="A668" i="1"/>
  <c r="C668" i="1"/>
  <c r="E668" i="1"/>
  <c r="F668" i="1"/>
  <c r="G3173" i="1"/>
  <c r="H3173" i="1"/>
  <c r="D3173" i="1"/>
  <c r="A3173" i="1"/>
  <c r="C3173" i="1"/>
  <c r="E3173" i="1"/>
  <c r="F3173" i="1"/>
  <c r="G62" i="1"/>
  <c r="H62" i="1"/>
  <c r="D62" i="1"/>
  <c r="A62" i="1"/>
  <c r="C62" i="1"/>
  <c r="E62" i="1"/>
  <c r="F62" i="1"/>
  <c r="G1285" i="1"/>
  <c r="H1285" i="1"/>
  <c r="D1285" i="1"/>
  <c r="A1285" i="1"/>
  <c r="C1285" i="1"/>
  <c r="E1285" i="1"/>
  <c r="F1285" i="1"/>
  <c r="G249" i="1"/>
  <c r="H249" i="1"/>
  <c r="D249" i="1"/>
  <c r="A249" i="1"/>
  <c r="C249" i="1"/>
  <c r="E249" i="1"/>
  <c r="F249" i="1"/>
  <c r="G1286" i="1"/>
  <c r="H1286" i="1"/>
  <c r="D1286" i="1"/>
  <c r="A1286" i="1"/>
  <c r="C1286" i="1"/>
  <c r="E1286" i="1"/>
  <c r="F1286" i="1"/>
  <c r="G4016" i="1"/>
  <c r="H4016" i="1"/>
  <c r="D4016" i="1"/>
  <c r="A4016" i="1"/>
  <c r="C4016" i="1"/>
  <c r="E4016" i="1"/>
  <c r="F4016" i="1"/>
  <c r="G554" i="1"/>
  <c r="H554" i="1"/>
  <c r="D554" i="1"/>
  <c r="A554" i="1"/>
  <c r="C554" i="1"/>
  <c r="E554" i="1"/>
  <c r="F554" i="1"/>
  <c r="G1633" i="1"/>
  <c r="H1633" i="1"/>
  <c r="D1633" i="1"/>
  <c r="A1633" i="1"/>
  <c r="C1633" i="1"/>
  <c r="E1633" i="1"/>
  <c r="F1633" i="1"/>
  <c r="G1292" i="1"/>
  <c r="H1292" i="1"/>
  <c r="D1292" i="1"/>
  <c r="A1292" i="1"/>
  <c r="C1292" i="1"/>
  <c r="E1292" i="1"/>
  <c r="F1292" i="1"/>
  <c r="G5001" i="1"/>
  <c r="H5001" i="1"/>
  <c r="D5001" i="1"/>
  <c r="A5001" i="1"/>
  <c r="C5001" i="1"/>
  <c r="E5001" i="1"/>
  <c r="F5001" i="1"/>
  <c r="G2668" i="1"/>
  <c r="H2668" i="1"/>
  <c r="D2668" i="1"/>
  <c r="A2668" i="1"/>
  <c r="C2668" i="1"/>
  <c r="E2668" i="1"/>
  <c r="F2668" i="1"/>
  <c r="G1299" i="1"/>
  <c r="H1299" i="1"/>
  <c r="D1299" i="1"/>
  <c r="A1299" i="1"/>
  <c r="C1299" i="1"/>
  <c r="E1299" i="1"/>
  <c r="F1299" i="1"/>
  <c r="G1892" i="1"/>
  <c r="H1892" i="1"/>
  <c r="D1892" i="1"/>
  <c r="A1892" i="1"/>
  <c r="C1892" i="1"/>
  <c r="E1892" i="1"/>
  <c r="F1892" i="1"/>
  <c r="G1682" i="1"/>
  <c r="H1682" i="1"/>
  <c r="D1682" i="1"/>
  <c r="A1682" i="1"/>
  <c r="C1682" i="1"/>
  <c r="E1682" i="1"/>
  <c r="F1682" i="1"/>
  <c r="G1300" i="1"/>
  <c r="H1300" i="1"/>
  <c r="D1300" i="1"/>
  <c r="A1300" i="1"/>
  <c r="C1300" i="1"/>
  <c r="E1300" i="1"/>
  <c r="F1300" i="1"/>
  <c r="G1615" i="1"/>
  <c r="H1615" i="1"/>
  <c r="D1615" i="1"/>
  <c r="A1615" i="1"/>
  <c r="C1615" i="1"/>
  <c r="E1615" i="1"/>
  <c r="F1615" i="1"/>
  <c r="G1301" i="1"/>
  <c r="H1301" i="1"/>
  <c r="D1301" i="1"/>
  <c r="A1301" i="1"/>
  <c r="C1301" i="1"/>
  <c r="E1301" i="1"/>
  <c r="F1301" i="1"/>
  <c r="G2942" i="1"/>
  <c r="H2942" i="1"/>
  <c r="D2942" i="1"/>
  <c r="A2942" i="1"/>
  <c r="C2942" i="1"/>
  <c r="E2942" i="1"/>
  <c r="F2942" i="1"/>
  <c r="G4808" i="1"/>
  <c r="H4808" i="1"/>
  <c r="D4808" i="1"/>
  <c r="A4808" i="1"/>
  <c r="C4808" i="1"/>
  <c r="E4808" i="1"/>
  <c r="F4808" i="1"/>
  <c r="G1304" i="1"/>
  <c r="H1304" i="1"/>
  <c r="D1304" i="1"/>
  <c r="A1304" i="1"/>
  <c r="C1304" i="1"/>
  <c r="E1304" i="1"/>
  <c r="F1304" i="1"/>
  <c r="G1616" i="1"/>
  <c r="H1616" i="1"/>
  <c r="D1616" i="1"/>
  <c r="A1616" i="1"/>
  <c r="C1616" i="1"/>
  <c r="E1616" i="1"/>
  <c r="F1616" i="1"/>
  <c r="G4929" i="1"/>
  <c r="H4929" i="1"/>
  <c r="D4929" i="1"/>
  <c r="A4929" i="1"/>
  <c r="C4929" i="1"/>
  <c r="E4929" i="1"/>
  <c r="F4929" i="1"/>
  <c r="G1306" i="1"/>
  <c r="H1306" i="1"/>
  <c r="D1306" i="1"/>
  <c r="A1306" i="1"/>
  <c r="C1306" i="1"/>
  <c r="E1306" i="1"/>
  <c r="F1306" i="1"/>
  <c r="G3440" i="1"/>
  <c r="H3440" i="1"/>
  <c r="D3440" i="1"/>
  <c r="A3440" i="1"/>
  <c r="C3440" i="1"/>
  <c r="E3440" i="1"/>
  <c r="F3440" i="1"/>
  <c r="G2685" i="1"/>
  <c r="H2685" i="1"/>
  <c r="D2685" i="1"/>
  <c r="A2685" i="1"/>
  <c r="C2685" i="1"/>
  <c r="E2685" i="1"/>
  <c r="F2685" i="1"/>
  <c r="G4740" i="1"/>
  <c r="H4740" i="1"/>
  <c r="D4740" i="1"/>
  <c r="A4740" i="1"/>
  <c r="C4740" i="1"/>
  <c r="E4740" i="1"/>
  <c r="F4740" i="1"/>
  <c r="G3190" i="1"/>
  <c r="H3190" i="1"/>
  <c r="D3190" i="1"/>
  <c r="A3190" i="1"/>
  <c r="C3190" i="1"/>
  <c r="E3190" i="1"/>
  <c r="F3190" i="1"/>
  <c r="G2689" i="1"/>
  <c r="H2689" i="1"/>
  <c r="D2689" i="1"/>
  <c r="A2689" i="1"/>
  <c r="C2689" i="1"/>
  <c r="E2689" i="1"/>
  <c r="F2689" i="1"/>
  <c r="G1533" i="1"/>
  <c r="H1533" i="1"/>
  <c r="D1533" i="1"/>
  <c r="A1533" i="1"/>
  <c r="C1533" i="1"/>
  <c r="E1533" i="1"/>
  <c r="F1533" i="1"/>
  <c r="G2690" i="1"/>
  <c r="H2690" i="1"/>
  <c r="D2690" i="1"/>
  <c r="A2690" i="1"/>
  <c r="C2690" i="1"/>
  <c r="E2690" i="1"/>
  <c r="F2690" i="1"/>
  <c r="G4699" i="1"/>
  <c r="H4699" i="1"/>
  <c r="D4699" i="1"/>
  <c r="A4699" i="1"/>
  <c r="C4699" i="1"/>
  <c r="E4699" i="1"/>
  <c r="F4699" i="1"/>
  <c r="G4157" i="1"/>
  <c r="H4157" i="1"/>
  <c r="D4157" i="1"/>
  <c r="A4157" i="1"/>
  <c r="C4157" i="1"/>
  <c r="E4157" i="1"/>
  <c r="F4157" i="1"/>
  <c r="G1309" i="1"/>
  <c r="H1309" i="1"/>
  <c r="D1309" i="1"/>
  <c r="A1309" i="1"/>
  <c r="C1309" i="1"/>
  <c r="E1309" i="1"/>
  <c r="F1309" i="1"/>
  <c r="G1072" i="1"/>
  <c r="H1072" i="1"/>
  <c r="D1072" i="1"/>
  <c r="A1072" i="1"/>
  <c r="C1072" i="1"/>
  <c r="E1072" i="1"/>
  <c r="F1072" i="1"/>
  <c r="G1815" i="1"/>
  <c r="H1815" i="1"/>
  <c r="D1815" i="1"/>
  <c r="A1815" i="1"/>
  <c r="C1815" i="1"/>
  <c r="E1815" i="1"/>
  <c r="F1815" i="1"/>
  <c r="G608" i="1"/>
  <c r="H608" i="1"/>
  <c r="D608" i="1"/>
  <c r="A608" i="1"/>
  <c r="C608" i="1"/>
  <c r="E608" i="1"/>
  <c r="F608" i="1"/>
  <c r="G1326" i="1"/>
  <c r="H1326" i="1"/>
  <c r="D1326" i="1"/>
  <c r="A1326" i="1"/>
  <c r="C1326" i="1"/>
  <c r="E1326" i="1"/>
  <c r="F1326" i="1"/>
  <c r="G1964" i="1"/>
  <c r="H1964" i="1"/>
  <c r="D1964" i="1"/>
  <c r="A1964" i="1"/>
  <c r="C1964" i="1"/>
  <c r="E1964" i="1"/>
  <c r="F1964" i="1"/>
  <c r="G4645" i="1"/>
  <c r="H4645" i="1"/>
  <c r="D4645" i="1"/>
  <c r="A4645" i="1"/>
  <c r="C4645" i="1"/>
  <c r="E4645" i="1"/>
  <c r="F4645" i="1"/>
  <c r="G3143" i="1"/>
  <c r="H3143" i="1"/>
  <c r="D3143" i="1"/>
  <c r="A3143" i="1"/>
  <c r="C3143" i="1"/>
  <c r="E3143" i="1"/>
  <c r="F3143" i="1"/>
  <c r="G616" i="1"/>
  <c r="H616" i="1"/>
  <c r="D616" i="1"/>
  <c r="A616" i="1"/>
  <c r="C616" i="1"/>
  <c r="E616" i="1"/>
  <c r="F616" i="1"/>
  <c r="G1228" i="1"/>
  <c r="H1228" i="1"/>
  <c r="D1228" i="1"/>
  <c r="A1228" i="1"/>
  <c r="C1228" i="1"/>
  <c r="E1228" i="1"/>
  <c r="F1228" i="1"/>
  <c r="G3959" i="1"/>
  <c r="H3959" i="1"/>
  <c r="D3959" i="1"/>
  <c r="A3959" i="1"/>
  <c r="C3959" i="1"/>
  <c r="E3959" i="1"/>
  <c r="F3959" i="1"/>
  <c r="G3960" i="1"/>
  <c r="H3960" i="1"/>
  <c r="D3960" i="1"/>
  <c r="A3960" i="1"/>
  <c r="C3960" i="1"/>
  <c r="E3960" i="1"/>
  <c r="F3960" i="1"/>
  <c r="G4948" i="1"/>
  <c r="H4948" i="1"/>
  <c r="D4948" i="1"/>
  <c r="A4948" i="1"/>
  <c r="C4948" i="1"/>
  <c r="E4948" i="1"/>
  <c r="F4948" i="1"/>
  <c r="G115" i="1"/>
  <c r="H115" i="1"/>
  <c r="D115" i="1"/>
  <c r="A115" i="1"/>
  <c r="C115" i="1"/>
  <c r="E115" i="1"/>
  <c r="F115" i="1"/>
  <c r="G2829" i="1"/>
  <c r="H2829" i="1"/>
  <c r="D2829" i="1"/>
  <c r="A2829" i="1"/>
  <c r="C2829" i="1"/>
  <c r="E2829" i="1"/>
  <c r="F2829" i="1"/>
  <c r="G2687" i="1"/>
  <c r="H2687" i="1"/>
  <c r="D2687" i="1"/>
  <c r="A2687" i="1"/>
  <c r="C2687" i="1"/>
  <c r="E2687" i="1"/>
  <c r="F2687" i="1"/>
  <c r="G4933" i="1"/>
  <c r="H4933" i="1"/>
  <c r="D4933" i="1"/>
  <c r="A4933" i="1"/>
  <c r="C4933" i="1"/>
  <c r="E4933" i="1"/>
  <c r="F4933" i="1"/>
  <c r="G3835" i="1"/>
  <c r="H3835" i="1"/>
  <c r="D3835" i="1"/>
  <c r="A3835" i="1"/>
  <c r="C3835" i="1"/>
  <c r="E3835" i="1"/>
  <c r="F3835" i="1"/>
  <c r="G2699" i="1"/>
  <c r="H2699" i="1"/>
  <c r="D2699" i="1"/>
  <c r="A2699" i="1"/>
  <c r="C2699" i="1"/>
  <c r="E2699" i="1"/>
  <c r="F2699" i="1"/>
  <c r="G3801" i="1"/>
  <c r="H3801" i="1"/>
  <c r="D3801" i="1"/>
  <c r="A3801" i="1"/>
  <c r="C3801" i="1"/>
  <c r="E3801" i="1"/>
  <c r="F3801" i="1"/>
  <c r="G2707" i="1"/>
  <c r="H2707" i="1"/>
  <c r="D2707" i="1"/>
  <c r="A2707" i="1"/>
  <c r="C2707" i="1"/>
  <c r="E2707" i="1"/>
  <c r="F2707" i="1"/>
  <c r="G4927" i="1"/>
  <c r="H4927" i="1"/>
  <c r="D4927" i="1"/>
  <c r="A4927" i="1"/>
  <c r="C4927" i="1"/>
  <c r="E4927" i="1"/>
  <c r="F4927" i="1"/>
  <c r="G2534" i="1"/>
  <c r="H2534" i="1"/>
  <c r="D2534" i="1"/>
  <c r="A2534" i="1"/>
  <c r="C2534" i="1"/>
  <c r="E2534" i="1"/>
  <c r="F2534" i="1"/>
  <c r="G2672" i="1"/>
  <c r="H2672" i="1"/>
  <c r="D2672" i="1"/>
  <c r="A2672" i="1"/>
  <c r="C2672" i="1"/>
  <c r="E2672" i="1"/>
  <c r="F2672" i="1"/>
  <c r="G1923" i="1"/>
  <c r="H1923" i="1"/>
  <c r="D1923" i="1"/>
  <c r="A1923" i="1"/>
  <c r="C1923" i="1"/>
  <c r="E1923" i="1"/>
  <c r="F1923" i="1"/>
  <c r="G4613" i="1"/>
  <c r="H4613" i="1"/>
  <c r="D4613" i="1"/>
  <c r="A4613" i="1"/>
  <c r="C4613" i="1"/>
  <c r="E4613" i="1"/>
  <c r="F4613" i="1"/>
  <c r="G2710" i="1"/>
  <c r="H2710" i="1"/>
  <c r="D2710" i="1"/>
  <c r="A2710" i="1"/>
  <c r="C2710" i="1"/>
  <c r="E2710" i="1"/>
  <c r="F2710" i="1"/>
  <c r="G3029" i="1"/>
  <c r="H3029" i="1"/>
  <c r="D3029" i="1"/>
  <c r="A3029" i="1"/>
  <c r="C3029" i="1"/>
  <c r="E3029" i="1"/>
  <c r="F3029" i="1"/>
  <c r="G4341" i="1"/>
  <c r="H4341" i="1"/>
  <c r="D4341" i="1"/>
  <c r="A4341" i="1"/>
  <c r="C4341" i="1"/>
  <c r="E4341" i="1"/>
  <c r="F4341" i="1"/>
  <c r="G2716" i="1"/>
  <c r="H2716" i="1"/>
  <c r="D2716" i="1"/>
  <c r="A2716" i="1"/>
  <c r="C2716" i="1"/>
  <c r="E2716" i="1"/>
  <c r="F2716" i="1"/>
  <c r="G4528" i="1"/>
  <c r="H4528" i="1"/>
  <c r="D4528" i="1"/>
  <c r="A4528" i="1"/>
  <c r="C4528" i="1"/>
  <c r="E4528" i="1"/>
  <c r="F4528" i="1"/>
  <c r="G1775" i="1"/>
  <c r="H1775" i="1"/>
  <c r="D1775" i="1"/>
  <c r="A1775" i="1"/>
  <c r="C1775" i="1"/>
  <c r="E1775" i="1"/>
  <c r="F1775" i="1"/>
  <c r="G2720" i="1"/>
  <c r="H2720" i="1"/>
  <c r="D2720" i="1"/>
  <c r="A2720" i="1"/>
  <c r="C2720" i="1"/>
  <c r="E2720" i="1"/>
  <c r="F2720" i="1"/>
  <c r="G442" i="1"/>
  <c r="H442" i="1"/>
  <c r="D442" i="1"/>
  <c r="A442" i="1"/>
  <c r="C442" i="1"/>
  <c r="E442" i="1"/>
  <c r="F442" i="1"/>
  <c r="G1776" i="1"/>
  <c r="H1776" i="1"/>
  <c r="D1776" i="1"/>
  <c r="A1776" i="1"/>
  <c r="C1776" i="1"/>
  <c r="E1776" i="1"/>
  <c r="F1776" i="1"/>
  <c r="G2718" i="1"/>
  <c r="H2718" i="1"/>
  <c r="D2718" i="1"/>
  <c r="A2718" i="1"/>
  <c r="C2718" i="1"/>
  <c r="E2718" i="1"/>
  <c r="F2718" i="1"/>
  <c r="G1140" i="1"/>
  <c r="H1140" i="1"/>
  <c r="D1140" i="1"/>
  <c r="A1140" i="1"/>
  <c r="C1140" i="1"/>
  <c r="E1140" i="1"/>
  <c r="F1140" i="1"/>
  <c r="G4660" i="1"/>
  <c r="H4660" i="1"/>
  <c r="D4660" i="1"/>
  <c r="A4660" i="1"/>
  <c r="C4660" i="1"/>
  <c r="E4660" i="1"/>
  <c r="F4660" i="1"/>
  <c r="G2728" i="1"/>
  <c r="H2728" i="1"/>
  <c r="D2728" i="1"/>
  <c r="A2728" i="1"/>
  <c r="C2728" i="1"/>
  <c r="E2728" i="1"/>
  <c r="F2728" i="1"/>
  <c r="G927" i="1"/>
  <c r="H927" i="1"/>
  <c r="D927" i="1"/>
  <c r="A927" i="1"/>
  <c r="C927" i="1"/>
  <c r="E927" i="1"/>
  <c r="F927" i="1"/>
  <c r="G2861" i="1"/>
  <c r="H2861" i="1"/>
  <c r="D2861" i="1"/>
  <c r="A2861" i="1"/>
  <c r="C2861" i="1"/>
  <c r="E2861" i="1"/>
  <c r="F2861" i="1"/>
  <c r="G2729" i="1"/>
  <c r="H2729" i="1"/>
  <c r="D2729" i="1"/>
  <c r="A2729" i="1"/>
  <c r="C2729" i="1"/>
  <c r="E2729" i="1"/>
  <c r="F2729" i="1"/>
  <c r="G3680" i="1"/>
  <c r="H3680" i="1"/>
  <c r="D3680" i="1"/>
  <c r="A3680" i="1"/>
  <c r="C3680" i="1"/>
  <c r="E3680" i="1"/>
  <c r="F3680" i="1"/>
  <c r="G896" i="1"/>
  <c r="H896" i="1"/>
  <c r="D896" i="1"/>
  <c r="A896" i="1"/>
  <c r="C896" i="1"/>
  <c r="E896" i="1"/>
  <c r="F896" i="1"/>
  <c r="G2731" i="1"/>
  <c r="H2731" i="1"/>
  <c r="D2731" i="1"/>
  <c r="A2731" i="1"/>
  <c r="C2731" i="1"/>
  <c r="E2731" i="1"/>
  <c r="F2731" i="1"/>
  <c r="G858" i="1"/>
  <c r="H858" i="1"/>
  <c r="D858" i="1"/>
  <c r="A858" i="1"/>
  <c r="C858" i="1"/>
  <c r="E858" i="1"/>
  <c r="F858" i="1"/>
  <c r="G181" i="1"/>
  <c r="H181" i="1"/>
  <c r="D181" i="1"/>
  <c r="A181" i="1"/>
  <c r="C181" i="1"/>
  <c r="E181" i="1"/>
  <c r="F181" i="1"/>
  <c r="G2735" i="1"/>
  <c r="H2735" i="1"/>
  <c r="D2735" i="1"/>
  <c r="A2735" i="1"/>
  <c r="C2735" i="1"/>
  <c r="E2735" i="1"/>
  <c r="F2735" i="1"/>
  <c r="G4517" i="1"/>
  <c r="H4517" i="1"/>
  <c r="D4517" i="1"/>
  <c r="A4517" i="1"/>
  <c r="C4517" i="1"/>
  <c r="E4517" i="1"/>
  <c r="F4517" i="1"/>
  <c r="G3829" i="1"/>
  <c r="H3829" i="1"/>
  <c r="D3829" i="1"/>
  <c r="A3829" i="1"/>
  <c r="C3829" i="1"/>
  <c r="E3829" i="1"/>
  <c r="F3829" i="1"/>
  <c r="G2732" i="1"/>
  <c r="H2732" i="1"/>
  <c r="D2732" i="1"/>
  <c r="A2732" i="1"/>
  <c r="C2732" i="1"/>
  <c r="E2732" i="1"/>
  <c r="F2732" i="1"/>
  <c r="G1778" i="1"/>
  <c r="H1778" i="1"/>
  <c r="D1778" i="1"/>
  <c r="A1778" i="1"/>
  <c r="C1778" i="1"/>
  <c r="E1778" i="1"/>
  <c r="F1778" i="1"/>
  <c r="G2738" i="1"/>
  <c r="H2738" i="1"/>
  <c r="D2738" i="1"/>
  <c r="A2738" i="1"/>
  <c r="C2738" i="1"/>
  <c r="E2738" i="1"/>
  <c r="F2738" i="1"/>
  <c r="G1496" i="1"/>
  <c r="H1496" i="1"/>
  <c r="D1496" i="1"/>
  <c r="A1496" i="1"/>
  <c r="C1496" i="1"/>
  <c r="E1496" i="1"/>
  <c r="F1496" i="1"/>
  <c r="G4416" i="1"/>
  <c r="H4416" i="1"/>
  <c r="D4416" i="1"/>
  <c r="A4416" i="1"/>
  <c r="C4416" i="1"/>
  <c r="E4416" i="1"/>
  <c r="F4416" i="1"/>
  <c r="G2744" i="1"/>
  <c r="H2744" i="1"/>
  <c r="D2744" i="1"/>
  <c r="A2744" i="1"/>
  <c r="C2744" i="1"/>
  <c r="E2744" i="1"/>
  <c r="F2744" i="1"/>
  <c r="G4934" i="1"/>
  <c r="H4934" i="1"/>
  <c r="D4934" i="1"/>
  <c r="A4934" i="1"/>
  <c r="C4934" i="1"/>
  <c r="E4934" i="1"/>
  <c r="F4934" i="1"/>
  <c r="G2746" i="1"/>
  <c r="H2746" i="1"/>
  <c r="D2746" i="1"/>
  <c r="A2746" i="1"/>
  <c r="C2746" i="1"/>
  <c r="E2746" i="1"/>
  <c r="F2746" i="1"/>
  <c r="G1409" i="1"/>
  <c r="H1409" i="1"/>
  <c r="D1409" i="1"/>
  <c r="A1409" i="1"/>
  <c r="C1409" i="1"/>
  <c r="E1409" i="1"/>
  <c r="F1409" i="1"/>
  <c r="G4477" i="1"/>
  <c r="H4477" i="1"/>
  <c r="D4477" i="1"/>
  <c r="A4477" i="1"/>
  <c r="C4477" i="1"/>
  <c r="E4477" i="1"/>
  <c r="F4477" i="1"/>
  <c r="G2749" i="1"/>
  <c r="H2749" i="1"/>
  <c r="D2749" i="1"/>
  <c r="A2749" i="1"/>
  <c r="C2749" i="1"/>
  <c r="E2749" i="1"/>
  <c r="F2749" i="1"/>
  <c r="G4761" i="1"/>
  <c r="H4761" i="1"/>
  <c r="D4761" i="1"/>
  <c r="A4761" i="1"/>
  <c r="C4761" i="1"/>
  <c r="E4761" i="1"/>
  <c r="F4761" i="1"/>
  <c r="G24" i="1"/>
  <c r="H24" i="1"/>
  <c r="D24" i="1"/>
  <c r="A24" i="1"/>
  <c r="C24" i="1"/>
  <c r="E24" i="1"/>
  <c r="F24" i="1"/>
  <c r="G2677" i="1"/>
  <c r="H2677" i="1"/>
  <c r="D2677" i="1"/>
  <c r="A2677" i="1"/>
  <c r="C2677" i="1"/>
  <c r="E2677" i="1"/>
  <c r="F2677" i="1"/>
  <c r="G4361" i="1"/>
  <c r="H4361" i="1"/>
  <c r="D4361" i="1"/>
  <c r="A4361" i="1"/>
  <c r="C4361" i="1"/>
  <c r="E4361" i="1"/>
  <c r="F4361" i="1"/>
  <c r="G2754" i="1"/>
  <c r="H2754" i="1"/>
  <c r="D2754" i="1"/>
  <c r="A2754" i="1"/>
  <c r="C2754" i="1"/>
  <c r="E2754" i="1"/>
  <c r="F2754" i="1"/>
  <c r="G4857" i="1"/>
  <c r="H4857" i="1"/>
  <c r="D4857" i="1"/>
  <c r="A4857" i="1"/>
  <c r="C4857" i="1"/>
  <c r="E4857" i="1"/>
  <c r="F4857" i="1"/>
  <c r="G4659" i="1"/>
  <c r="H4659" i="1"/>
  <c r="D4659" i="1"/>
  <c r="A4659" i="1"/>
  <c r="C4659" i="1"/>
  <c r="E4659" i="1"/>
  <c r="F4659" i="1"/>
  <c r="G2679" i="1"/>
  <c r="H2679" i="1"/>
  <c r="D2679" i="1"/>
  <c r="A2679" i="1"/>
  <c r="C2679" i="1"/>
  <c r="E2679" i="1"/>
  <c r="F2679" i="1"/>
  <c r="G4831" i="1"/>
  <c r="H4831" i="1"/>
  <c r="D4831" i="1"/>
  <c r="A4831" i="1"/>
  <c r="C4831" i="1"/>
  <c r="E4831" i="1"/>
  <c r="F4831" i="1"/>
  <c r="G1635" i="1"/>
  <c r="H1635" i="1"/>
  <c r="D1635" i="1"/>
  <c r="A1635" i="1"/>
  <c r="C1635" i="1"/>
  <c r="E1635" i="1"/>
  <c r="F1635" i="1"/>
  <c r="G2755" i="1"/>
  <c r="H2755" i="1"/>
  <c r="D2755" i="1"/>
  <c r="A2755" i="1"/>
  <c r="C2755" i="1"/>
  <c r="E2755" i="1"/>
  <c r="F2755" i="1"/>
  <c r="G1805" i="1"/>
  <c r="H1805" i="1"/>
  <c r="D1805" i="1"/>
  <c r="A1805" i="1"/>
  <c r="C1805" i="1"/>
  <c r="E1805" i="1"/>
  <c r="F1805" i="1"/>
  <c r="G2094" i="1"/>
  <c r="H2094" i="1"/>
  <c r="D2094" i="1"/>
  <c r="A2094" i="1"/>
  <c r="C2094" i="1"/>
  <c r="E2094" i="1"/>
  <c r="F2094" i="1"/>
  <c r="G1810" i="1"/>
  <c r="H1810" i="1"/>
  <c r="D1810" i="1"/>
  <c r="A1810" i="1"/>
  <c r="C1810" i="1"/>
  <c r="E1810" i="1"/>
  <c r="F1810" i="1"/>
  <c r="G4675" i="1"/>
  <c r="H4675" i="1"/>
  <c r="D4675" i="1"/>
  <c r="A4675" i="1"/>
  <c r="C4675" i="1"/>
  <c r="E4675" i="1"/>
  <c r="F4675" i="1"/>
  <c r="G2762" i="1"/>
  <c r="H2762" i="1"/>
  <c r="D2762" i="1"/>
  <c r="A2762" i="1"/>
  <c r="C2762" i="1"/>
  <c r="E2762" i="1"/>
  <c r="F2762" i="1"/>
  <c r="G4363" i="1"/>
  <c r="H4363" i="1"/>
  <c r="D4363" i="1"/>
  <c r="A4363" i="1"/>
  <c r="C4363" i="1"/>
  <c r="E4363" i="1"/>
  <c r="F4363" i="1"/>
  <c r="G965" i="1"/>
  <c r="H965" i="1"/>
  <c r="D965" i="1"/>
  <c r="A965" i="1"/>
  <c r="C965" i="1"/>
  <c r="E965" i="1"/>
  <c r="F965" i="1"/>
  <c r="G370" i="1"/>
  <c r="H370" i="1"/>
  <c r="D370" i="1"/>
  <c r="A370" i="1"/>
  <c r="C370" i="1"/>
  <c r="E370" i="1"/>
  <c r="F370" i="1"/>
  <c r="G4074" i="1"/>
  <c r="H4074" i="1"/>
  <c r="D4074" i="1"/>
  <c r="A4074" i="1"/>
  <c r="C4074" i="1"/>
  <c r="E4074" i="1"/>
  <c r="F4074" i="1"/>
  <c r="G2760" i="1"/>
  <c r="H2760" i="1"/>
  <c r="D2760" i="1"/>
  <c r="A2760" i="1"/>
  <c r="C2760" i="1"/>
  <c r="E2760" i="1"/>
  <c r="F2760" i="1"/>
  <c r="G3722" i="1"/>
  <c r="H3722" i="1"/>
  <c r="D3722" i="1"/>
  <c r="A3722" i="1"/>
  <c r="C3722" i="1"/>
  <c r="E3722" i="1"/>
  <c r="F3722" i="1"/>
  <c r="G3918" i="1"/>
  <c r="H3918" i="1"/>
  <c r="D3918" i="1"/>
  <c r="A3918" i="1"/>
  <c r="C3918" i="1"/>
  <c r="E3918" i="1"/>
  <c r="F3918" i="1"/>
  <c r="G2681" i="1"/>
  <c r="H2681" i="1"/>
  <c r="D2681" i="1"/>
  <c r="A2681" i="1"/>
  <c r="C2681" i="1"/>
  <c r="E2681" i="1"/>
  <c r="F2681" i="1"/>
  <c r="G136" i="1"/>
  <c r="H136" i="1"/>
  <c r="D136" i="1"/>
  <c r="A136" i="1"/>
  <c r="C136" i="1"/>
  <c r="E136" i="1"/>
  <c r="F136" i="1"/>
  <c r="G2761" i="1"/>
  <c r="H2761" i="1"/>
  <c r="D2761" i="1"/>
  <c r="A2761" i="1"/>
  <c r="C2761" i="1"/>
  <c r="E2761" i="1"/>
  <c r="F2761" i="1"/>
  <c r="G498" i="1"/>
  <c r="H498" i="1"/>
  <c r="D498" i="1"/>
  <c r="A498" i="1"/>
  <c r="C498" i="1"/>
  <c r="E498" i="1"/>
  <c r="F498" i="1"/>
  <c r="G3566" i="1"/>
  <c r="H3566" i="1"/>
  <c r="D3566" i="1"/>
  <c r="A3566" i="1"/>
  <c r="C3566" i="1"/>
  <c r="E3566" i="1"/>
  <c r="F3566" i="1"/>
  <c r="G2764" i="1"/>
  <c r="H2764" i="1"/>
  <c r="D2764" i="1"/>
  <c r="A2764" i="1"/>
  <c r="C2764" i="1"/>
  <c r="E2764" i="1"/>
  <c r="F2764" i="1"/>
  <c r="G1822" i="1"/>
  <c r="H1822" i="1"/>
  <c r="D1822" i="1"/>
  <c r="A1822" i="1"/>
  <c r="C1822" i="1"/>
  <c r="E1822" i="1"/>
  <c r="F1822" i="1"/>
  <c r="G3228" i="1"/>
  <c r="H3228" i="1"/>
  <c r="D3228" i="1"/>
  <c r="A3228" i="1"/>
  <c r="C3228" i="1"/>
  <c r="E3228" i="1"/>
  <c r="F3228" i="1"/>
  <c r="G4873" i="1"/>
  <c r="H4873" i="1"/>
  <c r="D4873" i="1"/>
  <c r="A4873" i="1"/>
  <c r="C4873" i="1"/>
  <c r="E4873" i="1"/>
  <c r="F4873" i="1"/>
  <c r="G3657" i="1"/>
  <c r="H3657" i="1"/>
  <c r="D3657" i="1"/>
  <c r="A3657" i="1"/>
  <c r="C3657" i="1"/>
  <c r="E3657" i="1"/>
  <c r="F3657" i="1"/>
  <c r="G2770" i="1"/>
  <c r="H2770" i="1"/>
  <c r="D2770" i="1"/>
  <c r="A2770" i="1"/>
  <c r="C2770" i="1"/>
  <c r="E2770" i="1"/>
  <c r="F2770" i="1"/>
  <c r="G1468" i="1"/>
  <c r="H1468" i="1"/>
  <c r="D1468" i="1"/>
  <c r="A1468" i="1"/>
  <c r="C1468" i="1"/>
  <c r="E1468" i="1"/>
  <c r="F1468" i="1"/>
  <c r="G2771" i="1"/>
  <c r="H2771" i="1"/>
  <c r="D2771" i="1"/>
  <c r="A2771" i="1"/>
  <c r="C2771" i="1"/>
  <c r="E2771" i="1"/>
  <c r="F2771" i="1"/>
  <c r="G4030" i="1"/>
  <c r="H4030" i="1"/>
  <c r="D4030" i="1"/>
  <c r="A4030" i="1"/>
  <c r="C4030" i="1"/>
  <c r="E4030" i="1"/>
  <c r="F4030" i="1"/>
  <c r="G5033" i="1"/>
  <c r="H5033" i="1"/>
  <c r="D5033" i="1"/>
  <c r="A5033" i="1"/>
  <c r="C5033" i="1"/>
  <c r="E5033" i="1"/>
  <c r="F5033" i="1"/>
  <c r="G2776" i="1"/>
  <c r="H2776" i="1"/>
  <c r="D2776" i="1"/>
  <c r="A2776" i="1"/>
  <c r="C2776" i="1"/>
  <c r="E2776" i="1"/>
  <c r="F2776" i="1"/>
  <c r="G4323" i="1"/>
  <c r="H4323" i="1"/>
  <c r="D4323" i="1"/>
  <c r="A4323" i="1"/>
  <c r="C4323" i="1"/>
  <c r="E4323" i="1"/>
  <c r="F4323" i="1"/>
  <c r="G4132" i="1"/>
  <c r="H4132" i="1"/>
  <c r="D4132" i="1"/>
  <c r="A4132" i="1"/>
  <c r="C4132" i="1"/>
  <c r="E4132" i="1"/>
  <c r="F4132" i="1"/>
  <c r="G2777" i="1"/>
  <c r="H2777" i="1"/>
  <c r="D2777" i="1"/>
  <c r="A2777" i="1"/>
  <c r="C2777" i="1"/>
  <c r="E2777" i="1"/>
  <c r="F2777" i="1"/>
  <c r="G1989" i="1"/>
  <c r="H1989" i="1"/>
  <c r="D1989" i="1"/>
  <c r="A1989" i="1"/>
  <c r="C1989" i="1"/>
  <c r="E1989" i="1"/>
  <c r="F1989" i="1"/>
  <c r="G1983" i="1"/>
  <c r="H1983" i="1"/>
  <c r="D1983" i="1"/>
  <c r="A1983" i="1"/>
  <c r="C1983" i="1"/>
  <c r="E1983" i="1"/>
  <c r="F1983" i="1"/>
  <c r="G2779" i="1"/>
  <c r="H2779" i="1"/>
  <c r="D2779" i="1"/>
  <c r="A2779" i="1"/>
  <c r="C2779" i="1"/>
  <c r="E2779" i="1"/>
  <c r="F2779" i="1"/>
  <c r="G3053" i="1"/>
  <c r="H3053" i="1"/>
  <c r="D3053" i="1"/>
  <c r="A3053" i="1"/>
  <c r="C3053" i="1"/>
  <c r="E3053" i="1"/>
  <c r="F3053" i="1"/>
  <c r="G4135" i="1"/>
  <c r="H4135" i="1"/>
  <c r="D4135" i="1"/>
  <c r="A4135" i="1"/>
  <c r="C4135" i="1"/>
  <c r="E4135" i="1"/>
  <c r="F4135" i="1"/>
  <c r="G2781" i="1"/>
  <c r="H2781" i="1"/>
  <c r="D2781" i="1"/>
  <c r="A2781" i="1"/>
  <c r="C2781" i="1"/>
  <c r="E2781" i="1"/>
  <c r="F2781" i="1"/>
  <c r="G4324" i="1"/>
  <c r="H4324" i="1"/>
  <c r="D4324" i="1"/>
  <c r="A4324" i="1"/>
  <c r="C4324" i="1"/>
  <c r="E4324" i="1"/>
  <c r="F4324" i="1"/>
  <c r="G2782" i="1"/>
  <c r="H2782" i="1"/>
  <c r="D2782" i="1"/>
  <c r="A2782" i="1"/>
  <c r="C2782" i="1"/>
  <c r="E2782" i="1"/>
  <c r="F2782" i="1"/>
  <c r="G3878" i="1"/>
  <c r="H3878" i="1"/>
  <c r="D3878" i="1"/>
  <c r="A3878" i="1"/>
  <c r="C3878" i="1"/>
  <c r="E3878" i="1"/>
  <c r="F3878" i="1"/>
  <c r="G1290" i="1"/>
  <c r="H1290" i="1"/>
  <c r="D1290" i="1"/>
  <c r="A1290" i="1"/>
  <c r="C1290" i="1"/>
  <c r="E1290" i="1"/>
  <c r="F1290" i="1"/>
  <c r="G2787" i="1"/>
  <c r="H2787" i="1"/>
  <c r="D2787" i="1"/>
  <c r="A2787" i="1"/>
  <c r="C2787" i="1"/>
  <c r="E2787" i="1"/>
  <c r="F2787" i="1"/>
  <c r="G4150" i="1"/>
  <c r="H4150" i="1"/>
  <c r="D4150" i="1"/>
  <c r="A4150" i="1"/>
  <c r="C4150" i="1"/>
  <c r="E4150" i="1"/>
  <c r="F4150" i="1"/>
  <c r="G99" i="1"/>
  <c r="H99" i="1"/>
  <c r="D99" i="1"/>
  <c r="A99" i="1"/>
  <c r="C99" i="1"/>
  <c r="E99" i="1"/>
  <c r="F99" i="1"/>
  <c r="G2790" i="1"/>
  <c r="H2790" i="1"/>
  <c r="D2790" i="1"/>
  <c r="A2790" i="1"/>
  <c r="C2790" i="1"/>
  <c r="E2790" i="1"/>
  <c r="F2790" i="1"/>
  <c r="G2871" i="1"/>
  <c r="H2871" i="1"/>
  <c r="D2871" i="1"/>
  <c r="A2871" i="1"/>
  <c r="C2871" i="1"/>
  <c r="E2871" i="1"/>
  <c r="F2871" i="1"/>
  <c r="G4754" i="1"/>
  <c r="H4754" i="1"/>
  <c r="D4754" i="1"/>
  <c r="A4754" i="1"/>
  <c r="C4754" i="1"/>
  <c r="E4754" i="1"/>
  <c r="F4754" i="1"/>
  <c r="G2791" i="1"/>
  <c r="H2791" i="1"/>
  <c r="D2791" i="1"/>
  <c r="A2791" i="1"/>
  <c r="C2791" i="1"/>
  <c r="E2791" i="1"/>
  <c r="F2791" i="1"/>
  <c r="G245" i="1"/>
  <c r="H245" i="1"/>
  <c r="D245" i="1"/>
  <c r="A245" i="1"/>
  <c r="C245" i="1"/>
  <c r="E245" i="1"/>
  <c r="F245" i="1"/>
  <c r="G2179" i="1"/>
  <c r="H2179" i="1"/>
  <c r="D2179" i="1"/>
  <c r="A2179" i="1"/>
  <c r="C2179" i="1"/>
  <c r="E2179" i="1"/>
  <c r="F2179" i="1"/>
  <c r="G2793" i="1"/>
  <c r="H2793" i="1"/>
  <c r="D2793" i="1"/>
  <c r="A2793" i="1"/>
  <c r="C2793" i="1"/>
  <c r="E2793" i="1"/>
  <c r="F2793" i="1"/>
  <c r="G2006" i="1"/>
  <c r="H2006" i="1"/>
  <c r="D2006" i="1"/>
  <c r="A2006" i="1"/>
  <c r="C2006" i="1"/>
  <c r="E2006" i="1"/>
  <c r="F2006" i="1"/>
  <c r="G2794" i="1"/>
  <c r="H2794" i="1"/>
  <c r="D2794" i="1"/>
  <c r="A2794" i="1"/>
  <c r="C2794" i="1"/>
  <c r="E2794" i="1"/>
  <c r="F2794" i="1"/>
  <c r="G5078" i="1"/>
  <c r="H5078" i="1"/>
  <c r="D5078" i="1"/>
  <c r="A5078" i="1"/>
  <c r="C5078" i="1"/>
  <c r="E5078" i="1"/>
  <c r="F5078" i="1"/>
  <c r="G2918" i="1"/>
  <c r="H2918" i="1"/>
  <c r="D2918" i="1"/>
  <c r="A2918" i="1"/>
  <c r="C2918" i="1"/>
  <c r="E2918" i="1"/>
  <c r="F2918" i="1"/>
  <c r="G2795" i="1"/>
  <c r="H2795" i="1"/>
  <c r="D2795" i="1"/>
  <c r="A2795" i="1"/>
  <c r="C2795" i="1"/>
  <c r="E2795" i="1"/>
  <c r="F2795" i="1"/>
  <c r="G2862" i="1"/>
  <c r="H2862" i="1"/>
  <c r="D2862" i="1"/>
  <c r="A2862" i="1"/>
  <c r="C2862" i="1"/>
  <c r="E2862" i="1"/>
  <c r="F2862" i="1"/>
  <c r="G929" i="1"/>
  <c r="H929" i="1"/>
  <c r="D929" i="1"/>
  <c r="A929" i="1"/>
  <c r="C929" i="1"/>
  <c r="E929" i="1"/>
  <c r="F929" i="1"/>
  <c r="G2796" i="1"/>
  <c r="H2796" i="1"/>
  <c r="D2796" i="1"/>
  <c r="A2796" i="1"/>
  <c r="C2796" i="1"/>
  <c r="E2796" i="1"/>
  <c r="F2796" i="1"/>
  <c r="G2863" i="1"/>
  <c r="H2863" i="1"/>
  <c r="D2863" i="1"/>
  <c r="A2863" i="1"/>
  <c r="C2863" i="1"/>
  <c r="E2863" i="1"/>
  <c r="F2863" i="1"/>
  <c r="G3041" i="1"/>
  <c r="H3041" i="1"/>
  <c r="D3041" i="1"/>
  <c r="A3041" i="1"/>
  <c r="C3041" i="1"/>
  <c r="E3041" i="1"/>
  <c r="F3041" i="1"/>
  <c r="G2809" i="1"/>
  <c r="H2809" i="1"/>
  <c r="D2809" i="1"/>
  <c r="A2809" i="1"/>
  <c r="C2809" i="1"/>
  <c r="E2809" i="1"/>
  <c r="F2809" i="1"/>
  <c r="G69" i="1"/>
  <c r="H69" i="1"/>
  <c r="D69" i="1"/>
  <c r="A69" i="1"/>
  <c r="C69" i="1"/>
  <c r="E69" i="1"/>
  <c r="F69" i="1"/>
  <c r="G4218" i="1"/>
  <c r="H4218" i="1"/>
  <c r="D4218" i="1"/>
  <c r="A4218" i="1"/>
  <c r="C4218" i="1"/>
  <c r="E4218" i="1"/>
  <c r="F4218" i="1"/>
  <c r="G71" i="1"/>
  <c r="H71" i="1"/>
  <c r="D71" i="1"/>
  <c r="A71" i="1"/>
  <c r="C71" i="1"/>
  <c r="E71" i="1"/>
  <c r="F71" i="1"/>
  <c r="G2820" i="1"/>
  <c r="H2820" i="1"/>
  <c r="D2820" i="1"/>
  <c r="A2820" i="1"/>
  <c r="C2820" i="1"/>
  <c r="E2820" i="1"/>
  <c r="F2820" i="1"/>
  <c r="G67" i="1"/>
  <c r="H67" i="1"/>
  <c r="D67" i="1"/>
  <c r="A67" i="1"/>
  <c r="C67" i="1"/>
  <c r="E67" i="1"/>
  <c r="F67" i="1"/>
  <c r="G539" i="1"/>
  <c r="H539" i="1"/>
  <c r="D539" i="1"/>
  <c r="A539" i="1"/>
  <c r="C539" i="1"/>
  <c r="E539" i="1"/>
  <c r="F539" i="1"/>
  <c r="G70" i="1"/>
  <c r="H70" i="1"/>
  <c r="D70" i="1"/>
  <c r="A70" i="1"/>
  <c r="C70" i="1"/>
  <c r="E70" i="1"/>
  <c r="F70" i="1"/>
  <c r="G2275" i="1"/>
  <c r="H2275" i="1"/>
  <c r="D2275" i="1"/>
  <c r="A2275" i="1"/>
  <c r="C2275" i="1"/>
  <c r="E2275" i="1"/>
  <c r="F2275" i="1"/>
  <c r="G2845" i="1"/>
  <c r="H2845" i="1"/>
  <c r="D2845" i="1"/>
  <c r="A2845" i="1"/>
  <c r="C2845" i="1"/>
  <c r="E2845" i="1"/>
  <c r="F2845" i="1"/>
  <c r="G2765" i="1"/>
  <c r="H2765" i="1"/>
  <c r="D2765" i="1"/>
  <c r="A2765" i="1"/>
  <c r="C2765" i="1"/>
  <c r="E2765" i="1"/>
  <c r="F2765" i="1"/>
  <c r="G2844" i="1"/>
  <c r="H2844" i="1"/>
  <c r="D2844" i="1"/>
  <c r="A2844" i="1"/>
  <c r="C2844" i="1"/>
  <c r="E2844" i="1"/>
  <c r="F2844" i="1"/>
  <c r="G3108" i="1"/>
  <c r="H3108" i="1"/>
  <c r="D3108" i="1"/>
  <c r="A3108" i="1"/>
  <c r="C3108" i="1"/>
  <c r="E3108" i="1"/>
  <c r="F3108" i="1"/>
  <c r="G3337" i="1"/>
  <c r="H3337" i="1"/>
  <c r="D3337" i="1"/>
  <c r="A3337" i="1"/>
  <c r="C3337" i="1"/>
  <c r="E3337" i="1"/>
  <c r="F3337" i="1"/>
  <c r="G2848" i="1"/>
  <c r="H2848" i="1"/>
  <c r="D2848" i="1"/>
  <c r="A2848" i="1"/>
  <c r="C2848" i="1"/>
  <c r="E2848" i="1"/>
  <c r="F2848" i="1"/>
  <c r="G3322" i="1"/>
  <c r="H3322" i="1"/>
  <c r="D3322" i="1"/>
  <c r="A3322" i="1"/>
  <c r="C3322" i="1"/>
  <c r="E3322" i="1"/>
  <c r="F3322" i="1"/>
  <c r="G1354" i="1"/>
  <c r="H1354" i="1"/>
  <c r="D1354" i="1"/>
  <c r="A1354" i="1"/>
  <c r="C1354" i="1"/>
  <c r="E1354" i="1"/>
  <c r="F1354" i="1"/>
  <c r="G2852" i="1"/>
  <c r="H2852" i="1"/>
  <c r="D2852" i="1"/>
  <c r="A2852" i="1"/>
  <c r="C2852" i="1"/>
  <c r="E2852" i="1"/>
  <c r="F2852" i="1"/>
  <c r="G1267" i="1"/>
  <c r="H1267" i="1"/>
  <c r="D1267" i="1"/>
  <c r="A1267" i="1"/>
  <c r="C1267" i="1"/>
  <c r="E1267" i="1"/>
  <c r="F1267" i="1"/>
  <c r="G1498" i="1"/>
  <c r="H1498" i="1"/>
  <c r="D1498" i="1"/>
  <c r="A1498" i="1"/>
  <c r="C1498" i="1"/>
  <c r="E1498" i="1"/>
  <c r="F1498" i="1"/>
  <c r="G2854" i="1"/>
  <c r="H2854" i="1"/>
  <c r="D2854" i="1"/>
  <c r="A2854" i="1"/>
  <c r="C2854" i="1"/>
  <c r="E2854" i="1"/>
  <c r="F2854" i="1"/>
  <c r="G3799" i="1"/>
  <c r="H3799" i="1"/>
  <c r="D3799" i="1"/>
  <c r="A3799" i="1"/>
  <c r="C3799" i="1"/>
  <c r="E3799" i="1"/>
  <c r="F3799" i="1"/>
  <c r="G4544" i="1"/>
  <c r="H4544" i="1"/>
  <c r="D4544" i="1"/>
  <c r="A4544" i="1"/>
  <c r="C4544" i="1"/>
  <c r="E4544" i="1"/>
  <c r="F4544" i="1"/>
  <c r="G4533" i="1"/>
  <c r="H4533" i="1"/>
  <c r="D4533" i="1"/>
  <c r="A4533" i="1"/>
  <c r="C4533" i="1"/>
  <c r="E4533" i="1"/>
  <c r="F4533" i="1"/>
  <c r="G4224" i="1"/>
  <c r="H4224" i="1"/>
  <c r="D4224" i="1"/>
  <c r="A4224" i="1"/>
  <c r="C4224" i="1"/>
  <c r="E4224" i="1"/>
  <c r="F4224" i="1"/>
  <c r="G2886" i="1"/>
  <c r="H2886" i="1"/>
  <c r="D2886" i="1"/>
  <c r="A2886" i="1"/>
  <c r="C2886" i="1"/>
  <c r="E2886" i="1"/>
  <c r="F2886" i="1"/>
  <c r="G2864" i="1"/>
  <c r="H2864" i="1"/>
  <c r="D2864" i="1"/>
  <c r="A2864" i="1"/>
  <c r="C2864" i="1"/>
  <c r="E2864" i="1"/>
  <c r="F2864" i="1"/>
  <c r="G2166" i="1"/>
  <c r="H2166" i="1"/>
  <c r="D2166" i="1"/>
  <c r="A2166" i="1"/>
  <c r="C2166" i="1"/>
  <c r="E2166" i="1"/>
  <c r="F2166" i="1"/>
  <c r="G2763" i="1"/>
  <c r="H2763" i="1"/>
  <c r="D2763" i="1"/>
  <c r="A2763" i="1"/>
  <c r="C2763" i="1"/>
  <c r="E2763" i="1"/>
  <c r="F2763" i="1"/>
  <c r="G2865" i="1"/>
  <c r="H2865" i="1"/>
  <c r="D2865" i="1"/>
  <c r="A2865" i="1"/>
  <c r="C2865" i="1"/>
  <c r="E2865" i="1"/>
  <c r="F2865" i="1"/>
  <c r="G4499" i="1"/>
  <c r="H4499" i="1"/>
  <c r="D4499" i="1"/>
  <c r="A4499" i="1"/>
  <c r="C4499" i="1"/>
  <c r="E4499" i="1"/>
  <c r="F4499" i="1"/>
  <c r="G2349" i="1"/>
  <c r="H2349" i="1"/>
  <c r="D2349" i="1"/>
  <c r="A2349" i="1"/>
  <c r="C2349" i="1"/>
  <c r="E2349" i="1"/>
  <c r="F2349" i="1"/>
  <c r="G2892" i="1"/>
  <c r="H2892" i="1"/>
  <c r="D2892" i="1"/>
  <c r="A2892" i="1"/>
  <c r="C2892" i="1"/>
  <c r="E2892" i="1"/>
  <c r="F2892" i="1"/>
  <c r="G354" i="1"/>
  <c r="H354" i="1"/>
  <c r="D354" i="1"/>
  <c r="A354" i="1"/>
  <c r="C354" i="1"/>
  <c r="E354" i="1"/>
  <c r="F354" i="1"/>
  <c r="G2204" i="1"/>
  <c r="H2204" i="1"/>
  <c r="D2204" i="1"/>
  <c r="A2204" i="1"/>
  <c r="C2204" i="1"/>
  <c r="E2204" i="1"/>
  <c r="F2204" i="1"/>
  <c r="G2895" i="1"/>
  <c r="H2895" i="1"/>
  <c r="D2895" i="1"/>
  <c r="A2895" i="1"/>
  <c r="C2895" i="1"/>
  <c r="E2895" i="1"/>
  <c r="F2895" i="1"/>
  <c r="G2559" i="1"/>
  <c r="H2559" i="1"/>
  <c r="D2559" i="1"/>
  <c r="A2559" i="1"/>
  <c r="C2559" i="1"/>
  <c r="E2559" i="1"/>
  <c r="F2559" i="1"/>
  <c r="G3130" i="1"/>
  <c r="H3130" i="1"/>
  <c r="D3130" i="1"/>
  <c r="A3130" i="1"/>
  <c r="C3130" i="1"/>
  <c r="E3130" i="1"/>
  <c r="F3130" i="1"/>
  <c r="G2896" i="1"/>
  <c r="H2896" i="1"/>
  <c r="D2896" i="1"/>
  <c r="A2896" i="1"/>
  <c r="C2896" i="1"/>
  <c r="E2896" i="1"/>
  <c r="F2896" i="1"/>
  <c r="G4739" i="1"/>
  <c r="H4739" i="1"/>
  <c r="D4739" i="1"/>
  <c r="A4739" i="1"/>
  <c r="C4739" i="1"/>
  <c r="E4739" i="1"/>
  <c r="F4739" i="1"/>
  <c r="G1620" i="1"/>
  <c r="H1620" i="1"/>
  <c r="D1620" i="1"/>
  <c r="A1620" i="1"/>
  <c r="C1620" i="1"/>
  <c r="E1620" i="1"/>
  <c r="F1620" i="1"/>
  <c r="G2912" i="1"/>
  <c r="H2912" i="1"/>
  <c r="D2912" i="1"/>
  <c r="A2912" i="1"/>
  <c r="C2912" i="1"/>
  <c r="E2912" i="1"/>
  <c r="F2912" i="1"/>
  <c r="G114" i="1"/>
  <c r="H114" i="1"/>
  <c r="D114" i="1"/>
  <c r="A114" i="1"/>
  <c r="C114" i="1"/>
  <c r="E114" i="1"/>
  <c r="F114" i="1"/>
  <c r="G226" i="1"/>
  <c r="H226" i="1"/>
  <c r="D226" i="1"/>
  <c r="A226" i="1"/>
  <c r="C226" i="1"/>
  <c r="E226" i="1"/>
  <c r="F226" i="1"/>
  <c r="G2913" i="1"/>
  <c r="H2913" i="1"/>
  <c r="D2913" i="1"/>
  <c r="A2913" i="1"/>
  <c r="C2913" i="1"/>
  <c r="E2913" i="1"/>
  <c r="F2913" i="1"/>
  <c r="G3912" i="1"/>
  <c r="H3912" i="1"/>
  <c r="D3912" i="1"/>
  <c r="A3912" i="1"/>
  <c r="C3912" i="1"/>
  <c r="E3912" i="1"/>
  <c r="F3912" i="1"/>
  <c r="G4464" i="1"/>
  <c r="H4464" i="1"/>
  <c r="D4464" i="1"/>
  <c r="A4464" i="1"/>
  <c r="C4464" i="1"/>
  <c r="E4464" i="1"/>
  <c r="F4464" i="1"/>
  <c r="G2914" i="1"/>
  <c r="H2914" i="1"/>
  <c r="D2914" i="1"/>
  <c r="A2914" i="1"/>
  <c r="C2914" i="1"/>
  <c r="E2914" i="1"/>
  <c r="F2914" i="1"/>
  <c r="G3898" i="1"/>
  <c r="H3898" i="1"/>
  <c r="D3898" i="1"/>
  <c r="A3898" i="1"/>
  <c r="C3898" i="1"/>
  <c r="E3898" i="1"/>
  <c r="F3898" i="1"/>
  <c r="G2916" i="1"/>
  <c r="H2916" i="1"/>
  <c r="D2916" i="1"/>
  <c r="A2916" i="1"/>
  <c r="C2916" i="1"/>
  <c r="E2916" i="1"/>
  <c r="F2916" i="1"/>
  <c r="G552" i="1"/>
  <c r="H552" i="1"/>
  <c r="D552" i="1"/>
  <c r="A552" i="1"/>
  <c r="C552" i="1"/>
  <c r="E552" i="1"/>
  <c r="F552" i="1"/>
  <c r="G5076" i="1"/>
  <c r="H5076" i="1"/>
  <c r="D5076" i="1"/>
  <c r="A5076" i="1"/>
  <c r="C5076" i="1"/>
  <c r="E5076" i="1"/>
  <c r="F5076" i="1"/>
  <c r="G2917" i="1"/>
  <c r="H2917" i="1"/>
  <c r="D2917" i="1"/>
  <c r="A2917" i="1"/>
  <c r="C2917" i="1"/>
  <c r="E2917" i="1"/>
  <c r="F2917" i="1"/>
  <c r="G3681" i="1"/>
  <c r="H3681" i="1"/>
  <c r="D3681" i="1"/>
  <c r="A3681" i="1"/>
  <c r="C3681" i="1"/>
  <c r="E3681" i="1"/>
  <c r="F3681" i="1"/>
  <c r="G3554" i="1"/>
  <c r="H3554" i="1"/>
  <c r="D3554" i="1"/>
  <c r="A3554" i="1"/>
  <c r="C3554" i="1"/>
  <c r="E3554" i="1"/>
  <c r="F3554" i="1"/>
  <c r="G1646" i="1"/>
  <c r="H1646" i="1"/>
  <c r="D1646" i="1"/>
  <c r="A1646" i="1"/>
  <c r="C1646" i="1"/>
  <c r="E1646" i="1"/>
  <c r="F1646" i="1"/>
  <c r="G399" i="1"/>
  <c r="H399" i="1"/>
  <c r="D399" i="1"/>
  <c r="A399" i="1"/>
  <c r="C399" i="1"/>
  <c r="E399" i="1"/>
  <c r="F399" i="1"/>
  <c r="G3876" i="1"/>
  <c r="H3876" i="1"/>
  <c r="D3876" i="1"/>
  <c r="A3876" i="1"/>
  <c r="C3876" i="1"/>
  <c r="E3876" i="1"/>
  <c r="F3876" i="1"/>
  <c r="G702" i="1"/>
  <c r="H702" i="1"/>
  <c r="D702" i="1"/>
  <c r="A702" i="1"/>
  <c r="C702" i="1"/>
  <c r="E702" i="1"/>
  <c r="F702" i="1"/>
  <c r="G1622" i="1"/>
  <c r="H1622" i="1"/>
  <c r="D1622" i="1"/>
  <c r="A1622" i="1"/>
  <c r="C1622" i="1"/>
  <c r="E1622" i="1"/>
  <c r="F1622" i="1"/>
  <c r="G2617" i="1"/>
  <c r="H2617" i="1"/>
  <c r="D2617" i="1"/>
  <c r="A2617" i="1"/>
  <c r="C2617" i="1"/>
  <c r="E2617" i="1"/>
  <c r="F2617" i="1"/>
  <c r="G4724" i="1"/>
  <c r="H4724" i="1"/>
  <c r="D4724" i="1"/>
  <c r="A4724" i="1"/>
  <c r="C4724" i="1"/>
  <c r="E4724" i="1"/>
  <c r="F4724" i="1"/>
  <c r="G2929" i="1"/>
  <c r="H2929" i="1"/>
  <c r="D2929" i="1"/>
  <c r="A2929" i="1"/>
  <c r="C2929" i="1"/>
  <c r="E2929" i="1"/>
  <c r="F2929" i="1"/>
  <c r="G2989" i="1"/>
  <c r="H2989" i="1"/>
  <c r="D2989" i="1"/>
  <c r="A2989" i="1"/>
  <c r="C2989" i="1"/>
  <c r="E2989" i="1"/>
  <c r="F2989" i="1"/>
  <c r="G1504" i="1"/>
  <c r="H1504" i="1"/>
  <c r="D1504" i="1"/>
  <c r="A1504" i="1"/>
  <c r="C1504" i="1"/>
  <c r="E1504" i="1"/>
  <c r="F1504" i="1"/>
  <c r="G2931" i="1"/>
  <c r="H2931" i="1"/>
  <c r="D2931" i="1"/>
  <c r="A2931" i="1"/>
  <c r="C2931" i="1"/>
  <c r="E2931" i="1"/>
  <c r="F2931" i="1"/>
  <c r="G629" i="1"/>
  <c r="H629" i="1"/>
  <c r="D629" i="1"/>
  <c r="A629" i="1"/>
  <c r="C629" i="1"/>
  <c r="E629" i="1"/>
  <c r="F629" i="1"/>
  <c r="G142" i="1"/>
  <c r="H142" i="1"/>
  <c r="D142" i="1"/>
  <c r="A142" i="1"/>
  <c r="C142" i="1"/>
  <c r="E142" i="1"/>
  <c r="F142" i="1"/>
  <c r="G1638" i="1"/>
  <c r="H1638" i="1"/>
  <c r="D1638" i="1"/>
  <c r="A1638" i="1"/>
  <c r="C1638" i="1"/>
  <c r="E1638" i="1"/>
  <c r="F1638" i="1"/>
  <c r="G1051" i="1"/>
  <c r="H1051" i="1"/>
  <c r="D1051" i="1"/>
  <c r="A1051" i="1"/>
  <c r="C1051" i="1"/>
  <c r="E1051" i="1"/>
  <c r="F1051" i="1"/>
  <c r="G2935" i="1"/>
  <c r="H2935" i="1"/>
  <c r="D2935" i="1"/>
  <c r="A2935" i="1"/>
  <c r="C2935" i="1"/>
  <c r="E2935" i="1"/>
  <c r="F2935" i="1"/>
  <c r="G2766" i="1"/>
  <c r="H2766" i="1"/>
  <c r="D2766" i="1"/>
  <c r="A2766" i="1"/>
  <c r="C2766" i="1"/>
  <c r="E2766" i="1"/>
  <c r="F2766" i="1"/>
  <c r="G2383" i="1"/>
  <c r="H2383" i="1"/>
  <c r="D2383" i="1"/>
  <c r="A2383" i="1"/>
  <c r="C2383" i="1"/>
  <c r="E2383" i="1"/>
  <c r="F2383" i="1"/>
  <c r="G1745" i="1"/>
  <c r="H1745" i="1"/>
  <c r="D1745" i="1"/>
  <c r="A1745" i="1"/>
  <c r="C1745" i="1"/>
  <c r="E1745" i="1"/>
  <c r="F1745" i="1"/>
  <c r="G509" i="1"/>
  <c r="H509" i="1"/>
  <c r="D509" i="1"/>
  <c r="A509" i="1"/>
  <c r="C509" i="1"/>
  <c r="E509" i="1"/>
  <c r="F509" i="1"/>
  <c r="G2937" i="1"/>
  <c r="H2937" i="1"/>
  <c r="D2937" i="1"/>
  <c r="A2937" i="1"/>
  <c r="C2937" i="1"/>
  <c r="E2937" i="1"/>
  <c r="F2937" i="1"/>
  <c r="G1108" i="1"/>
  <c r="H1108" i="1"/>
  <c r="D1108" i="1"/>
  <c r="A1108" i="1"/>
  <c r="C1108" i="1"/>
  <c r="E1108" i="1"/>
  <c r="F1108" i="1"/>
  <c r="G2343" i="1"/>
  <c r="H2343" i="1"/>
  <c r="D2343" i="1"/>
  <c r="A2343" i="1"/>
  <c r="C2343" i="1"/>
  <c r="E2343" i="1"/>
  <c r="F2343" i="1"/>
  <c r="G2940" i="1"/>
  <c r="H2940" i="1"/>
  <c r="D2940" i="1"/>
  <c r="A2940" i="1"/>
  <c r="C2940" i="1"/>
  <c r="E2940" i="1"/>
  <c r="F2940" i="1"/>
  <c r="G51" i="1"/>
  <c r="H51" i="1"/>
  <c r="D51" i="1"/>
  <c r="A51" i="1"/>
  <c r="C51" i="1"/>
  <c r="E51" i="1"/>
  <c r="F51" i="1"/>
  <c r="G65" i="1"/>
  <c r="H65" i="1"/>
  <c r="D65" i="1"/>
  <c r="A65" i="1"/>
  <c r="C65" i="1"/>
  <c r="E65" i="1"/>
  <c r="F65" i="1"/>
  <c r="G3442" i="1"/>
  <c r="H3442" i="1"/>
  <c r="D3442" i="1"/>
  <c r="A3442" i="1"/>
  <c r="C3442" i="1"/>
  <c r="E3442" i="1"/>
  <c r="F3442" i="1"/>
  <c r="G4048" i="1"/>
  <c r="H4048" i="1"/>
  <c r="D4048" i="1"/>
  <c r="A4048" i="1"/>
  <c r="C4048" i="1"/>
  <c r="E4048" i="1"/>
  <c r="F4048" i="1"/>
  <c r="G2948" i="1"/>
  <c r="H2948" i="1"/>
  <c r="D2948" i="1"/>
  <c r="A2948" i="1"/>
  <c r="C2948" i="1"/>
  <c r="E2948" i="1"/>
  <c r="F2948" i="1"/>
  <c r="G2623" i="1"/>
  <c r="H2623" i="1"/>
  <c r="D2623" i="1"/>
  <c r="C2623" i="1"/>
  <c r="E2623" i="1"/>
  <c r="F2623" i="1"/>
  <c r="G2618" i="1"/>
  <c r="H2618" i="1"/>
  <c r="D2618" i="1"/>
  <c r="A2618" i="1"/>
  <c r="C2618" i="1"/>
  <c r="E2618" i="1"/>
  <c r="F2618" i="1"/>
  <c r="G2952" i="1"/>
  <c r="H2952" i="1"/>
  <c r="D2952" i="1"/>
  <c r="A2952" i="1"/>
  <c r="C2952" i="1"/>
  <c r="E2952" i="1"/>
  <c r="F2952" i="1"/>
  <c r="G3366" i="1"/>
  <c r="H3366" i="1"/>
  <c r="D3366" i="1"/>
  <c r="A3366" i="1"/>
  <c r="C3366" i="1"/>
  <c r="E3366" i="1"/>
  <c r="F3366" i="1"/>
  <c r="G413" i="1"/>
  <c r="H413" i="1"/>
  <c r="D413" i="1"/>
  <c r="A413" i="1"/>
  <c r="C413" i="1"/>
  <c r="E413" i="1"/>
  <c r="F413" i="1"/>
  <c r="G1415" i="1"/>
  <c r="H1415" i="1"/>
  <c r="D1415" i="1"/>
  <c r="A1415" i="1"/>
  <c r="C1415" i="1"/>
  <c r="E1415" i="1"/>
  <c r="F1415" i="1"/>
  <c r="G2957" i="1"/>
  <c r="H2957" i="1"/>
  <c r="D2957" i="1"/>
  <c r="A2957" i="1"/>
  <c r="C2957" i="1"/>
  <c r="E2957" i="1"/>
  <c r="F2957" i="1"/>
  <c r="G4011" i="1"/>
  <c r="H4011" i="1"/>
  <c r="D4011" i="1"/>
  <c r="A4011" i="1"/>
  <c r="C4011" i="1"/>
  <c r="E4011" i="1"/>
  <c r="F4011" i="1"/>
  <c r="G2855" i="1"/>
  <c r="H2855" i="1"/>
  <c r="D2855" i="1"/>
  <c r="A2855" i="1"/>
  <c r="C2855" i="1"/>
  <c r="E2855" i="1"/>
  <c r="F2855" i="1"/>
  <c r="G2958" i="1"/>
  <c r="H2958" i="1"/>
  <c r="D2958" i="1"/>
  <c r="A2958" i="1"/>
  <c r="C2958" i="1"/>
  <c r="E2958" i="1"/>
  <c r="F2958" i="1"/>
  <c r="G2071" i="1"/>
  <c r="H2071" i="1"/>
  <c r="D2071" i="1"/>
  <c r="A2071" i="1"/>
  <c r="C2071" i="1"/>
  <c r="E2071" i="1"/>
  <c r="F2071" i="1"/>
  <c r="G2800" i="1"/>
  <c r="H2800" i="1"/>
  <c r="D2800" i="1"/>
  <c r="A2800" i="1"/>
  <c r="C2800" i="1"/>
  <c r="E2800" i="1"/>
  <c r="F2800" i="1"/>
  <c r="G3154" i="1"/>
  <c r="H3154" i="1"/>
  <c r="D3154" i="1"/>
  <c r="A3154" i="1"/>
  <c r="C3154" i="1"/>
  <c r="E3154" i="1"/>
  <c r="F3154" i="1"/>
  <c r="G4417" i="1"/>
  <c r="H4417" i="1"/>
  <c r="D4417" i="1"/>
  <c r="A4417" i="1"/>
  <c r="C4417" i="1"/>
  <c r="E4417" i="1"/>
  <c r="F4417" i="1"/>
  <c r="G3352" i="1"/>
  <c r="H3352" i="1"/>
  <c r="D3352" i="1"/>
  <c r="A3352" i="1"/>
  <c r="C3352" i="1"/>
  <c r="E3352" i="1"/>
  <c r="F3352" i="1"/>
  <c r="G2963" i="1"/>
  <c r="H2963" i="1"/>
  <c r="D2963" i="1"/>
  <c r="A2963" i="1"/>
  <c r="C2963" i="1"/>
  <c r="E2963" i="1"/>
  <c r="F2963" i="1"/>
  <c r="G4596" i="1"/>
  <c r="H4596" i="1"/>
  <c r="D4596" i="1"/>
  <c r="A4596" i="1"/>
  <c r="C4596" i="1"/>
  <c r="E4596" i="1"/>
  <c r="F4596" i="1"/>
  <c r="G2955" i="1"/>
  <c r="H2955" i="1"/>
  <c r="D2955" i="1"/>
  <c r="A2955" i="1"/>
  <c r="C2955" i="1"/>
  <c r="E2955" i="1"/>
  <c r="F2955" i="1"/>
  <c r="G141" i="1"/>
  <c r="H141" i="1"/>
  <c r="D141" i="1"/>
  <c r="A141" i="1"/>
  <c r="C141" i="1"/>
  <c r="E141" i="1"/>
  <c r="F141" i="1"/>
  <c r="G1059" i="1"/>
  <c r="H1059" i="1"/>
  <c r="D1059" i="1"/>
  <c r="A1059" i="1"/>
  <c r="C1059" i="1"/>
  <c r="E1059" i="1"/>
  <c r="F1059" i="1"/>
  <c r="G3784" i="1"/>
  <c r="H3784" i="1"/>
  <c r="D3784" i="1"/>
  <c r="A3784" i="1"/>
  <c r="C3784" i="1"/>
  <c r="E3784" i="1"/>
  <c r="F3784" i="1"/>
  <c r="G596" i="1"/>
  <c r="H596" i="1"/>
  <c r="D596" i="1"/>
  <c r="A596" i="1"/>
  <c r="C596" i="1"/>
  <c r="E596" i="1"/>
  <c r="F596" i="1"/>
  <c r="G1062" i="1"/>
  <c r="H1062" i="1"/>
  <c r="D1062" i="1"/>
  <c r="A1062" i="1"/>
  <c r="C1062" i="1"/>
  <c r="E1062" i="1"/>
  <c r="F1062" i="1"/>
  <c r="G4611" i="1"/>
  <c r="H4611" i="1"/>
  <c r="D4611" i="1"/>
  <c r="A4611" i="1"/>
  <c r="C4611" i="1"/>
  <c r="E4611" i="1"/>
  <c r="F4611" i="1"/>
  <c r="G594" i="1"/>
  <c r="H594" i="1"/>
  <c r="D594" i="1"/>
  <c r="A594" i="1"/>
  <c r="C594" i="1"/>
  <c r="E594" i="1"/>
  <c r="F594" i="1"/>
  <c r="G423" i="1"/>
  <c r="H423" i="1"/>
  <c r="D423" i="1"/>
  <c r="A423" i="1"/>
  <c r="C423" i="1"/>
  <c r="E423" i="1"/>
  <c r="F423" i="1"/>
  <c r="G3659" i="1"/>
  <c r="H3659" i="1"/>
  <c r="D3659" i="1"/>
  <c r="A3659" i="1"/>
  <c r="C3659" i="1"/>
  <c r="E3659" i="1"/>
  <c r="F3659" i="1"/>
  <c r="G1718" i="1"/>
  <c r="H1718" i="1"/>
  <c r="D1718" i="1"/>
  <c r="A1718" i="1"/>
  <c r="C1718" i="1"/>
  <c r="E1718" i="1"/>
  <c r="F1718" i="1"/>
  <c r="G1526" i="1"/>
  <c r="H1526" i="1"/>
  <c r="D1526" i="1"/>
  <c r="A1526" i="1"/>
  <c r="C1526" i="1"/>
  <c r="E1526" i="1"/>
  <c r="F1526" i="1"/>
  <c r="G4413" i="1"/>
  <c r="H4413" i="1"/>
  <c r="D4413" i="1"/>
  <c r="A4413" i="1"/>
  <c r="C4413" i="1"/>
  <c r="E4413" i="1"/>
  <c r="F4413" i="1"/>
  <c r="G611" i="1"/>
  <c r="H611" i="1"/>
  <c r="D611" i="1"/>
  <c r="A611" i="1"/>
  <c r="C611" i="1"/>
  <c r="E611" i="1"/>
  <c r="F611" i="1"/>
  <c r="G1527" i="1"/>
  <c r="H1527" i="1"/>
  <c r="D1527" i="1"/>
  <c r="A1527" i="1"/>
  <c r="C1527" i="1"/>
  <c r="E1527" i="1"/>
  <c r="F1527" i="1"/>
  <c r="G111" i="1"/>
  <c r="H111" i="1"/>
  <c r="D111" i="1"/>
  <c r="A111" i="1"/>
  <c r="C111" i="1"/>
  <c r="E111" i="1"/>
  <c r="F111" i="1"/>
  <c r="G2147" i="1"/>
  <c r="H2147" i="1"/>
  <c r="D2147" i="1"/>
  <c r="A2147" i="1"/>
  <c r="C2147" i="1"/>
  <c r="E2147" i="1"/>
  <c r="F2147" i="1"/>
  <c r="G4775" i="1"/>
  <c r="H4775" i="1"/>
  <c r="D4775" i="1"/>
  <c r="A4775" i="1"/>
  <c r="C4775" i="1"/>
  <c r="E4775" i="1"/>
  <c r="F4775" i="1"/>
  <c r="G2137" i="1"/>
  <c r="H2137" i="1"/>
  <c r="D2137" i="1"/>
  <c r="A2137" i="1"/>
  <c r="C2137" i="1"/>
  <c r="E2137" i="1"/>
  <c r="F2137" i="1"/>
  <c r="G1543" i="1"/>
  <c r="H1543" i="1"/>
  <c r="D1543" i="1"/>
  <c r="A1543" i="1"/>
  <c r="C1543" i="1"/>
  <c r="E1543" i="1"/>
  <c r="F1543" i="1"/>
  <c r="G1134" i="1"/>
  <c r="H1134" i="1"/>
  <c r="D1134" i="1"/>
  <c r="A1134" i="1"/>
  <c r="C1134" i="1"/>
  <c r="E1134" i="1"/>
  <c r="F1134" i="1"/>
  <c r="G1261" i="1"/>
  <c r="H1261" i="1"/>
  <c r="D1261" i="1"/>
  <c r="A1261" i="1"/>
  <c r="C1261" i="1"/>
  <c r="E1261" i="1"/>
  <c r="F1261" i="1"/>
  <c r="G1558" i="1"/>
  <c r="H1558" i="1"/>
  <c r="D1558" i="1"/>
  <c r="A1558" i="1"/>
  <c r="C1558" i="1"/>
  <c r="E1558" i="1"/>
  <c r="F1558" i="1"/>
  <c r="G184" i="1"/>
  <c r="H184" i="1"/>
  <c r="D184" i="1"/>
  <c r="A184" i="1"/>
  <c r="C184" i="1"/>
  <c r="E184" i="1"/>
  <c r="F184" i="1"/>
  <c r="G697" i="1"/>
  <c r="H697" i="1"/>
  <c r="D697" i="1"/>
  <c r="A697" i="1"/>
  <c r="C697" i="1"/>
  <c r="E697" i="1"/>
  <c r="F697" i="1"/>
  <c r="G1223" i="1"/>
  <c r="H1223" i="1"/>
  <c r="D1223" i="1"/>
  <c r="A1223" i="1"/>
  <c r="C1223" i="1"/>
  <c r="E1223" i="1"/>
  <c r="F1223" i="1"/>
  <c r="G969" i="1"/>
  <c r="H969" i="1"/>
  <c r="D969" i="1"/>
  <c r="A969" i="1"/>
  <c r="C969" i="1"/>
  <c r="E969" i="1"/>
  <c r="F969" i="1"/>
  <c r="G1568" i="1"/>
  <c r="H1568" i="1"/>
  <c r="D1568" i="1"/>
  <c r="A1568" i="1"/>
  <c r="C1568" i="1"/>
  <c r="E1568" i="1"/>
  <c r="F1568" i="1"/>
  <c r="G1224" i="1"/>
  <c r="H1224" i="1"/>
  <c r="D1224" i="1"/>
  <c r="A1224" i="1"/>
  <c r="C1224" i="1"/>
  <c r="E1224" i="1"/>
  <c r="F1224" i="1"/>
  <c r="G3254" i="1"/>
  <c r="H3254" i="1"/>
  <c r="D3254" i="1"/>
  <c r="A3254" i="1"/>
  <c r="C3254" i="1"/>
  <c r="E3254" i="1"/>
  <c r="F3254" i="1"/>
  <c r="G1572" i="1"/>
  <c r="H1572" i="1"/>
  <c r="D1572" i="1"/>
  <c r="A1572" i="1"/>
  <c r="C1572" i="1"/>
  <c r="E1572" i="1"/>
  <c r="F1572" i="1"/>
  <c r="G5037" i="1"/>
  <c r="H5037" i="1"/>
  <c r="D5037" i="1"/>
  <c r="A5037" i="1"/>
  <c r="C5037" i="1"/>
  <c r="E5037" i="1"/>
  <c r="F5037" i="1"/>
  <c r="G1573" i="1"/>
  <c r="H1573" i="1"/>
  <c r="D1573" i="1"/>
  <c r="A1573" i="1"/>
  <c r="C1573" i="1"/>
  <c r="E1573" i="1"/>
  <c r="F1573" i="1"/>
  <c r="G1295" i="1"/>
  <c r="H1295" i="1"/>
  <c r="D1295" i="1"/>
  <c r="A1295" i="1"/>
  <c r="C1295" i="1"/>
  <c r="E1295" i="1"/>
  <c r="F1295" i="1"/>
  <c r="G1574" i="1"/>
  <c r="H1574" i="1"/>
  <c r="D1574" i="1"/>
  <c r="A1574" i="1"/>
  <c r="C1574" i="1"/>
  <c r="E1574" i="1"/>
  <c r="F1574" i="1"/>
  <c r="G236" i="1"/>
  <c r="H236" i="1"/>
  <c r="D236" i="1"/>
  <c r="A236" i="1"/>
  <c r="C236" i="1"/>
  <c r="E236" i="1"/>
  <c r="F236" i="1"/>
  <c r="G2573" i="1"/>
  <c r="H2573" i="1"/>
  <c r="D2573" i="1"/>
  <c r="A2573" i="1"/>
  <c r="C2573" i="1"/>
  <c r="E2573" i="1"/>
  <c r="F2573" i="1"/>
  <c r="G1592" i="1"/>
  <c r="H1592" i="1"/>
  <c r="D1592" i="1"/>
  <c r="A1592" i="1"/>
  <c r="C1592" i="1"/>
  <c r="E1592" i="1"/>
  <c r="F1592" i="1"/>
  <c r="G4884" i="1"/>
  <c r="H4884" i="1"/>
  <c r="D4884" i="1"/>
  <c r="A4884" i="1"/>
  <c r="C4884" i="1"/>
  <c r="E4884" i="1"/>
  <c r="F4884" i="1"/>
  <c r="G1596" i="1"/>
  <c r="H1596" i="1"/>
  <c r="D1596" i="1"/>
  <c r="A1596" i="1"/>
  <c r="C1596" i="1"/>
  <c r="E1596" i="1"/>
  <c r="F1596" i="1"/>
  <c r="G4395" i="1"/>
  <c r="H4395" i="1"/>
  <c r="D4395" i="1"/>
  <c r="A4395" i="1"/>
  <c r="C4395" i="1"/>
  <c r="E4395" i="1"/>
  <c r="F4395" i="1"/>
  <c r="G1603" i="1"/>
  <c r="H1603" i="1"/>
  <c r="D1603" i="1"/>
  <c r="A1603" i="1"/>
  <c r="C1603" i="1"/>
  <c r="E1603" i="1"/>
  <c r="F1603" i="1"/>
  <c r="G2333" i="1"/>
  <c r="H2333" i="1"/>
  <c r="D2333" i="1"/>
  <c r="A2333" i="1"/>
  <c r="C2333" i="1"/>
  <c r="E2333" i="1"/>
  <c r="F2333" i="1"/>
  <c r="G1605" i="1"/>
  <c r="H1605" i="1"/>
  <c r="D1605" i="1"/>
  <c r="A1605" i="1"/>
  <c r="C1605" i="1"/>
  <c r="E1605" i="1"/>
  <c r="F1605" i="1"/>
  <c r="G1609" i="1"/>
  <c r="H1609" i="1"/>
  <c r="D1609" i="1"/>
  <c r="A1609" i="1"/>
  <c r="C1609" i="1"/>
  <c r="E1609" i="1"/>
  <c r="F1609" i="1"/>
  <c r="G152" i="1"/>
  <c r="H152" i="1"/>
  <c r="D152" i="1"/>
  <c r="A152" i="1"/>
  <c r="C152" i="1"/>
  <c r="E152" i="1"/>
  <c r="F152" i="1"/>
  <c r="G1619" i="1"/>
  <c r="H1619" i="1"/>
  <c r="D1619" i="1"/>
  <c r="A1619" i="1"/>
  <c r="C1619" i="1"/>
  <c r="E1619" i="1"/>
  <c r="F1619" i="1"/>
  <c r="G2752" i="1"/>
  <c r="H2752" i="1"/>
  <c r="D2752" i="1"/>
  <c r="A2752" i="1"/>
  <c r="C2752" i="1"/>
  <c r="E2752" i="1"/>
  <c r="F2752" i="1"/>
  <c r="G1621" i="1"/>
  <c r="H1621" i="1"/>
  <c r="D1621" i="1"/>
  <c r="A1621" i="1"/>
  <c r="C1621" i="1"/>
  <c r="E1621" i="1"/>
  <c r="F1621" i="1"/>
  <c r="G1660" i="1"/>
  <c r="H1660" i="1"/>
  <c r="D1660" i="1"/>
  <c r="A1660" i="1"/>
  <c r="C1660" i="1"/>
  <c r="E1660" i="1"/>
  <c r="F1660" i="1"/>
  <c r="G1626" i="1"/>
  <c r="H1626" i="1"/>
  <c r="D1626" i="1"/>
  <c r="A1626" i="1"/>
  <c r="C1626" i="1"/>
  <c r="E1626" i="1"/>
  <c r="F1626" i="1"/>
  <c r="G2757" i="1"/>
  <c r="H2757" i="1"/>
  <c r="D2757" i="1"/>
  <c r="A2757" i="1"/>
  <c r="C2757" i="1"/>
  <c r="E2757" i="1"/>
  <c r="F2757" i="1"/>
  <c r="G1629" i="1"/>
  <c r="H1629" i="1"/>
  <c r="D1629" i="1"/>
  <c r="A1629" i="1"/>
  <c r="C1629" i="1"/>
  <c r="E1629" i="1"/>
  <c r="F1629" i="1"/>
  <c r="G189" i="1"/>
  <c r="H189" i="1"/>
  <c r="D189" i="1"/>
  <c r="A189" i="1"/>
  <c r="C189" i="1"/>
  <c r="E189" i="1"/>
  <c r="F189" i="1"/>
  <c r="G1630" i="1"/>
  <c r="H1630" i="1"/>
  <c r="D1630" i="1"/>
  <c r="A1630" i="1"/>
  <c r="C1630" i="1"/>
  <c r="E1630" i="1"/>
  <c r="F1630" i="1"/>
  <c r="G3539" i="1"/>
  <c r="H3539" i="1"/>
  <c r="D3539" i="1"/>
  <c r="A3539" i="1"/>
  <c r="C3539" i="1"/>
  <c r="E3539" i="1"/>
  <c r="F3539" i="1"/>
  <c r="G1640" i="1"/>
  <c r="H1640" i="1"/>
  <c r="D1640" i="1"/>
  <c r="A1640" i="1"/>
  <c r="C1640" i="1"/>
  <c r="E1640" i="1"/>
  <c r="F1640" i="1"/>
  <c r="G4745" i="1"/>
  <c r="H4745" i="1"/>
  <c r="D4745" i="1"/>
  <c r="A4745" i="1"/>
  <c r="C4745" i="1"/>
  <c r="E4745" i="1"/>
  <c r="F4745" i="1"/>
  <c r="G1641" i="1"/>
  <c r="H1641" i="1"/>
  <c r="D1641" i="1"/>
  <c r="A1641" i="1"/>
  <c r="C1641" i="1"/>
  <c r="E1641" i="1"/>
  <c r="F1641" i="1"/>
  <c r="G4485" i="1"/>
  <c r="H4485" i="1"/>
  <c r="D4485" i="1"/>
  <c r="A4485" i="1"/>
  <c r="C4485" i="1"/>
  <c r="E4485" i="1"/>
  <c r="F4485" i="1"/>
  <c r="G1648" i="1"/>
  <c r="H1648" i="1"/>
  <c r="D1648" i="1"/>
  <c r="A1648" i="1"/>
  <c r="C1648" i="1"/>
  <c r="E1648" i="1"/>
  <c r="F1648" i="1"/>
  <c r="G2336" i="1"/>
  <c r="H2336" i="1"/>
  <c r="D2336" i="1"/>
  <c r="A2336" i="1"/>
  <c r="C2336" i="1"/>
  <c r="E2336" i="1"/>
  <c r="F2336" i="1"/>
  <c r="G1650" i="1"/>
  <c r="H1650" i="1"/>
  <c r="D1650" i="1"/>
  <c r="A1650" i="1"/>
  <c r="C1650" i="1"/>
  <c r="E1650" i="1"/>
  <c r="F1650" i="1"/>
  <c r="G5008" i="1"/>
  <c r="H5008" i="1"/>
  <c r="D5008" i="1"/>
  <c r="A5008" i="1"/>
  <c r="C5008" i="1"/>
  <c r="E5008" i="1"/>
  <c r="F5008" i="1"/>
  <c r="G1652" i="1"/>
  <c r="H1652" i="1"/>
  <c r="D1652" i="1"/>
  <c r="A1652" i="1"/>
  <c r="C1652" i="1"/>
  <c r="E1652" i="1"/>
  <c r="F1652" i="1"/>
  <c r="G342" i="1"/>
  <c r="H342" i="1"/>
  <c r="D342" i="1"/>
  <c r="A342" i="1"/>
  <c r="C342" i="1"/>
  <c r="E342" i="1"/>
  <c r="F342" i="1"/>
  <c r="G177" i="1"/>
  <c r="H177" i="1"/>
  <c r="D177" i="1"/>
  <c r="A177" i="1"/>
  <c r="C177" i="1"/>
  <c r="E177" i="1"/>
  <c r="F177" i="1"/>
  <c r="G3530" i="1"/>
  <c r="H3530" i="1"/>
  <c r="D3530" i="1"/>
  <c r="A3530" i="1"/>
  <c r="C3530" i="1"/>
  <c r="E3530" i="1"/>
  <c r="F3530" i="1"/>
  <c r="G1656" i="1"/>
  <c r="H1656" i="1"/>
  <c r="D1656" i="1"/>
  <c r="A1656" i="1"/>
  <c r="C1656" i="1"/>
  <c r="E1656" i="1"/>
  <c r="F1656" i="1"/>
  <c r="G4899" i="1"/>
  <c r="H4899" i="1"/>
  <c r="D4899" i="1"/>
  <c r="A4899" i="1"/>
  <c r="C4899" i="1"/>
  <c r="E4899" i="1"/>
  <c r="F4899" i="1"/>
  <c r="G1664" i="1"/>
  <c r="H1664" i="1"/>
  <c r="D1664" i="1"/>
  <c r="A1664" i="1"/>
  <c r="C1664" i="1"/>
  <c r="E1664" i="1"/>
  <c r="F1664" i="1"/>
  <c r="G5044" i="1"/>
  <c r="H5044" i="1"/>
  <c r="D5044" i="1"/>
  <c r="A5044" i="1"/>
  <c r="C5044" i="1"/>
  <c r="E5044" i="1"/>
  <c r="F5044" i="1"/>
  <c r="G1663" i="1"/>
  <c r="H1663" i="1"/>
  <c r="D1663" i="1"/>
  <c r="A1663" i="1"/>
  <c r="C1663" i="1"/>
  <c r="E1663" i="1"/>
  <c r="F1663" i="1"/>
  <c r="G4946" i="1"/>
  <c r="H4946" i="1"/>
  <c r="D4946" i="1"/>
  <c r="A4946" i="1"/>
  <c r="C4946" i="1"/>
  <c r="E4946" i="1"/>
  <c r="F4946" i="1"/>
  <c r="G1667" i="1"/>
  <c r="H1667" i="1"/>
  <c r="D1667" i="1"/>
  <c r="A1667" i="1"/>
  <c r="C1667" i="1"/>
  <c r="E1667" i="1"/>
  <c r="F1667" i="1"/>
  <c r="G1271" i="1"/>
  <c r="H1271" i="1"/>
  <c r="D1271" i="1"/>
  <c r="A1271" i="1"/>
  <c r="C1271" i="1"/>
  <c r="E1271" i="1"/>
  <c r="F1271" i="1"/>
  <c r="G1670" i="1"/>
  <c r="H1670" i="1"/>
  <c r="D1670" i="1"/>
  <c r="A1670" i="1"/>
  <c r="C1670" i="1"/>
  <c r="E1670" i="1"/>
  <c r="F1670" i="1"/>
  <c r="G4992" i="1"/>
  <c r="H4992" i="1"/>
  <c r="D4992" i="1"/>
  <c r="A4992" i="1"/>
  <c r="C4992" i="1"/>
  <c r="E4992" i="1"/>
  <c r="F4992" i="1"/>
  <c r="G103" i="1"/>
  <c r="H103" i="1"/>
  <c r="D103" i="1"/>
  <c r="A103" i="1"/>
  <c r="C103" i="1"/>
  <c r="E103" i="1"/>
  <c r="F103" i="1"/>
  <c r="G1692" i="1"/>
  <c r="H1692" i="1"/>
  <c r="D1692" i="1"/>
  <c r="A1692" i="1"/>
  <c r="C1692" i="1"/>
  <c r="E1692" i="1"/>
  <c r="F1692" i="1"/>
  <c r="G1834" i="1"/>
  <c r="H1834" i="1"/>
  <c r="D1834" i="1"/>
  <c r="A1834" i="1"/>
  <c r="C1834" i="1"/>
  <c r="E1834" i="1"/>
  <c r="F1834" i="1"/>
  <c r="G1684" i="1"/>
  <c r="H1684" i="1"/>
  <c r="D1684" i="1"/>
  <c r="A1684" i="1"/>
  <c r="C1684" i="1"/>
  <c r="E1684" i="1"/>
  <c r="F1684" i="1"/>
  <c r="G363" i="1"/>
  <c r="H363" i="1"/>
  <c r="D363" i="1"/>
  <c r="A363" i="1"/>
  <c r="C363" i="1"/>
  <c r="E363" i="1"/>
  <c r="F363" i="1"/>
  <c r="G1694" i="1"/>
  <c r="H1694" i="1"/>
  <c r="D1694" i="1"/>
  <c r="A1694" i="1"/>
  <c r="C1694" i="1"/>
  <c r="E1694" i="1"/>
  <c r="F1694" i="1"/>
  <c r="G1281" i="1"/>
  <c r="H1281" i="1"/>
  <c r="D1281" i="1"/>
  <c r="A1281" i="1"/>
  <c r="C1281" i="1"/>
  <c r="E1281" i="1"/>
  <c r="F1281" i="1"/>
  <c r="G1696" i="1"/>
  <c r="H1696" i="1"/>
  <c r="D1696" i="1"/>
  <c r="A1696" i="1"/>
  <c r="C1696" i="1"/>
  <c r="E1696" i="1"/>
  <c r="F1696" i="1"/>
  <c r="G2377" i="1"/>
  <c r="H2377" i="1"/>
  <c r="D2377" i="1"/>
  <c r="A2377" i="1"/>
  <c r="C2377" i="1"/>
  <c r="E2377" i="1"/>
  <c r="F2377" i="1"/>
  <c r="G1700" i="1"/>
  <c r="H1700" i="1"/>
  <c r="D1700" i="1"/>
  <c r="A1700" i="1"/>
  <c r="C1700" i="1"/>
  <c r="E1700" i="1"/>
  <c r="F1700" i="1"/>
  <c r="G634" i="1"/>
  <c r="H634" i="1"/>
  <c r="D634" i="1"/>
  <c r="A634" i="1"/>
  <c r="C634" i="1"/>
  <c r="E634" i="1"/>
  <c r="F634" i="1"/>
  <c r="G1702" i="1"/>
  <c r="H1702" i="1"/>
  <c r="D1702" i="1"/>
  <c r="A1702" i="1"/>
  <c r="C1702" i="1"/>
  <c r="E1702" i="1"/>
  <c r="F1702" i="1"/>
  <c r="G3803" i="1"/>
  <c r="H3803" i="1"/>
  <c r="D3803" i="1"/>
  <c r="A3803" i="1"/>
  <c r="C3803" i="1"/>
  <c r="E3803" i="1"/>
  <c r="F3803" i="1"/>
  <c r="G1703" i="1"/>
  <c r="H1703" i="1"/>
  <c r="D1703" i="1"/>
  <c r="A1703" i="1"/>
  <c r="C1703" i="1"/>
  <c r="E1703" i="1"/>
  <c r="F1703" i="1"/>
  <c r="G4764" i="1"/>
  <c r="H4764" i="1"/>
  <c r="D4764" i="1"/>
  <c r="A4764" i="1"/>
  <c r="C4764" i="1"/>
  <c r="E4764" i="1"/>
  <c r="F4764" i="1"/>
  <c r="G1715" i="1"/>
  <c r="H1715" i="1"/>
  <c r="D1715" i="1"/>
  <c r="A1715" i="1"/>
  <c r="C1715" i="1"/>
  <c r="E1715" i="1"/>
  <c r="F1715" i="1"/>
  <c r="G3166" i="1"/>
  <c r="H3166" i="1"/>
  <c r="D3166" i="1"/>
  <c r="A3166" i="1"/>
  <c r="C3166" i="1"/>
  <c r="E3166" i="1"/>
  <c r="F3166" i="1"/>
  <c r="G1720" i="1"/>
  <c r="H1720" i="1"/>
  <c r="D1720" i="1"/>
  <c r="A1720" i="1"/>
  <c r="C1720" i="1"/>
  <c r="E1720" i="1"/>
  <c r="F1720" i="1"/>
  <c r="G150" i="1"/>
  <c r="H150" i="1"/>
  <c r="D150" i="1"/>
  <c r="A150" i="1"/>
  <c r="C150" i="1"/>
  <c r="E150" i="1"/>
  <c r="F150" i="1"/>
  <c r="G1721" i="1"/>
  <c r="H1721" i="1"/>
  <c r="D1721" i="1"/>
  <c r="A1721" i="1"/>
  <c r="C1721" i="1"/>
  <c r="E1721" i="1"/>
  <c r="F1721" i="1"/>
  <c r="G4707" i="1"/>
  <c r="H4707" i="1"/>
  <c r="D4707" i="1"/>
  <c r="A4707" i="1"/>
  <c r="C4707" i="1"/>
  <c r="E4707" i="1"/>
  <c r="F4707" i="1"/>
  <c r="G1737" i="1"/>
  <c r="H1737" i="1"/>
  <c r="D1737" i="1"/>
  <c r="A1737" i="1"/>
  <c r="C1737" i="1"/>
  <c r="E1737" i="1"/>
  <c r="F1737" i="1"/>
  <c r="G1748" i="1"/>
  <c r="H1748" i="1"/>
  <c r="D1748" i="1"/>
  <c r="A1748" i="1"/>
  <c r="C1748" i="1"/>
  <c r="E1748" i="1"/>
  <c r="F1748" i="1"/>
  <c r="G592" i="1"/>
  <c r="H592" i="1"/>
  <c r="D592" i="1"/>
  <c r="A592" i="1"/>
  <c r="C592" i="1"/>
  <c r="E592" i="1"/>
  <c r="F592" i="1"/>
  <c r="G1757" i="1"/>
  <c r="H1757" i="1"/>
  <c r="D1757" i="1"/>
  <c r="A1757" i="1"/>
  <c r="C1757" i="1"/>
  <c r="E1757" i="1"/>
  <c r="F1757" i="1"/>
  <c r="G401" i="1"/>
  <c r="H401" i="1"/>
  <c r="D401" i="1"/>
  <c r="A401" i="1"/>
  <c r="C401" i="1"/>
  <c r="E401" i="1"/>
  <c r="F401" i="1"/>
  <c r="G1274" i="1"/>
  <c r="H1274" i="1"/>
  <c r="D1274" i="1"/>
  <c r="A1274" i="1"/>
  <c r="C1274" i="1"/>
  <c r="E1274" i="1"/>
  <c r="F1274" i="1"/>
  <c r="G1762" i="1"/>
  <c r="H1762" i="1"/>
  <c r="D1762" i="1"/>
  <c r="A1762" i="1"/>
  <c r="C1762" i="1"/>
  <c r="E1762" i="1"/>
  <c r="F1762" i="1"/>
  <c r="G4726" i="1"/>
  <c r="H4726" i="1"/>
  <c r="D4726" i="1"/>
  <c r="A4726" i="1"/>
  <c r="C4726" i="1"/>
  <c r="E4726" i="1"/>
  <c r="F4726" i="1"/>
  <c r="G1781" i="1"/>
  <c r="H1781" i="1"/>
  <c r="D1781" i="1"/>
  <c r="A1781" i="1"/>
  <c r="C1781" i="1"/>
  <c r="E1781" i="1"/>
  <c r="F1781" i="1"/>
  <c r="G2628" i="1"/>
  <c r="H2628" i="1"/>
  <c r="D2628" i="1"/>
  <c r="A2628" i="1"/>
  <c r="C2628" i="1"/>
  <c r="E2628" i="1"/>
  <c r="F2628" i="1"/>
  <c r="G1785" i="1"/>
  <c r="H1785" i="1"/>
  <c r="D1785" i="1"/>
  <c r="A1785" i="1"/>
  <c r="C1785" i="1"/>
  <c r="E1785" i="1"/>
  <c r="F1785" i="1"/>
  <c r="G122" i="1"/>
  <c r="H122" i="1"/>
  <c r="D122" i="1"/>
  <c r="A122" i="1"/>
  <c r="C122" i="1"/>
  <c r="E122" i="1"/>
  <c r="F122" i="1"/>
  <c r="G1598" i="1"/>
  <c r="H1598" i="1"/>
  <c r="D1598" i="1"/>
  <c r="A1598" i="1"/>
  <c r="C1598" i="1"/>
  <c r="E1598" i="1"/>
  <c r="F1598" i="1"/>
  <c r="G4837" i="1"/>
  <c r="H4837" i="1"/>
  <c r="D4837" i="1"/>
  <c r="A4837" i="1"/>
  <c r="C4837" i="1"/>
  <c r="E4837" i="1"/>
  <c r="F4837" i="1"/>
  <c r="G1788" i="1"/>
  <c r="H1788" i="1"/>
  <c r="D1788" i="1"/>
  <c r="A1788" i="1"/>
  <c r="C1788" i="1"/>
  <c r="E1788" i="1"/>
  <c r="F1788" i="1"/>
  <c r="G1350" i="1"/>
  <c r="H1350" i="1"/>
  <c r="D1350" i="1"/>
  <c r="A1350" i="1"/>
  <c r="C1350" i="1"/>
  <c r="E1350" i="1"/>
  <c r="F1350" i="1"/>
  <c r="G1793" i="1"/>
  <c r="H1793" i="1"/>
  <c r="D1793" i="1"/>
  <c r="A1793" i="1"/>
  <c r="C1793" i="1"/>
  <c r="E1793" i="1"/>
  <c r="F1793" i="1"/>
  <c r="G704" i="1"/>
  <c r="H704" i="1"/>
  <c r="D704" i="1"/>
  <c r="A704" i="1"/>
  <c r="C704" i="1"/>
  <c r="E704" i="1"/>
  <c r="F704" i="1"/>
  <c r="G1794" i="1"/>
  <c r="H1794" i="1"/>
  <c r="D1794" i="1"/>
  <c r="A1794" i="1"/>
  <c r="C1794" i="1"/>
  <c r="E1794" i="1"/>
  <c r="F1794" i="1"/>
  <c r="G2314" i="1"/>
  <c r="H2314" i="1"/>
  <c r="D2314" i="1"/>
  <c r="A2314" i="1"/>
  <c r="C2314" i="1"/>
  <c r="E2314" i="1"/>
  <c r="F2314" i="1"/>
  <c r="G1795" i="1"/>
  <c r="H1795" i="1"/>
  <c r="D1795" i="1"/>
  <c r="A1795" i="1"/>
  <c r="C1795" i="1"/>
  <c r="E1795" i="1"/>
  <c r="F1795" i="1"/>
  <c r="G1800" i="1"/>
  <c r="H1800" i="1"/>
  <c r="D1800" i="1"/>
  <c r="A1800" i="1"/>
  <c r="C1800" i="1"/>
  <c r="E1800" i="1"/>
  <c r="F1800" i="1"/>
  <c r="G1957" i="1"/>
  <c r="H1957" i="1"/>
  <c r="D1957" i="1"/>
  <c r="A1957" i="1"/>
  <c r="C1957" i="1"/>
  <c r="E1957" i="1"/>
  <c r="F1957" i="1"/>
  <c r="G1796" i="1"/>
  <c r="H1796" i="1"/>
  <c r="D1796" i="1"/>
  <c r="A1796" i="1"/>
  <c r="C1796" i="1"/>
  <c r="E1796" i="1"/>
  <c r="F1796" i="1"/>
  <c r="G93" i="1"/>
  <c r="H93" i="1"/>
  <c r="D93" i="1"/>
  <c r="A93" i="1"/>
  <c r="C93" i="1"/>
  <c r="E93" i="1"/>
  <c r="F93" i="1"/>
  <c r="G1797" i="1"/>
  <c r="H1797" i="1"/>
  <c r="D1797" i="1"/>
  <c r="A1797" i="1"/>
  <c r="C1797" i="1"/>
  <c r="E1797" i="1"/>
  <c r="F1797" i="1"/>
  <c r="G2992" i="1"/>
  <c r="H2992" i="1"/>
  <c r="D2992" i="1"/>
  <c r="A2992" i="1"/>
  <c r="C2992" i="1"/>
  <c r="E2992" i="1"/>
  <c r="F2992" i="1"/>
  <c r="G1816" i="1"/>
  <c r="H1816" i="1"/>
  <c r="D1816" i="1"/>
  <c r="A1816" i="1"/>
  <c r="C1816" i="1"/>
  <c r="E1816" i="1"/>
  <c r="F1816" i="1"/>
  <c r="G1098" i="1"/>
  <c r="H1098" i="1"/>
  <c r="D1098" i="1"/>
  <c r="A1098" i="1"/>
  <c r="C1098" i="1"/>
  <c r="E1098" i="1"/>
  <c r="F1098" i="1"/>
  <c r="G1819" i="1"/>
  <c r="H1819" i="1"/>
  <c r="D1819" i="1"/>
  <c r="A1819" i="1"/>
  <c r="C1819" i="1"/>
  <c r="E1819" i="1"/>
  <c r="F1819" i="1"/>
  <c r="G4002" i="1"/>
  <c r="H4002" i="1"/>
  <c r="D4002" i="1"/>
  <c r="A4002" i="1"/>
  <c r="C4002" i="1"/>
  <c r="E4002" i="1"/>
  <c r="F4002" i="1"/>
  <c r="G524" i="1"/>
  <c r="H524" i="1"/>
  <c r="D524" i="1"/>
  <c r="A524" i="1"/>
  <c r="C524" i="1"/>
  <c r="E524" i="1"/>
  <c r="F524" i="1"/>
  <c r="G1825" i="1"/>
  <c r="H1825" i="1"/>
  <c r="D1825" i="1"/>
  <c r="A1825" i="1"/>
  <c r="C1825" i="1"/>
  <c r="E1825" i="1"/>
  <c r="F1825" i="1"/>
  <c r="G3488" i="1"/>
  <c r="H3488" i="1"/>
  <c r="D3488" i="1"/>
  <c r="A3488" i="1"/>
  <c r="C3488" i="1"/>
  <c r="E3488" i="1"/>
  <c r="F3488" i="1"/>
  <c r="G1155" i="1"/>
  <c r="H1155" i="1"/>
  <c r="D1155" i="1"/>
  <c r="A1155" i="1"/>
  <c r="C1155" i="1"/>
  <c r="E1155" i="1"/>
  <c r="F1155" i="1"/>
  <c r="G1835" i="1"/>
  <c r="H1835" i="1"/>
  <c r="D1835" i="1"/>
  <c r="A1835" i="1"/>
  <c r="C1835" i="1"/>
  <c r="E1835" i="1"/>
  <c r="F1835" i="1"/>
  <c r="G3044" i="1"/>
  <c r="H3044" i="1"/>
  <c r="D3044" i="1"/>
  <c r="A3044" i="1"/>
  <c r="C3044" i="1"/>
  <c r="E3044" i="1"/>
  <c r="F3044" i="1"/>
  <c r="G1836" i="1"/>
  <c r="H1836" i="1"/>
  <c r="D1836" i="1"/>
  <c r="A1836" i="1"/>
  <c r="C1836" i="1"/>
  <c r="E1836" i="1"/>
  <c r="F1836" i="1"/>
  <c r="G4268" i="1"/>
  <c r="H4268" i="1"/>
  <c r="D4268" i="1"/>
  <c r="A4268" i="1"/>
  <c r="C4268" i="1"/>
  <c r="E4268" i="1"/>
  <c r="F4268" i="1"/>
  <c r="G1268" i="1"/>
  <c r="H1268" i="1"/>
  <c r="D1268" i="1"/>
  <c r="A1268" i="1"/>
  <c r="C1268" i="1"/>
  <c r="E1268" i="1"/>
  <c r="F1268" i="1"/>
  <c r="G1837" i="1"/>
  <c r="H1837" i="1"/>
  <c r="D1837" i="1"/>
  <c r="A1837" i="1"/>
  <c r="C1837" i="1"/>
  <c r="E1837" i="1"/>
  <c r="F1837" i="1"/>
  <c r="G4529" i="1"/>
  <c r="H4529" i="1"/>
  <c r="D4529" i="1"/>
  <c r="A4529" i="1"/>
  <c r="C4529" i="1"/>
  <c r="E4529" i="1"/>
  <c r="F4529" i="1"/>
  <c r="G1841" i="1"/>
  <c r="H1841" i="1"/>
  <c r="D1841" i="1"/>
  <c r="A1841" i="1"/>
  <c r="C1841" i="1"/>
  <c r="E1841" i="1"/>
  <c r="F1841" i="1"/>
  <c r="G3079" i="1"/>
  <c r="H3079" i="1"/>
  <c r="D3079" i="1"/>
  <c r="A3079" i="1"/>
  <c r="C3079" i="1"/>
  <c r="E3079" i="1"/>
  <c r="F3079" i="1"/>
  <c r="G1842" i="1"/>
  <c r="H1842" i="1"/>
  <c r="D1842" i="1"/>
  <c r="A1842" i="1"/>
  <c r="C1842" i="1"/>
  <c r="E1842" i="1"/>
  <c r="F1842" i="1"/>
  <c r="G2547" i="1"/>
  <c r="H2547" i="1"/>
  <c r="D2547" i="1"/>
  <c r="A2547" i="1"/>
  <c r="C2547" i="1"/>
  <c r="E2547" i="1"/>
  <c r="F2547" i="1"/>
  <c r="G1843" i="1"/>
  <c r="H1843" i="1"/>
  <c r="D1843" i="1"/>
  <c r="A1843" i="1"/>
  <c r="C1843" i="1"/>
  <c r="E1843" i="1"/>
  <c r="F1843" i="1"/>
  <c r="G385" i="1"/>
  <c r="H385" i="1"/>
  <c r="D385" i="1"/>
  <c r="A385" i="1"/>
  <c r="C385" i="1"/>
  <c r="E385" i="1"/>
  <c r="F385" i="1"/>
  <c r="G1847" i="1"/>
  <c r="H1847" i="1"/>
  <c r="D1847" i="1"/>
  <c r="A1847" i="1"/>
  <c r="C1847" i="1"/>
  <c r="E1847" i="1"/>
  <c r="F1847" i="1"/>
  <c r="G2620" i="1"/>
  <c r="H2620" i="1"/>
  <c r="D2620" i="1"/>
  <c r="A2620" i="1"/>
  <c r="C2620" i="1"/>
  <c r="E2620" i="1"/>
  <c r="F2620" i="1"/>
  <c r="G1853" i="1"/>
  <c r="H1853" i="1"/>
  <c r="D1853" i="1"/>
  <c r="A1853" i="1"/>
  <c r="C1853" i="1"/>
  <c r="E1853" i="1"/>
  <c r="F1853" i="1"/>
  <c r="G1747" i="1"/>
  <c r="H1747" i="1"/>
  <c r="D1747" i="1"/>
  <c r="A1747" i="1"/>
  <c r="C1747" i="1"/>
  <c r="E1747" i="1"/>
  <c r="F1747" i="1"/>
  <c r="G4890" i="1"/>
  <c r="H4890" i="1"/>
  <c r="D4890" i="1"/>
  <c r="A4890" i="1"/>
  <c r="C4890" i="1"/>
  <c r="E4890" i="1"/>
  <c r="F4890" i="1"/>
  <c r="G1862" i="1"/>
  <c r="H1862" i="1"/>
  <c r="D1862" i="1"/>
  <c r="A1862" i="1"/>
  <c r="C1862" i="1"/>
  <c r="E1862" i="1"/>
  <c r="F1862" i="1"/>
  <c r="G230" i="1"/>
  <c r="H230" i="1"/>
  <c r="D230" i="1"/>
  <c r="A230" i="1"/>
  <c r="C230" i="1"/>
  <c r="E230" i="1"/>
  <c r="F230" i="1"/>
  <c r="G1861" i="1"/>
  <c r="H1861" i="1"/>
  <c r="D1861" i="1"/>
  <c r="A1861" i="1"/>
  <c r="C1861" i="1"/>
  <c r="E1861" i="1"/>
  <c r="F1861" i="1"/>
  <c r="G1377" i="1"/>
  <c r="H1377" i="1"/>
  <c r="D1377" i="1"/>
  <c r="A1377" i="1"/>
  <c r="C1377" i="1"/>
  <c r="E1377" i="1"/>
  <c r="F1377" i="1"/>
  <c r="G1851" i="1"/>
  <c r="H1851" i="1"/>
  <c r="D1851" i="1"/>
  <c r="A1851" i="1"/>
  <c r="C1851" i="1"/>
  <c r="E1851" i="1"/>
  <c r="F1851" i="1"/>
  <c r="G2004" i="1"/>
  <c r="H2004" i="1"/>
  <c r="D2004" i="1"/>
  <c r="A2004" i="1"/>
  <c r="C2004" i="1"/>
  <c r="E2004" i="1"/>
  <c r="F2004" i="1"/>
  <c r="G1860" i="1"/>
  <c r="H1860" i="1"/>
  <c r="D1860" i="1"/>
  <c r="A1860" i="1"/>
  <c r="C1860" i="1"/>
  <c r="E1860" i="1"/>
  <c r="F1860" i="1"/>
  <c r="G237" i="1"/>
  <c r="H237" i="1"/>
  <c r="D237" i="1"/>
  <c r="A237" i="1"/>
  <c r="C237" i="1"/>
  <c r="E237" i="1"/>
  <c r="F237" i="1"/>
  <c r="G4401" i="1"/>
  <c r="H4401" i="1"/>
  <c r="D4401" i="1"/>
  <c r="A4401" i="1"/>
  <c r="C4401" i="1"/>
  <c r="E4401" i="1"/>
  <c r="F4401" i="1"/>
  <c r="G4357" i="1"/>
  <c r="H4357" i="1"/>
  <c r="D4357" i="1"/>
  <c r="A4357" i="1"/>
  <c r="C4357" i="1"/>
  <c r="E4357" i="1"/>
  <c r="F4357" i="1"/>
  <c r="G4409" i="1"/>
  <c r="H4409" i="1"/>
  <c r="D4409" i="1"/>
  <c r="A4409" i="1"/>
  <c r="C4409" i="1"/>
  <c r="E4409" i="1"/>
  <c r="F4409" i="1"/>
  <c r="G2543" i="1"/>
  <c r="H2543" i="1"/>
  <c r="D2543" i="1"/>
  <c r="A2543" i="1"/>
  <c r="C2543" i="1"/>
  <c r="E2543" i="1"/>
  <c r="F2543" i="1"/>
  <c r="G4588" i="1"/>
  <c r="H4588" i="1"/>
  <c r="D4588" i="1"/>
  <c r="A4588" i="1"/>
  <c r="C4588" i="1"/>
  <c r="E4588" i="1"/>
  <c r="F4588" i="1"/>
  <c r="G4951" i="1"/>
  <c r="H4951" i="1"/>
  <c r="D4951" i="1"/>
  <c r="A4951" i="1"/>
  <c r="C4951" i="1"/>
  <c r="E4951" i="1"/>
  <c r="F4951" i="1"/>
  <c r="G4821" i="1"/>
  <c r="H4821" i="1"/>
  <c r="D4821" i="1"/>
  <c r="A4821" i="1"/>
  <c r="C4821" i="1"/>
  <c r="E4821" i="1"/>
  <c r="F4821" i="1"/>
  <c r="G3546" i="1"/>
  <c r="H3546" i="1"/>
  <c r="D3546" i="1"/>
  <c r="A3546" i="1"/>
  <c r="C3546" i="1"/>
  <c r="E3546" i="1"/>
  <c r="F3546" i="1"/>
  <c r="G4403" i="1"/>
  <c r="H4403" i="1"/>
  <c r="D4403" i="1"/>
  <c r="A4403" i="1"/>
  <c r="C4403" i="1"/>
  <c r="E4403" i="1"/>
  <c r="F4403" i="1"/>
  <c r="G1432" i="1"/>
  <c r="H1432" i="1"/>
  <c r="D1432" i="1"/>
  <c r="A1432" i="1"/>
  <c r="C1432" i="1"/>
  <c r="E1432" i="1"/>
  <c r="F1432" i="1"/>
  <c r="G4974" i="1"/>
  <c r="H4974" i="1"/>
  <c r="D4974" i="1"/>
  <c r="A4974" i="1"/>
  <c r="C4974" i="1"/>
  <c r="E4974" i="1"/>
  <c r="F4974" i="1"/>
  <c r="G1716" i="1"/>
  <c r="H1716" i="1"/>
  <c r="D1716" i="1"/>
  <c r="A1716" i="1"/>
  <c r="C1716" i="1"/>
  <c r="E1716" i="1"/>
  <c r="F1716" i="1"/>
  <c r="G3797" i="1"/>
  <c r="H3797" i="1"/>
  <c r="D3797" i="1"/>
  <c r="A3797" i="1"/>
  <c r="C3797" i="1"/>
  <c r="E3797" i="1"/>
  <c r="F3797" i="1"/>
  <c r="G1288" i="1"/>
  <c r="H1288" i="1"/>
  <c r="D1288" i="1"/>
  <c r="A1288" i="1"/>
  <c r="C1288" i="1"/>
  <c r="E1288" i="1"/>
  <c r="F1288" i="1"/>
  <c r="G2725" i="1"/>
  <c r="H2725" i="1"/>
  <c r="D2725" i="1"/>
  <c r="A2725" i="1"/>
  <c r="C2725" i="1"/>
  <c r="E2725" i="1"/>
  <c r="F2725" i="1"/>
  <c r="G1311" i="1"/>
  <c r="H1311" i="1"/>
  <c r="D1311" i="1"/>
  <c r="A1311" i="1"/>
  <c r="C1311" i="1"/>
  <c r="E1311" i="1"/>
  <c r="F1311" i="1"/>
  <c r="G4925" i="1"/>
  <c r="H4925" i="1"/>
  <c r="D4925" i="1"/>
  <c r="A4925" i="1"/>
  <c r="C4925" i="1"/>
  <c r="E4925" i="1"/>
  <c r="F4925" i="1"/>
  <c r="G5006" i="1"/>
  <c r="H5006" i="1"/>
  <c r="D5006" i="1"/>
  <c r="A5006" i="1"/>
  <c r="C5006" i="1"/>
  <c r="E5006" i="1"/>
  <c r="F5006" i="1"/>
  <c r="G1647" i="1"/>
  <c r="H1647" i="1"/>
  <c r="D1647" i="1"/>
  <c r="A1647" i="1"/>
  <c r="C1647" i="1"/>
  <c r="E1647" i="1"/>
  <c r="F1647" i="1"/>
  <c r="G4124" i="1"/>
  <c r="H4124" i="1"/>
  <c r="D4124" i="1"/>
  <c r="A4124" i="1"/>
  <c r="C4124" i="1"/>
  <c r="E4124" i="1"/>
  <c r="F4124" i="1"/>
  <c r="G4977" i="1"/>
  <c r="H4977" i="1"/>
  <c r="D4977" i="1"/>
  <c r="A4977" i="1"/>
  <c r="C4977" i="1"/>
  <c r="E4977" i="1"/>
  <c r="F4977" i="1"/>
  <c r="G4236" i="1"/>
  <c r="H4236" i="1"/>
  <c r="D4236" i="1"/>
  <c r="A4236" i="1"/>
  <c r="C4236" i="1"/>
  <c r="E4236" i="1"/>
  <c r="F4236" i="1"/>
  <c r="G1240" i="1"/>
  <c r="H1240" i="1"/>
  <c r="D1240" i="1"/>
  <c r="A1240" i="1"/>
  <c r="C1240" i="1"/>
  <c r="E1240" i="1"/>
  <c r="F1240" i="1"/>
  <c r="G4590" i="1"/>
  <c r="H4590" i="1"/>
  <c r="D4590" i="1"/>
  <c r="A4590" i="1"/>
  <c r="C4590" i="1"/>
  <c r="E4590" i="1"/>
  <c r="F4590" i="1"/>
  <c r="G4957" i="1"/>
  <c r="H4957" i="1"/>
  <c r="D4957" i="1"/>
  <c r="A4957" i="1"/>
  <c r="C4957" i="1"/>
  <c r="E4957" i="1"/>
  <c r="F4957" i="1"/>
  <c r="G4083" i="1"/>
  <c r="H4083" i="1"/>
  <c r="D4083" i="1"/>
  <c r="A4083" i="1"/>
  <c r="C4083" i="1"/>
  <c r="E4083" i="1"/>
  <c r="F4083" i="1"/>
  <c r="G4713" i="1"/>
  <c r="H4713" i="1"/>
  <c r="D4713" i="1"/>
  <c r="A4713" i="1"/>
  <c r="C4713" i="1"/>
  <c r="E4713" i="1"/>
  <c r="F4713" i="1"/>
  <c r="G3800" i="1"/>
  <c r="H3800" i="1"/>
  <c r="D3800" i="1"/>
  <c r="A3800" i="1"/>
  <c r="C3800" i="1"/>
  <c r="E3800" i="1"/>
  <c r="F3800" i="1"/>
  <c r="G4558" i="1"/>
  <c r="H4558" i="1"/>
  <c r="D4558" i="1"/>
  <c r="A4558" i="1"/>
  <c r="C4558" i="1"/>
  <c r="E4558" i="1"/>
  <c r="F4558" i="1"/>
  <c r="G3516" i="1"/>
  <c r="H3516" i="1"/>
  <c r="D3516" i="1"/>
  <c r="A3516" i="1"/>
  <c r="C3516" i="1"/>
  <c r="E3516" i="1"/>
  <c r="F3516" i="1"/>
  <c r="G2013" i="1"/>
  <c r="H2013" i="1"/>
  <c r="D2013" i="1"/>
  <c r="A2013" i="1"/>
  <c r="C2013" i="1"/>
  <c r="E2013" i="1"/>
  <c r="F2013" i="1"/>
  <c r="G4807" i="1"/>
  <c r="H4807" i="1"/>
  <c r="D4807" i="1"/>
  <c r="A4807" i="1"/>
  <c r="C4807" i="1"/>
  <c r="E4807" i="1"/>
  <c r="F4807" i="1"/>
  <c r="G2273" i="1"/>
  <c r="H2273" i="1"/>
  <c r="D2273" i="1"/>
  <c r="A2273" i="1"/>
  <c r="C2273" i="1"/>
  <c r="E2273" i="1"/>
  <c r="F2273" i="1"/>
  <c r="G4402" i="1"/>
  <c r="H4402" i="1"/>
  <c r="D4402" i="1"/>
  <c r="A4402" i="1"/>
  <c r="C4402" i="1"/>
  <c r="E4402" i="1"/>
  <c r="F4402" i="1"/>
  <c r="G2297" i="1"/>
  <c r="H2297" i="1"/>
  <c r="D2297" i="1"/>
  <c r="A2297" i="1"/>
  <c r="C2297" i="1"/>
  <c r="E2297" i="1"/>
  <c r="F2297" i="1"/>
  <c r="G253" i="1"/>
  <c r="H253" i="1"/>
  <c r="D253" i="1"/>
  <c r="A253" i="1"/>
  <c r="C253" i="1"/>
  <c r="E253" i="1"/>
  <c r="F253" i="1"/>
  <c r="G2636" i="1"/>
  <c r="H2636" i="1"/>
  <c r="D2636" i="1"/>
  <c r="A2636" i="1"/>
  <c r="C2636" i="1"/>
  <c r="E2636" i="1"/>
  <c r="F2636" i="1"/>
  <c r="G61" i="1"/>
  <c r="H61" i="1"/>
  <c r="D61" i="1"/>
  <c r="A61" i="1"/>
  <c r="C61" i="1"/>
  <c r="E61" i="1"/>
  <c r="F61" i="1"/>
  <c r="G2640" i="1"/>
  <c r="H2640" i="1"/>
  <c r="D2640" i="1"/>
  <c r="A2640" i="1"/>
  <c r="C2640" i="1"/>
  <c r="E2640" i="1"/>
  <c r="F2640" i="1"/>
  <c r="G595" i="1"/>
  <c r="H595" i="1"/>
  <c r="D595" i="1"/>
  <c r="A595" i="1"/>
  <c r="C595" i="1"/>
  <c r="E595" i="1"/>
  <c r="F595" i="1"/>
  <c r="G2641" i="1"/>
  <c r="H2641" i="1"/>
  <c r="D2641" i="1"/>
  <c r="A2641" i="1"/>
  <c r="C2641" i="1"/>
  <c r="E2641" i="1"/>
  <c r="F2641" i="1"/>
  <c r="G3517" i="1"/>
  <c r="H3517" i="1"/>
  <c r="D3517" i="1"/>
  <c r="A3517" i="1"/>
  <c r="C3517" i="1"/>
  <c r="E3517" i="1"/>
  <c r="F3517" i="1"/>
  <c r="G4238" i="1"/>
  <c r="H4238" i="1"/>
  <c r="D4238" i="1"/>
  <c r="A4238" i="1"/>
  <c r="C4238" i="1"/>
  <c r="E4238" i="1"/>
  <c r="F4238" i="1"/>
  <c r="G814" i="1"/>
  <c r="H814" i="1"/>
  <c r="D814" i="1"/>
  <c r="A814" i="1"/>
  <c r="C814" i="1"/>
  <c r="E814" i="1"/>
  <c r="F814" i="1"/>
  <c r="G2671" i="1"/>
  <c r="H2671" i="1"/>
  <c r="D2671" i="1"/>
  <c r="A2671" i="1"/>
  <c r="C2671" i="1"/>
  <c r="E2671" i="1"/>
  <c r="F2671" i="1"/>
  <c r="G2386" i="1"/>
  <c r="H2386" i="1"/>
  <c r="D2386" i="1"/>
  <c r="A2386" i="1"/>
  <c r="C2386" i="1"/>
  <c r="E2386" i="1"/>
  <c r="F2386" i="1"/>
  <c r="G3088" i="1"/>
  <c r="H3088" i="1"/>
  <c r="D3088" i="1"/>
  <c r="A3088" i="1"/>
  <c r="C3088" i="1"/>
  <c r="E3088" i="1"/>
  <c r="F3088" i="1"/>
  <c r="G1446" i="1"/>
  <c r="H1446" i="1"/>
  <c r="D1446" i="1"/>
  <c r="A1446" i="1"/>
  <c r="C1446" i="1"/>
  <c r="E1446" i="1"/>
  <c r="F1446" i="1"/>
  <c r="G3214" i="1"/>
  <c r="H3214" i="1"/>
  <c r="D3214" i="1"/>
  <c r="A3214" i="1"/>
  <c r="C3214" i="1"/>
  <c r="E3214" i="1"/>
  <c r="F3214" i="1"/>
  <c r="G717" i="1"/>
  <c r="H717" i="1"/>
  <c r="D717" i="1"/>
  <c r="A717" i="1"/>
  <c r="C717" i="1"/>
  <c r="E717" i="1"/>
  <c r="F717" i="1"/>
  <c r="G1908" i="1"/>
  <c r="H1908" i="1"/>
  <c r="D1908" i="1"/>
  <c r="A1908" i="1"/>
  <c r="C1908" i="1"/>
  <c r="E1908" i="1"/>
  <c r="F1908" i="1"/>
  <c r="G3221" i="1"/>
  <c r="H3221" i="1"/>
  <c r="D3221" i="1"/>
  <c r="A3221" i="1"/>
  <c r="C3221" i="1"/>
  <c r="E3221" i="1"/>
  <c r="F3221" i="1"/>
  <c r="G1440" i="1"/>
  <c r="H1440" i="1"/>
  <c r="D1440" i="1"/>
  <c r="A1440" i="1"/>
  <c r="C1440" i="1"/>
  <c r="E1440" i="1"/>
  <c r="F1440" i="1"/>
  <c r="G3222" i="1"/>
  <c r="H3222" i="1"/>
  <c r="D3222" i="1"/>
  <c r="A3222" i="1"/>
  <c r="C3222" i="1"/>
  <c r="E3222" i="1"/>
  <c r="F3222" i="1"/>
  <c r="G3815" i="1"/>
  <c r="H3815" i="1"/>
  <c r="D3815" i="1"/>
  <c r="A3815" i="1"/>
  <c r="C3815" i="1"/>
  <c r="E3815" i="1"/>
  <c r="F3815" i="1"/>
  <c r="G3226" i="1"/>
  <c r="H3226" i="1"/>
  <c r="D3226" i="1"/>
  <c r="A3226" i="1"/>
  <c r="C3226" i="1"/>
  <c r="E3226" i="1"/>
  <c r="F3226" i="1"/>
  <c r="G1175" i="1"/>
  <c r="H1175" i="1"/>
  <c r="D1175" i="1"/>
  <c r="A1175" i="1"/>
  <c r="C1175" i="1"/>
  <c r="E1175" i="1"/>
  <c r="F1175" i="1"/>
  <c r="G3227" i="1"/>
  <c r="H3227" i="1"/>
  <c r="D3227" i="1"/>
  <c r="A3227" i="1"/>
  <c r="C3227" i="1"/>
  <c r="E3227" i="1"/>
  <c r="F3227" i="1"/>
  <c r="G4870" i="1"/>
  <c r="H4870" i="1"/>
  <c r="D4870" i="1"/>
  <c r="A4870" i="1"/>
  <c r="C4870" i="1"/>
  <c r="E4870" i="1"/>
  <c r="F4870" i="1"/>
  <c r="G3233" i="1"/>
  <c r="H3233" i="1"/>
  <c r="D3233" i="1"/>
  <c r="A3233" i="1"/>
  <c r="C3233" i="1"/>
  <c r="E3233" i="1"/>
  <c r="F3233" i="1"/>
  <c r="G2347" i="1"/>
  <c r="H2347" i="1"/>
  <c r="D2347" i="1"/>
  <c r="A2347" i="1"/>
  <c r="C2347" i="1"/>
  <c r="E2347" i="1"/>
  <c r="F2347" i="1"/>
  <c r="G3256" i="1"/>
  <c r="H3256" i="1"/>
  <c r="D3256" i="1"/>
  <c r="A3256" i="1"/>
  <c r="C3256" i="1"/>
  <c r="E3256" i="1"/>
  <c r="F3256" i="1"/>
  <c r="G2691" i="1"/>
  <c r="H2691" i="1"/>
  <c r="D2691" i="1"/>
  <c r="A2691" i="1"/>
  <c r="C2691" i="1"/>
  <c r="E2691" i="1"/>
  <c r="F2691" i="1"/>
  <c r="G3266" i="1"/>
  <c r="H3266" i="1"/>
  <c r="D3266" i="1"/>
  <c r="A3266" i="1"/>
  <c r="C3266" i="1"/>
  <c r="E3266" i="1"/>
  <c r="F3266" i="1"/>
  <c r="G587" i="1"/>
  <c r="H587" i="1"/>
  <c r="D587" i="1"/>
  <c r="A587" i="1"/>
  <c r="C587" i="1"/>
  <c r="E587" i="1"/>
  <c r="F587" i="1"/>
  <c r="G3264" i="1"/>
  <c r="H3264" i="1"/>
  <c r="D3264" i="1"/>
  <c r="A3264" i="1"/>
  <c r="C3264" i="1"/>
  <c r="E3264" i="1"/>
  <c r="F3264" i="1"/>
  <c r="G323" i="1"/>
  <c r="H323" i="1"/>
  <c r="D323" i="1"/>
  <c r="A323" i="1"/>
  <c r="C323" i="1"/>
  <c r="E323" i="1"/>
  <c r="F323" i="1"/>
  <c r="G4084" i="1"/>
  <c r="H4084" i="1"/>
  <c r="D4084" i="1"/>
  <c r="A4084" i="1"/>
  <c r="C4084" i="1"/>
  <c r="E4084" i="1"/>
  <c r="F4084" i="1"/>
  <c r="G3268" i="1"/>
  <c r="H3268" i="1"/>
  <c r="D3268" i="1"/>
  <c r="A3268" i="1"/>
  <c r="C3268" i="1"/>
  <c r="E3268" i="1"/>
  <c r="F3268" i="1"/>
  <c r="G4233" i="1"/>
  <c r="H4233" i="1"/>
  <c r="D4233" i="1"/>
  <c r="A4233" i="1"/>
  <c r="C4233" i="1"/>
  <c r="E4233" i="1"/>
  <c r="F4233" i="1"/>
  <c r="G3269" i="1"/>
  <c r="H3269" i="1"/>
  <c r="D3269" i="1"/>
  <c r="A3269" i="1"/>
  <c r="C3269" i="1"/>
  <c r="E3269" i="1"/>
  <c r="F3269" i="1"/>
  <c r="G1312" i="1"/>
  <c r="H1312" i="1"/>
  <c r="D1312" i="1"/>
  <c r="A1312" i="1"/>
  <c r="C1312" i="1"/>
  <c r="E1312" i="1"/>
  <c r="F1312" i="1"/>
  <c r="G3270" i="1"/>
  <c r="H3270" i="1"/>
  <c r="D3270" i="1"/>
  <c r="A3270" i="1"/>
  <c r="C3270" i="1"/>
  <c r="E3270" i="1"/>
  <c r="F3270" i="1"/>
  <c r="G4958" i="1"/>
  <c r="H4958" i="1"/>
  <c r="D4958" i="1"/>
  <c r="A4958" i="1"/>
  <c r="C4958" i="1"/>
  <c r="E4958" i="1"/>
  <c r="F4958" i="1"/>
  <c r="G3272" i="1"/>
  <c r="H3272" i="1"/>
  <c r="D3272" i="1"/>
  <c r="A3272" i="1"/>
  <c r="C3272" i="1"/>
  <c r="E3272" i="1"/>
  <c r="F3272" i="1"/>
  <c r="G5" i="1"/>
  <c r="H5" i="1"/>
  <c r="D5" i="1"/>
  <c r="A5" i="1"/>
  <c r="C5" i="1"/>
  <c r="E5" i="1"/>
  <c r="F5" i="1"/>
  <c r="G3273" i="1"/>
  <c r="H3273" i="1"/>
  <c r="D3273" i="1"/>
  <c r="A3273" i="1"/>
  <c r="C3273" i="1"/>
  <c r="E3273" i="1"/>
  <c r="F3273" i="1"/>
  <c r="G823" i="1"/>
  <c r="H823" i="1"/>
  <c r="D823" i="1"/>
  <c r="A823" i="1"/>
  <c r="C823" i="1"/>
  <c r="E823" i="1"/>
  <c r="F823" i="1"/>
  <c r="G3274" i="1"/>
  <c r="H3274" i="1"/>
  <c r="D3274" i="1"/>
  <c r="A3274" i="1"/>
  <c r="C3274" i="1"/>
  <c r="E3274" i="1"/>
  <c r="F3274" i="1"/>
  <c r="G840" i="1"/>
  <c r="H840" i="1"/>
  <c r="D840" i="1"/>
  <c r="A840" i="1"/>
  <c r="C840" i="1"/>
  <c r="E840" i="1"/>
  <c r="F840" i="1"/>
  <c r="G3275" i="1"/>
  <c r="H3275" i="1"/>
  <c r="D3275" i="1"/>
  <c r="A3275" i="1"/>
  <c r="C3275" i="1"/>
  <c r="E3275" i="1"/>
  <c r="F3275" i="1"/>
  <c r="G3282" i="1"/>
  <c r="H3282" i="1"/>
  <c r="D3282" i="1"/>
  <c r="A3282" i="1"/>
  <c r="C3282" i="1"/>
  <c r="E3282" i="1"/>
  <c r="F3282" i="1"/>
  <c r="G3288" i="1"/>
  <c r="H3288" i="1"/>
  <c r="D3288" i="1"/>
  <c r="A3288" i="1"/>
  <c r="C3288" i="1"/>
  <c r="E3288" i="1"/>
  <c r="F3288" i="1"/>
  <c r="G3287" i="1"/>
  <c r="H3287" i="1"/>
  <c r="D3287" i="1"/>
  <c r="A3287" i="1"/>
  <c r="C3287" i="1"/>
  <c r="E3287" i="1"/>
  <c r="F3287" i="1"/>
  <c r="G3290" i="1"/>
  <c r="H3290" i="1"/>
  <c r="D3290" i="1"/>
  <c r="A3290" i="1"/>
  <c r="C3290" i="1"/>
  <c r="E3290" i="1"/>
  <c r="F3290" i="1"/>
  <c r="G3300" i="1"/>
  <c r="H3300" i="1"/>
  <c r="D3300" i="1"/>
  <c r="A3300" i="1"/>
  <c r="C3300" i="1"/>
  <c r="E3300" i="1"/>
  <c r="F3300" i="1"/>
  <c r="G3303" i="1"/>
  <c r="H3303" i="1"/>
  <c r="D3303" i="1"/>
  <c r="A3303" i="1"/>
  <c r="C3303" i="1"/>
  <c r="E3303" i="1"/>
  <c r="F3303" i="1"/>
  <c r="G3313" i="1"/>
  <c r="H3313" i="1"/>
  <c r="D3313" i="1"/>
  <c r="A3313" i="1"/>
  <c r="C3313" i="1"/>
  <c r="E3313" i="1"/>
  <c r="F3313" i="1"/>
  <c r="G3314" i="1"/>
  <c r="H3314" i="1"/>
  <c r="D3314" i="1"/>
  <c r="A3314" i="1"/>
  <c r="C3314" i="1"/>
  <c r="E3314" i="1"/>
  <c r="F3314" i="1"/>
  <c r="G1387" i="1"/>
  <c r="H1387" i="1"/>
  <c r="D1387" i="1"/>
  <c r="A1387" i="1"/>
  <c r="C1387" i="1"/>
  <c r="E1387" i="1"/>
  <c r="F1387" i="1"/>
  <c r="G3323" i="1"/>
  <c r="H3323" i="1"/>
  <c r="D3323" i="1"/>
  <c r="A3323" i="1"/>
  <c r="C3323" i="1"/>
  <c r="E3323" i="1"/>
  <c r="F3323" i="1"/>
  <c r="G3332" i="1"/>
  <c r="H3332" i="1"/>
  <c r="D3332" i="1"/>
  <c r="A3332" i="1"/>
  <c r="C3332" i="1"/>
  <c r="E3332" i="1"/>
  <c r="F3332" i="1"/>
  <c r="G3334" i="1"/>
  <c r="H3334" i="1"/>
  <c r="D3334" i="1"/>
  <c r="A3334" i="1"/>
  <c r="C3334" i="1"/>
  <c r="E3334" i="1"/>
  <c r="F3334" i="1"/>
  <c r="G3342" i="1"/>
  <c r="H3342" i="1"/>
  <c r="D3342" i="1"/>
  <c r="A3342" i="1"/>
  <c r="C3342" i="1"/>
  <c r="E3342" i="1"/>
  <c r="F3342" i="1"/>
  <c r="G3343" i="1"/>
  <c r="H3343" i="1"/>
  <c r="D3343" i="1"/>
  <c r="A3343" i="1"/>
  <c r="C3343" i="1"/>
  <c r="E3343" i="1"/>
  <c r="F3343" i="1"/>
  <c r="G3344" i="1"/>
  <c r="H3344" i="1"/>
  <c r="D3344" i="1"/>
  <c r="A3344" i="1"/>
  <c r="C3344" i="1"/>
  <c r="E3344" i="1"/>
  <c r="F3344" i="1"/>
  <c r="G3345" i="1"/>
  <c r="H3345" i="1"/>
  <c r="D3345" i="1"/>
  <c r="A3345" i="1"/>
  <c r="C3345" i="1"/>
  <c r="E3345" i="1"/>
  <c r="F3345" i="1"/>
  <c r="G3351" i="1"/>
  <c r="H3351" i="1"/>
  <c r="D3351" i="1"/>
  <c r="A3351" i="1"/>
  <c r="C3351" i="1"/>
  <c r="E3351" i="1"/>
  <c r="F3351" i="1"/>
  <c r="G3360" i="1"/>
  <c r="H3360" i="1"/>
  <c r="D3360" i="1"/>
  <c r="A3360" i="1"/>
  <c r="C3360" i="1"/>
  <c r="E3360" i="1"/>
  <c r="F3360" i="1"/>
  <c r="G3368" i="1"/>
  <c r="H3368" i="1"/>
  <c r="D3368" i="1"/>
  <c r="A3368" i="1"/>
  <c r="C3368" i="1"/>
  <c r="E3368" i="1"/>
  <c r="F3368" i="1"/>
  <c r="G3371" i="1"/>
  <c r="H3371" i="1"/>
  <c r="D3371" i="1"/>
  <c r="A3371" i="1"/>
  <c r="C3371" i="1"/>
  <c r="E3371" i="1"/>
  <c r="F3371" i="1"/>
  <c r="G394" i="1"/>
  <c r="H394" i="1"/>
  <c r="D394" i="1"/>
  <c r="A394" i="1"/>
  <c r="C394" i="1"/>
  <c r="E394" i="1"/>
  <c r="F394" i="1"/>
  <c r="G3372" i="1"/>
  <c r="H3372" i="1"/>
  <c r="D3372" i="1"/>
  <c r="A3372" i="1"/>
  <c r="C3372" i="1"/>
  <c r="E3372" i="1"/>
  <c r="F3372" i="1"/>
  <c r="G3373" i="1"/>
  <c r="H3373" i="1"/>
  <c r="D3373" i="1"/>
  <c r="A3373" i="1"/>
  <c r="C3373" i="1"/>
  <c r="E3373" i="1"/>
  <c r="F3373" i="1"/>
  <c r="G3374" i="1"/>
  <c r="H3374" i="1"/>
  <c r="D3374" i="1"/>
  <c r="A3374" i="1"/>
  <c r="C3374" i="1"/>
  <c r="E3374" i="1"/>
  <c r="F3374" i="1"/>
  <c r="G3375" i="1"/>
  <c r="H3375" i="1"/>
  <c r="D3375" i="1"/>
  <c r="A3375" i="1"/>
  <c r="C3375" i="1"/>
  <c r="E3375" i="1"/>
  <c r="F3375" i="1"/>
  <c r="G3381" i="1"/>
  <c r="H3381" i="1"/>
  <c r="D3381" i="1"/>
  <c r="A3381" i="1"/>
  <c r="C3381" i="1"/>
  <c r="E3381" i="1"/>
  <c r="F3381" i="1"/>
  <c r="G3382" i="1"/>
  <c r="H3382" i="1"/>
  <c r="D3382" i="1"/>
  <c r="A3382" i="1"/>
  <c r="C3382" i="1"/>
  <c r="E3382" i="1"/>
  <c r="F3382" i="1"/>
  <c r="G3387" i="1"/>
  <c r="H3387" i="1"/>
  <c r="D3387" i="1"/>
  <c r="A3387" i="1"/>
  <c r="C3387" i="1"/>
  <c r="E3387" i="1"/>
  <c r="F3387" i="1"/>
  <c r="G3390" i="1"/>
  <c r="H3390" i="1"/>
  <c r="D3390" i="1"/>
  <c r="A3390" i="1"/>
  <c r="C3390" i="1"/>
  <c r="E3390" i="1"/>
  <c r="F3390" i="1"/>
  <c r="G3391" i="1"/>
  <c r="H3391" i="1"/>
  <c r="D3391" i="1"/>
  <c r="A3391" i="1"/>
  <c r="C3391" i="1"/>
  <c r="E3391" i="1"/>
  <c r="F3391" i="1"/>
  <c r="G3392" i="1"/>
  <c r="H3392" i="1"/>
  <c r="D3392" i="1"/>
  <c r="A3392" i="1"/>
  <c r="C3392" i="1"/>
  <c r="E3392" i="1"/>
  <c r="F3392" i="1"/>
  <c r="G3384" i="1"/>
  <c r="H3384" i="1"/>
  <c r="D3384" i="1"/>
  <c r="A3384" i="1"/>
  <c r="C3384" i="1"/>
  <c r="E3384" i="1"/>
  <c r="F3384" i="1"/>
  <c r="G3394" i="1"/>
  <c r="H3394" i="1"/>
  <c r="D3394" i="1"/>
  <c r="A3394" i="1"/>
  <c r="C3394" i="1"/>
  <c r="E3394" i="1"/>
  <c r="F3394" i="1"/>
  <c r="G3398" i="1"/>
  <c r="H3398" i="1"/>
  <c r="D3398" i="1"/>
  <c r="A3398" i="1"/>
  <c r="C3398" i="1"/>
  <c r="E3398" i="1"/>
  <c r="F3398" i="1"/>
  <c r="G3399" i="1"/>
  <c r="H3399" i="1"/>
  <c r="D3399" i="1"/>
  <c r="A3399" i="1"/>
  <c r="C3399" i="1"/>
  <c r="E3399" i="1"/>
  <c r="F3399" i="1"/>
  <c r="G3400" i="1"/>
  <c r="H3400" i="1"/>
  <c r="D3400" i="1"/>
  <c r="A3400" i="1"/>
  <c r="C3400" i="1"/>
  <c r="E3400" i="1"/>
  <c r="F3400" i="1"/>
  <c r="G3402" i="1"/>
  <c r="H3402" i="1"/>
  <c r="D3402" i="1"/>
  <c r="A3402" i="1"/>
  <c r="C3402" i="1"/>
  <c r="E3402" i="1"/>
  <c r="F3402" i="1"/>
  <c r="G3403" i="1"/>
  <c r="H3403" i="1"/>
  <c r="D3403" i="1"/>
  <c r="A3403" i="1"/>
  <c r="C3403" i="1"/>
  <c r="E3403" i="1"/>
  <c r="F3403" i="1"/>
  <c r="G3405" i="1"/>
  <c r="H3405" i="1"/>
  <c r="D3405" i="1"/>
  <c r="A3405" i="1"/>
  <c r="C3405" i="1"/>
  <c r="E3405" i="1"/>
  <c r="F3405" i="1"/>
  <c r="G3411" i="1"/>
  <c r="H3411" i="1"/>
  <c r="D3411" i="1"/>
  <c r="A3411" i="1"/>
  <c r="C3411" i="1"/>
  <c r="E3411" i="1"/>
  <c r="F3411" i="1"/>
  <c r="G3412" i="1"/>
  <c r="H3412" i="1"/>
  <c r="D3412" i="1"/>
  <c r="A3412" i="1"/>
  <c r="C3412" i="1"/>
  <c r="E3412" i="1"/>
  <c r="F3412" i="1"/>
  <c r="G3413" i="1"/>
  <c r="H3413" i="1"/>
  <c r="D3413" i="1"/>
  <c r="A3413" i="1"/>
  <c r="C3413" i="1"/>
  <c r="E3413" i="1"/>
  <c r="F3413" i="1"/>
  <c r="G3417" i="1"/>
  <c r="H3417" i="1"/>
  <c r="D3417" i="1"/>
  <c r="A3417" i="1"/>
  <c r="C3417" i="1"/>
  <c r="E3417" i="1"/>
  <c r="F3417" i="1"/>
  <c r="G3419" i="1"/>
  <c r="H3419" i="1"/>
  <c r="D3419" i="1"/>
  <c r="A3419" i="1"/>
  <c r="C3419" i="1"/>
  <c r="E3419" i="1"/>
  <c r="F3419" i="1"/>
  <c r="G3418" i="1"/>
  <c r="H3418" i="1"/>
  <c r="D3418" i="1"/>
  <c r="A3418" i="1"/>
  <c r="C3418" i="1"/>
  <c r="E3418" i="1"/>
  <c r="F3418" i="1"/>
  <c r="G3444" i="1"/>
  <c r="H3444" i="1"/>
  <c r="D3444" i="1"/>
  <c r="A3444" i="1"/>
  <c r="C3444" i="1"/>
  <c r="E3444" i="1"/>
  <c r="F3444" i="1"/>
  <c r="G3447" i="1"/>
  <c r="H3447" i="1"/>
  <c r="D3447" i="1"/>
  <c r="A3447" i="1"/>
  <c r="C3447" i="1"/>
  <c r="E3447" i="1"/>
  <c r="F3447" i="1"/>
  <c r="G3458" i="1"/>
  <c r="H3458" i="1"/>
  <c r="D3458" i="1"/>
  <c r="A3458" i="1"/>
  <c r="C3458" i="1"/>
  <c r="E3458" i="1"/>
  <c r="F3458" i="1"/>
  <c r="G3461" i="1"/>
  <c r="H3461" i="1"/>
  <c r="D3461" i="1"/>
  <c r="A3461" i="1"/>
  <c r="C3461" i="1"/>
  <c r="E3461" i="1"/>
  <c r="F3461" i="1"/>
  <c r="G3439" i="1"/>
  <c r="H3439" i="1"/>
  <c r="D3439" i="1"/>
  <c r="A3439" i="1"/>
  <c r="C3439" i="1"/>
  <c r="E3439" i="1"/>
  <c r="F3439" i="1"/>
  <c r="G1257" i="1"/>
  <c r="H1257" i="1"/>
  <c r="D1257" i="1"/>
  <c r="A1257" i="1"/>
  <c r="C1257" i="1"/>
  <c r="E1257" i="1"/>
  <c r="F1257" i="1"/>
  <c r="G3462" i="1"/>
  <c r="H3462" i="1"/>
  <c r="D3462" i="1"/>
  <c r="A3462" i="1"/>
  <c r="C3462" i="1"/>
  <c r="E3462" i="1"/>
  <c r="F3462" i="1"/>
  <c r="G3476" i="1"/>
  <c r="H3476" i="1"/>
  <c r="D3476" i="1"/>
  <c r="A3476" i="1"/>
  <c r="C3476" i="1"/>
  <c r="E3476" i="1"/>
  <c r="F3476" i="1"/>
  <c r="G3479" i="1"/>
  <c r="H3479" i="1"/>
  <c r="D3479" i="1"/>
  <c r="A3479" i="1"/>
  <c r="C3479" i="1"/>
  <c r="E3479" i="1"/>
  <c r="F3479" i="1"/>
  <c r="G3480" i="1"/>
  <c r="H3480" i="1"/>
  <c r="D3480" i="1"/>
  <c r="A3480" i="1"/>
  <c r="C3480" i="1"/>
  <c r="E3480" i="1"/>
  <c r="F3480" i="1"/>
  <c r="G3481" i="1"/>
  <c r="H3481" i="1"/>
  <c r="D3481" i="1"/>
  <c r="A3481" i="1"/>
  <c r="C3481" i="1"/>
  <c r="E3481" i="1"/>
  <c r="F3481" i="1"/>
  <c r="G3489" i="1"/>
  <c r="H3489" i="1"/>
  <c r="D3489" i="1"/>
  <c r="A3489" i="1"/>
  <c r="C3489" i="1"/>
  <c r="E3489" i="1"/>
  <c r="F3489" i="1"/>
  <c r="G3490" i="1"/>
  <c r="H3490" i="1"/>
  <c r="D3490" i="1"/>
  <c r="A3490" i="1"/>
  <c r="C3490" i="1"/>
  <c r="E3490" i="1"/>
  <c r="F3490" i="1"/>
  <c r="G3492" i="1"/>
  <c r="H3492" i="1"/>
  <c r="D3492" i="1"/>
  <c r="A3492" i="1"/>
  <c r="C3492" i="1"/>
  <c r="E3492" i="1"/>
  <c r="F3492" i="1"/>
  <c r="G3493" i="1"/>
  <c r="H3493" i="1"/>
  <c r="D3493" i="1"/>
  <c r="A3493" i="1"/>
  <c r="C3493" i="1"/>
  <c r="E3493" i="1"/>
  <c r="F3493" i="1"/>
  <c r="G3526" i="1"/>
  <c r="H3526" i="1"/>
  <c r="D3526" i="1"/>
  <c r="A3526" i="1"/>
  <c r="C3526" i="1"/>
  <c r="E3526" i="1"/>
  <c r="F3526" i="1"/>
  <c r="G3550" i="1"/>
  <c r="H3550" i="1"/>
  <c r="D3550" i="1"/>
  <c r="A3550" i="1"/>
  <c r="C3550" i="1"/>
  <c r="E3550" i="1"/>
  <c r="F3550" i="1"/>
  <c r="G3553" i="1"/>
  <c r="H3553" i="1"/>
  <c r="D3553" i="1"/>
  <c r="A3553" i="1"/>
  <c r="C3553" i="1"/>
  <c r="E3553" i="1"/>
  <c r="F3553" i="1"/>
  <c r="G3559" i="1"/>
  <c r="H3559" i="1"/>
  <c r="D3559" i="1"/>
  <c r="A3559" i="1"/>
  <c r="C3559" i="1"/>
  <c r="E3559" i="1"/>
  <c r="F3559" i="1"/>
  <c r="G3562" i="1"/>
  <c r="H3562" i="1"/>
  <c r="D3562" i="1"/>
  <c r="A3562" i="1"/>
  <c r="C3562" i="1"/>
  <c r="E3562" i="1"/>
  <c r="F3562" i="1"/>
  <c r="G3563" i="1"/>
  <c r="H3563" i="1"/>
  <c r="D3563" i="1"/>
  <c r="A3563" i="1"/>
  <c r="C3563" i="1"/>
  <c r="E3563" i="1"/>
  <c r="F3563" i="1"/>
  <c r="G3564" i="1"/>
  <c r="H3564" i="1"/>
  <c r="D3564" i="1"/>
  <c r="A3564" i="1"/>
  <c r="C3564" i="1"/>
  <c r="E3564" i="1"/>
  <c r="F3564" i="1"/>
  <c r="G3567" i="1"/>
  <c r="H3567" i="1"/>
  <c r="D3567" i="1"/>
  <c r="A3567" i="1"/>
  <c r="C3567" i="1"/>
  <c r="E3567" i="1"/>
  <c r="F3567" i="1"/>
  <c r="G3570" i="1"/>
  <c r="H3570" i="1"/>
  <c r="D3570" i="1"/>
  <c r="A3570" i="1"/>
  <c r="C3570" i="1"/>
  <c r="E3570" i="1"/>
  <c r="F3570" i="1"/>
  <c r="G3568" i="1"/>
  <c r="H3568" i="1"/>
  <c r="D3568" i="1"/>
  <c r="A3568" i="1"/>
  <c r="C3568" i="1"/>
  <c r="E3568" i="1"/>
  <c r="F3568" i="1"/>
  <c r="G3577" i="1"/>
  <c r="H3577" i="1"/>
  <c r="D3577" i="1"/>
  <c r="A3577" i="1"/>
  <c r="C3577" i="1"/>
  <c r="E3577" i="1"/>
  <c r="F3577" i="1"/>
  <c r="G3614" i="1"/>
  <c r="H3614" i="1"/>
  <c r="D3614" i="1"/>
  <c r="A3614" i="1"/>
  <c r="C3614" i="1"/>
  <c r="E3614" i="1"/>
  <c r="F3614" i="1"/>
  <c r="G3607" i="1"/>
  <c r="H3607" i="1"/>
  <c r="D3607" i="1"/>
  <c r="A3607" i="1"/>
  <c r="C3607" i="1"/>
  <c r="E3607" i="1"/>
  <c r="F3607" i="1"/>
  <c r="G3610" i="1"/>
  <c r="H3610" i="1"/>
  <c r="D3610" i="1"/>
  <c r="A3610" i="1"/>
  <c r="C3610" i="1"/>
  <c r="E3610" i="1"/>
  <c r="F3610" i="1"/>
  <c r="G3619" i="1"/>
  <c r="H3619" i="1"/>
  <c r="D3619" i="1"/>
  <c r="A3619" i="1"/>
  <c r="C3619" i="1"/>
  <c r="E3619" i="1"/>
  <c r="F3619" i="1"/>
  <c r="G3468" i="1"/>
  <c r="H3468" i="1"/>
  <c r="D3468" i="1"/>
  <c r="A3468" i="1"/>
  <c r="C3468" i="1"/>
  <c r="E3468" i="1"/>
  <c r="F3468" i="1"/>
  <c r="G3625" i="1"/>
  <c r="H3625" i="1"/>
  <c r="D3625" i="1"/>
  <c r="A3625" i="1"/>
  <c r="C3625" i="1"/>
  <c r="E3625" i="1"/>
  <c r="F3625" i="1"/>
  <c r="G3628" i="1"/>
  <c r="H3628" i="1"/>
  <c r="D3628" i="1"/>
  <c r="A3628" i="1"/>
  <c r="C3628" i="1"/>
  <c r="E3628" i="1"/>
  <c r="F3628" i="1"/>
  <c r="G3637" i="1"/>
  <c r="H3637" i="1"/>
  <c r="D3637" i="1"/>
  <c r="A3637" i="1"/>
  <c r="C3637" i="1"/>
  <c r="E3637" i="1"/>
  <c r="F3637" i="1"/>
  <c r="G4304" i="1"/>
  <c r="H4304" i="1"/>
  <c r="D4304" i="1"/>
  <c r="A4304" i="1"/>
  <c r="C4304" i="1"/>
  <c r="E4304" i="1"/>
  <c r="F4304" i="1"/>
  <c r="G3640" i="1"/>
  <c r="H3640" i="1"/>
  <c r="D3640" i="1"/>
  <c r="A3640" i="1"/>
  <c r="C3640" i="1"/>
  <c r="E3640" i="1"/>
  <c r="F3640" i="1"/>
  <c r="G3644" i="1"/>
  <c r="H3644" i="1"/>
  <c r="D3644" i="1"/>
  <c r="A3644" i="1"/>
  <c r="C3644" i="1"/>
  <c r="E3644" i="1"/>
  <c r="F3644" i="1"/>
  <c r="G3646" i="1"/>
  <c r="H3646" i="1"/>
  <c r="D3646" i="1"/>
  <c r="A3646" i="1"/>
  <c r="C3646" i="1"/>
  <c r="E3646" i="1"/>
  <c r="F3646" i="1"/>
  <c r="G3648" i="1"/>
  <c r="H3648" i="1"/>
  <c r="D3648" i="1"/>
  <c r="A3648" i="1"/>
  <c r="C3648" i="1"/>
  <c r="E3648" i="1"/>
  <c r="F3648" i="1"/>
  <c r="G3653" i="1"/>
  <c r="H3653" i="1"/>
  <c r="D3653" i="1"/>
  <c r="A3653" i="1"/>
  <c r="C3653" i="1"/>
  <c r="E3653" i="1"/>
  <c r="F3653" i="1"/>
  <c r="G3662" i="1"/>
  <c r="H3662" i="1"/>
  <c r="D3662" i="1"/>
  <c r="A3662" i="1"/>
  <c r="C3662" i="1"/>
  <c r="E3662" i="1"/>
  <c r="F3662" i="1"/>
  <c r="G3663" i="1"/>
  <c r="H3663" i="1"/>
  <c r="D3663" i="1"/>
  <c r="A3663" i="1"/>
  <c r="C3663" i="1"/>
  <c r="E3663" i="1"/>
  <c r="F3663" i="1"/>
  <c r="G834" i="1"/>
  <c r="H834" i="1"/>
  <c r="D834" i="1"/>
  <c r="A834" i="1"/>
  <c r="C834" i="1"/>
  <c r="E834" i="1"/>
  <c r="F834" i="1"/>
  <c r="G3672" i="1"/>
  <c r="H3672" i="1"/>
  <c r="D3672" i="1"/>
  <c r="A3672" i="1"/>
  <c r="C3672" i="1"/>
  <c r="E3672" i="1"/>
  <c r="F3672" i="1"/>
  <c r="G3111" i="1"/>
  <c r="H3111" i="1"/>
  <c r="D3111" i="1"/>
  <c r="A3111" i="1"/>
  <c r="C3111" i="1"/>
  <c r="E3111" i="1"/>
  <c r="F3111" i="1"/>
  <c r="G3670" i="1"/>
  <c r="H3670" i="1"/>
  <c r="D3670" i="1"/>
  <c r="A3670" i="1"/>
  <c r="C3670" i="1"/>
  <c r="E3670" i="1"/>
  <c r="F3670" i="1"/>
  <c r="G3293" i="1"/>
  <c r="H3293" i="1"/>
  <c r="D3293" i="1"/>
  <c r="A3293" i="1"/>
  <c r="C3293" i="1"/>
  <c r="E3293" i="1"/>
  <c r="F3293" i="1"/>
  <c r="G3673" i="1"/>
  <c r="H3673" i="1"/>
  <c r="D3673" i="1"/>
  <c r="A3673" i="1"/>
  <c r="C3673" i="1"/>
  <c r="E3673" i="1"/>
  <c r="F3673" i="1"/>
  <c r="G806" i="1"/>
  <c r="H806" i="1"/>
  <c r="D806" i="1"/>
  <c r="A806" i="1"/>
  <c r="C806" i="1"/>
  <c r="E806" i="1"/>
  <c r="F806" i="1"/>
  <c r="G839" i="1"/>
  <c r="H839" i="1"/>
  <c r="D839" i="1"/>
  <c r="A839" i="1"/>
  <c r="C839" i="1"/>
  <c r="E839" i="1"/>
  <c r="F839" i="1"/>
  <c r="G3677" i="1"/>
  <c r="H3677" i="1"/>
  <c r="D3677" i="1"/>
  <c r="A3677" i="1"/>
  <c r="C3677" i="1"/>
  <c r="E3677" i="1"/>
  <c r="F3677" i="1"/>
  <c r="G797" i="1"/>
  <c r="H797" i="1"/>
  <c r="D797" i="1"/>
  <c r="A797" i="1"/>
  <c r="C797" i="1"/>
  <c r="E797" i="1"/>
  <c r="F797" i="1"/>
  <c r="G3683" i="1"/>
  <c r="H3683" i="1"/>
  <c r="D3683" i="1"/>
  <c r="A3683" i="1"/>
  <c r="C3683" i="1"/>
  <c r="E3683" i="1"/>
  <c r="F3683" i="1"/>
  <c r="G2382" i="1"/>
  <c r="H2382" i="1"/>
  <c r="D2382" i="1"/>
  <c r="A2382" i="1"/>
  <c r="C2382" i="1"/>
  <c r="E2382" i="1"/>
  <c r="F2382" i="1"/>
  <c r="G3682" i="1"/>
  <c r="H3682" i="1"/>
  <c r="D3682" i="1"/>
  <c r="A3682" i="1"/>
  <c r="C3682" i="1"/>
  <c r="E3682" i="1"/>
  <c r="F3682" i="1"/>
  <c r="G3709" i="1"/>
  <c r="H3709" i="1"/>
  <c r="D3709" i="1"/>
  <c r="A3709" i="1"/>
  <c r="C3709" i="1"/>
  <c r="E3709" i="1"/>
  <c r="F3709" i="1"/>
  <c r="G3690" i="1"/>
  <c r="H3690" i="1"/>
  <c r="D3690" i="1"/>
  <c r="A3690" i="1"/>
  <c r="C3690" i="1"/>
  <c r="E3690" i="1"/>
  <c r="F3690" i="1"/>
  <c r="G3181" i="1"/>
  <c r="H3181" i="1"/>
  <c r="D3181" i="1"/>
  <c r="A3181" i="1"/>
  <c r="C3181" i="1"/>
  <c r="E3181" i="1"/>
  <c r="F3181" i="1"/>
  <c r="G3692" i="1"/>
  <c r="H3692" i="1"/>
  <c r="D3692" i="1"/>
  <c r="A3692" i="1"/>
  <c r="C3692" i="1"/>
  <c r="E3692" i="1"/>
  <c r="F3692" i="1"/>
  <c r="G3693" i="1"/>
  <c r="H3693" i="1"/>
  <c r="D3693" i="1"/>
  <c r="A3693" i="1"/>
  <c r="C3693" i="1"/>
  <c r="E3693" i="1"/>
  <c r="F3693" i="1"/>
  <c r="G3302" i="1"/>
  <c r="H3302" i="1"/>
  <c r="D3302" i="1"/>
  <c r="A3302" i="1"/>
  <c r="C3302" i="1"/>
  <c r="E3302" i="1"/>
  <c r="F3302" i="1"/>
  <c r="G3698" i="1"/>
  <c r="H3698" i="1"/>
  <c r="D3698" i="1"/>
  <c r="A3698" i="1"/>
  <c r="C3698" i="1"/>
  <c r="E3698" i="1"/>
  <c r="F3698" i="1"/>
  <c r="G3700" i="1"/>
  <c r="H3700" i="1"/>
  <c r="D3700" i="1"/>
  <c r="A3700" i="1"/>
  <c r="C3700" i="1"/>
  <c r="E3700" i="1"/>
  <c r="F3700" i="1"/>
  <c r="G2082" i="1"/>
  <c r="H2082" i="1"/>
  <c r="D2082" i="1"/>
  <c r="A2082" i="1"/>
  <c r="C2082" i="1"/>
  <c r="E2082" i="1"/>
  <c r="F2082" i="1"/>
  <c r="G3702" i="1"/>
  <c r="H3702" i="1"/>
  <c r="D3702" i="1"/>
  <c r="A3702" i="1"/>
  <c r="C3702" i="1"/>
  <c r="E3702" i="1"/>
  <c r="F3702" i="1"/>
  <c r="G2995" i="1"/>
  <c r="H2995" i="1"/>
  <c r="D2995" i="1"/>
  <c r="A2995" i="1"/>
  <c r="C2995" i="1"/>
  <c r="E2995" i="1"/>
  <c r="F2995" i="1"/>
  <c r="G3706" i="1"/>
  <c r="H3706" i="1"/>
  <c r="D3706" i="1"/>
  <c r="A3706" i="1"/>
  <c r="C3706" i="1"/>
  <c r="E3706" i="1"/>
  <c r="F3706" i="1"/>
  <c r="G2979" i="1"/>
  <c r="H2979" i="1"/>
  <c r="D2979" i="1"/>
  <c r="A2979" i="1"/>
  <c r="C2979" i="1"/>
  <c r="E2979" i="1"/>
  <c r="F2979" i="1"/>
  <c r="G1485" i="1"/>
  <c r="H1485" i="1"/>
  <c r="D1485" i="1"/>
  <c r="A1485" i="1"/>
  <c r="C1485" i="1"/>
  <c r="E1485" i="1"/>
  <c r="F1485" i="1"/>
  <c r="G4449" i="1"/>
  <c r="H4449" i="1"/>
  <c r="D4449" i="1"/>
  <c r="A4449" i="1"/>
  <c r="C4449" i="1"/>
  <c r="E4449" i="1"/>
  <c r="F4449" i="1"/>
  <c r="G3718" i="1"/>
  <c r="H3718" i="1"/>
  <c r="D3718" i="1"/>
  <c r="A3718" i="1"/>
  <c r="C3718" i="1"/>
  <c r="E3718" i="1"/>
  <c r="F3718" i="1"/>
  <c r="G3886" i="1"/>
  <c r="H3886" i="1"/>
  <c r="D3886" i="1"/>
  <c r="A3886" i="1"/>
  <c r="C3886" i="1"/>
  <c r="E3886" i="1"/>
  <c r="F3886" i="1"/>
  <c r="G3723" i="1"/>
  <c r="H3723" i="1"/>
  <c r="D3723" i="1"/>
  <c r="A3723" i="1"/>
  <c r="C3723" i="1"/>
  <c r="E3723" i="1"/>
  <c r="F3723" i="1"/>
  <c r="G3724" i="1"/>
  <c r="H3724" i="1"/>
  <c r="D3724" i="1"/>
  <c r="A3724" i="1"/>
  <c r="C3724" i="1"/>
  <c r="E3724" i="1"/>
  <c r="F3724" i="1"/>
  <c r="G1763" i="1"/>
  <c r="H1763" i="1"/>
  <c r="D1763" i="1"/>
  <c r="A1763" i="1"/>
  <c r="C1763" i="1"/>
  <c r="E1763" i="1"/>
  <c r="F1763" i="1"/>
  <c r="G3995" i="1"/>
  <c r="H3995" i="1"/>
  <c r="D3995" i="1"/>
  <c r="A3995" i="1"/>
  <c r="C3995" i="1"/>
  <c r="E3995" i="1"/>
  <c r="F3995" i="1"/>
  <c r="G3725" i="1"/>
  <c r="H3725" i="1"/>
  <c r="D3725" i="1"/>
  <c r="A3725" i="1"/>
  <c r="C3725" i="1"/>
  <c r="E3725" i="1"/>
  <c r="F3725" i="1"/>
  <c r="G1417" i="1"/>
  <c r="H1417" i="1"/>
  <c r="D1417" i="1"/>
  <c r="A1417" i="1"/>
  <c r="C1417" i="1"/>
  <c r="E1417" i="1"/>
  <c r="F1417" i="1"/>
  <c r="G1444" i="1"/>
  <c r="H1444" i="1"/>
  <c r="D1444" i="1"/>
  <c r="A1444" i="1"/>
  <c r="C1444" i="1"/>
  <c r="E1444" i="1"/>
  <c r="F1444" i="1"/>
  <c r="G3588" i="1"/>
  <c r="H3588" i="1"/>
  <c r="D3588" i="1"/>
  <c r="A3588" i="1"/>
  <c r="C3588" i="1"/>
  <c r="E3588" i="1"/>
  <c r="F3588" i="1"/>
  <c r="G3730" i="1"/>
  <c r="H3730" i="1"/>
  <c r="D3730" i="1"/>
  <c r="A3730" i="1"/>
  <c r="C3730" i="1"/>
  <c r="E3730" i="1"/>
  <c r="F3730" i="1"/>
  <c r="G2616" i="1"/>
  <c r="H2616" i="1"/>
  <c r="D2616" i="1"/>
  <c r="A2616" i="1"/>
  <c r="C2616" i="1"/>
  <c r="E2616" i="1"/>
  <c r="F2616" i="1"/>
  <c r="G3736" i="1"/>
  <c r="H3736" i="1"/>
  <c r="D3736" i="1"/>
  <c r="A3736" i="1"/>
  <c r="C3736" i="1"/>
  <c r="E3736" i="1"/>
  <c r="F3736" i="1"/>
  <c r="G351" i="1"/>
  <c r="H351" i="1"/>
  <c r="D351" i="1"/>
  <c r="A351" i="1"/>
  <c r="C351" i="1"/>
  <c r="E351" i="1"/>
  <c r="F351" i="1"/>
  <c r="G3739" i="1"/>
  <c r="H3739" i="1"/>
  <c r="D3739" i="1"/>
  <c r="A3739" i="1"/>
  <c r="C3739" i="1"/>
  <c r="E3739" i="1"/>
  <c r="F3739" i="1"/>
  <c r="G3742" i="1"/>
  <c r="H3742" i="1"/>
  <c r="D3742" i="1"/>
  <c r="A3742" i="1"/>
  <c r="C3742" i="1"/>
  <c r="E3742" i="1"/>
  <c r="F3742" i="1"/>
  <c r="G14" i="1"/>
  <c r="H14" i="1"/>
  <c r="D14" i="1"/>
  <c r="A14" i="1"/>
  <c r="C14" i="1"/>
  <c r="E14" i="1"/>
  <c r="F14" i="1"/>
  <c r="G3746" i="1"/>
  <c r="H3746" i="1"/>
  <c r="D3746" i="1"/>
  <c r="A3746" i="1"/>
  <c r="C3746" i="1"/>
  <c r="E3746" i="1"/>
  <c r="F3746" i="1"/>
  <c r="G1712" i="1"/>
  <c r="H1712" i="1"/>
  <c r="D1712" i="1"/>
  <c r="A1712" i="1"/>
  <c r="C1712" i="1"/>
  <c r="E1712" i="1"/>
  <c r="F1712" i="1"/>
  <c r="G3748" i="1"/>
  <c r="H3748" i="1"/>
  <c r="D3748" i="1"/>
  <c r="A3748" i="1"/>
  <c r="C3748" i="1"/>
  <c r="E3748" i="1"/>
  <c r="F3748" i="1"/>
  <c r="G1869" i="1"/>
  <c r="H1869" i="1"/>
  <c r="D1869" i="1"/>
  <c r="A1869" i="1"/>
  <c r="C1869" i="1"/>
  <c r="E1869" i="1"/>
  <c r="F1869" i="1"/>
  <c r="G3753" i="1"/>
  <c r="H3753" i="1"/>
  <c r="D3753" i="1"/>
  <c r="A3753" i="1"/>
  <c r="C3753" i="1"/>
  <c r="E3753" i="1"/>
  <c r="F3753" i="1"/>
  <c r="G1727" i="1"/>
  <c r="H1727" i="1"/>
  <c r="D1727" i="1"/>
  <c r="A1727" i="1"/>
  <c r="C1727" i="1"/>
  <c r="E1727" i="1"/>
  <c r="F1727" i="1"/>
  <c r="G3185" i="1"/>
  <c r="H3185" i="1"/>
  <c r="D3185" i="1"/>
  <c r="A3185" i="1"/>
  <c r="C3185" i="1"/>
  <c r="E3185" i="1"/>
  <c r="F3185" i="1"/>
  <c r="G3766" i="1"/>
  <c r="H3766" i="1"/>
  <c r="D3766" i="1"/>
  <c r="A3766" i="1"/>
  <c r="C3766" i="1"/>
  <c r="E3766" i="1"/>
  <c r="F3766" i="1"/>
  <c r="G433" i="1"/>
  <c r="H433" i="1"/>
  <c r="D433" i="1"/>
  <c r="A433" i="1"/>
  <c r="C433" i="1"/>
  <c r="E433" i="1"/>
  <c r="F433" i="1"/>
  <c r="G3715" i="1"/>
  <c r="H3715" i="1"/>
  <c r="D3715" i="1"/>
  <c r="A3715" i="1"/>
  <c r="C3715" i="1"/>
  <c r="E3715" i="1"/>
  <c r="F3715" i="1"/>
  <c r="G2985" i="1"/>
  <c r="H2985" i="1"/>
  <c r="D2985" i="1"/>
  <c r="A2985" i="1"/>
  <c r="C2985" i="1"/>
  <c r="E2985" i="1"/>
  <c r="F2985" i="1"/>
  <c r="G3782" i="1"/>
  <c r="H3782" i="1"/>
  <c r="D3782" i="1"/>
  <c r="A3782" i="1"/>
  <c r="C3782" i="1"/>
  <c r="E3782" i="1"/>
  <c r="F3782" i="1"/>
  <c r="G2012" i="1"/>
  <c r="H2012" i="1"/>
  <c r="D2012" i="1"/>
  <c r="A2012" i="1"/>
  <c r="C2012" i="1"/>
  <c r="E2012" i="1"/>
  <c r="F2012" i="1"/>
  <c r="G3781" i="1"/>
  <c r="H3781" i="1"/>
  <c r="D3781" i="1"/>
  <c r="A3781" i="1"/>
  <c r="C3781" i="1"/>
  <c r="E3781" i="1"/>
  <c r="F3781" i="1"/>
  <c r="G516" i="1"/>
  <c r="H516" i="1"/>
  <c r="D516" i="1"/>
  <c r="A516" i="1"/>
  <c r="C516" i="1"/>
  <c r="E516" i="1"/>
  <c r="F516" i="1"/>
  <c r="G3804" i="1"/>
  <c r="H3804" i="1"/>
  <c r="D3804" i="1"/>
  <c r="A3804" i="1"/>
  <c r="C3804" i="1"/>
  <c r="E3804" i="1"/>
  <c r="F3804" i="1"/>
  <c r="G273" i="1"/>
  <c r="H273" i="1"/>
  <c r="D273" i="1"/>
  <c r="A273" i="1"/>
  <c r="C273" i="1"/>
  <c r="E273" i="1"/>
  <c r="F273" i="1"/>
  <c r="G3795" i="1"/>
  <c r="H3795" i="1"/>
  <c r="D3795" i="1"/>
  <c r="A3795" i="1"/>
  <c r="C3795" i="1"/>
  <c r="E3795" i="1"/>
  <c r="F3795" i="1"/>
  <c r="G3217" i="1"/>
  <c r="H3217" i="1"/>
  <c r="D3217" i="1"/>
  <c r="A3217" i="1"/>
  <c r="C3217" i="1"/>
  <c r="E3217" i="1"/>
  <c r="F3217" i="1"/>
  <c r="G1351" i="1"/>
  <c r="H1351" i="1"/>
  <c r="D1351" i="1"/>
  <c r="A1351" i="1"/>
  <c r="C1351" i="1"/>
  <c r="E1351" i="1"/>
  <c r="F1351" i="1"/>
  <c r="G3825" i="1"/>
  <c r="H3825" i="1"/>
  <c r="D3825" i="1"/>
  <c r="A3825" i="1"/>
  <c r="C3825" i="1"/>
  <c r="E3825" i="1"/>
  <c r="F3825" i="1"/>
  <c r="G356" i="1"/>
  <c r="H356" i="1"/>
  <c r="D356" i="1"/>
  <c r="A356" i="1"/>
  <c r="C356" i="1"/>
  <c r="E356" i="1"/>
  <c r="F356" i="1"/>
  <c r="G3833" i="1"/>
  <c r="H3833" i="1"/>
  <c r="D3833" i="1"/>
  <c r="A3833" i="1"/>
  <c r="C3833" i="1"/>
  <c r="E3833" i="1"/>
  <c r="F3833" i="1"/>
  <c r="G3837" i="1"/>
  <c r="H3837" i="1"/>
  <c r="D3837" i="1"/>
  <c r="A3837" i="1"/>
  <c r="C3837" i="1"/>
  <c r="E3837" i="1"/>
  <c r="F3837" i="1"/>
  <c r="G4201" i="1"/>
  <c r="H4201" i="1"/>
  <c r="D4201" i="1"/>
  <c r="A4201" i="1"/>
  <c r="C4201" i="1"/>
  <c r="E4201" i="1"/>
  <c r="F4201" i="1"/>
  <c r="G3836" i="1"/>
  <c r="H3836" i="1"/>
  <c r="D3836" i="1"/>
  <c r="A3836" i="1"/>
  <c r="C3836" i="1"/>
  <c r="E3836" i="1"/>
  <c r="F3836" i="1"/>
  <c r="G4711" i="1"/>
  <c r="H4711" i="1"/>
  <c r="D4711" i="1"/>
  <c r="A4711" i="1"/>
  <c r="C4711" i="1"/>
  <c r="E4711" i="1"/>
  <c r="F4711" i="1"/>
  <c r="G3843" i="1"/>
  <c r="H3843" i="1"/>
  <c r="D3843" i="1"/>
  <c r="A3843" i="1"/>
  <c r="C3843" i="1"/>
  <c r="E3843" i="1"/>
  <c r="F3843" i="1"/>
  <c r="G2134" i="1"/>
  <c r="H2134" i="1"/>
  <c r="D2134" i="1"/>
  <c r="A2134" i="1"/>
  <c r="C2134" i="1"/>
  <c r="E2134" i="1"/>
  <c r="F2134" i="1"/>
  <c r="G3851" i="1"/>
  <c r="H3851" i="1"/>
  <c r="D3851" i="1"/>
  <c r="A3851" i="1"/>
  <c r="C3851" i="1"/>
  <c r="E3851" i="1"/>
  <c r="F3851" i="1"/>
  <c r="G2239" i="1"/>
  <c r="H2239" i="1"/>
  <c r="D2239" i="1"/>
  <c r="A2239" i="1"/>
  <c r="C2239" i="1"/>
  <c r="E2239" i="1"/>
  <c r="F2239" i="1"/>
  <c r="G485" i="1"/>
  <c r="H485" i="1"/>
  <c r="D485" i="1"/>
  <c r="A485" i="1"/>
  <c r="C485" i="1"/>
  <c r="E485" i="1"/>
  <c r="F485" i="1"/>
  <c r="G3380" i="1"/>
  <c r="H3380" i="1"/>
  <c r="D3380" i="1"/>
  <c r="A3380" i="1"/>
  <c r="C3380" i="1"/>
  <c r="E3380" i="1"/>
  <c r="F3380" i="1"/>
  <c r="G536" i="1"/>
  <c r="H536" i="1"/>
  <c r="D536" i="1"/>
  <c r="A536" i="1"/>
  <c r="C536" i="1"/>
  <c r="E536" i="1"/>
  <c r="F536" i="1"/>
  <c r="G3716" i="1"/>
  <c r="H3716" i="1"/>
  <c r="D3716" i="1"/>
  <c r="A3716" i="1"/>
  <c r="C3716" i="1"/>
  <c r="E3716" i="1"/>
  <c r="F3716" i="1"/>
  <c r="G700" i="1"/>
  <c r="H700" i="1"/>
  <c r="D700" i="1"/>
  <c r="A700" i="1"/>
  <c r="C700" i="1"/>
  <c r="E700" i="1"/>
  <c r="F700" i="1"/>
  <c r="G3740" i="1"/>
  <c r="H3740" i="1"/>
  <c r="D3740" i="1"/>
  <c r="A3740" i="1"/>
  <c r="C3740" i="1"/>
  <c r="E3740" i="1"/>
  <c r="F3740" i="1"/>
  <c r="G4089" i="1"/>
  <c r="H4089" i="1"/>
  <c r="D4089" i="1"/>
  <c r="A4089" i="1"/>
  <c r="C4089" i="1"/>
  <c r="E4089" i="1"/>
  <c r="F4089" i="1"/>
  <c r="G224" i="1"/>
  <c r="H224" i="1"/>
  <c r="D224" i="1"/>
  <c r="A224" i="1"/>
  <c r="C224" i="1"/>
  <c r="E224" i="1"/>
  <c r="F224" i="1"/>
  <c r="G3822" i="1"/>
  <c r="H3822" i="1"/>
  <c r="D3822" i="1"/>
  <c r="A3822" i="1"/>
  <c r="C3822" i="1"/>
  <c r="E3822" i="1"/>
  <c r="F3822" i="1"/>
  <c r="G1562" i="1"/>
  <c r="H1562" i="1"/>
  <c r="D1562" i="1"/>
  <c r="A1562" i="1"/>
  <c r="C1562" i="1"/>
  <c r="E1562" i="1"/>
  <c r="F1562" i="1"/>
  <c r="G1379" i="1"/>
  <c r="H1379" i="1"/>
  <c r="D1379" i="1"/>
  <c r="A1379" i="1"/>
  <c r="C1379" i="1"/>
  <c r="E1379" i="1"/>
  <c r="F1379" i="1"/>
  <c r="G4541" i="1"/>
  <c r="H4541" i="1"/>
  <c r="D4541" i="1"/>
  <c r="A4541" i="1"/>
  <c r="C4541" i="1"/>
  <c r="E4541" i="1"/>
  <c r="F4541" i="1"/>
  <c r="G2588" i="1"/>
  <c r="H2588" i="1"/>
  <c r="D2588" i="1"/>
  <c r="A2588" i="1"/>
  <c r="C2588" i="1"/>
  <c r="E2588" i="1"/>
  <c r="F2588" i="1"/>
  <c r="G4542" i="1"/>
  <c r="H4542" i="1"/>
  <c r="D4542" i="1"/>
  <c r="A4542" i="1"/>
  <c r="C4542" i="1"/>
  <c r="E4542" i="1"/>
  <c r="F4542" i="1"/>
  <c r="G1061" i="1"/>
  <c r="H1061" i="1"/>
  <c r="D1061" i="1"/>
  <c r="A1061" i="1"/>
  <c r="C1061" i="1"/>
  <c r="E1061" i="1"/>
  <c r="F1061" i="1"/>
  <c r="G4547" i="1"/>
  <c r="H4547" i="1"/>
  <c r="D4547" i="1"/>
  <c r="A4547" i="1"/>
  <c r="C4547" i="1"/>
  <c r="E4547" i="1"/>
  <c r="F4547" i="1"/>
  <c r="G2331" i="1"/>
  <c r="H2331" i="1"/>
  <c r="D2331" i="1"/>
  <c r="A2331" i="1"/>
  <c r="C2331" i="1"/>
  <c r="E2331" i="1"/>
  <c r="F2331" i="1"/>
  <c r="G4549" i="1"/>
  <c r="H4549" i="1"/>
  <c r="D4549" i="1"/>
  <c r="A4549" i="1"/>
  <c r="C4549" i="1"/>
  <c r="E4549" i="1"/>
  <c r="F4549" i="1"/>
  <c r="G4550" i="1"/>
  <c r="H4550" i="1"/>
  <c r="D4550" i="1"/>
  <c r="A4550" i="1"/>
  <c r="C4550" i="1"/>
  <c r="E4550" i="1"/>
  <c r="F4550" i="1"/>
  <c r="G3894" i="1"/>
  <c r="H3894" i="1"/>
  <c r="D3894" i="1"/>
  <c r="A3894" i="1"/>
  <c r="C3894" i="1"/>
  <c r="E3894" i="1"/>
  <c r="F3894" i="1"/>
  <c r="G4554" i="1"/>
  <c r="H4554" i="1"/>
  <c r="D4554" i="1"/>
  <c r="A4554" i="1"/>
  <c r="C4554" i="1"/>
  <c r="E4554" i="1"/>
  <c r="F4554" i="1"/>
  <c r="G1556" i="1"/>
  <c r="H1556" i="1"/>
  <c r="D1556" i="1"/>
  <c r="A1556" i="1"/>
  <c r="C1556" i="1"/>
  <c r="E1556" i="1"/>
  <c r="F1556" i="1"/>
  <c r="G4555" i="1"/>
  <c r="H4555" i="1"/>
  <c r="D4555" i="1"/>
  <c r="A4555" i="1"/>
  <c r="C4555" i="1"/>
  <c r="E4555" i="1"/>
  <c r="F4555" i="1"/>
  <c r="G502" i="1"/>
  <c r="H502" i="1"/>
  <c r="D502" i="1"/>
  <c r="A502" i="1"/>
  <c r="C502" i="1"/>
  <c r="E502" i="1"/>
  <c r="F502" i="1"/>
  <c r="G3907" i="1"/>
  <c r="H3907" i="1"/>
  <c r="D3907" i="1"/>
  <c r="A3907" i="1"/>
  <c r="C3907" i="1"/>
  <c r="E3907" i="1"/>
  <c r="F3907" i="1"/>
  <c r="G4556" i="1"/>
  <c r="H4556" i="1"/>
  <c r="D4556" i="1"/>
  <c r="A4556" i="1"/>
  <c r="C4556" i="1"/>
  <c r="E4556" i="1"/>
  <c r="F4556" i="1"/>
  <c r="G5052" i="1"/>
  <c r="H5052" i="1"/>
  <c r="D5052" i="1"/>
  <c r="A5052" i="1"/>
  <c r="C5052" i="1"/>
  <c r="E5052" i="1"/>
  <c r="F5052" i="1"/>
  <c r="G835" i="1"/>
  <c r="H835" i="1"/>
  <c r="D835" i="1"/>
  <c r="A835" i="1"/>
  <c r="C835" i="1"/>
  <c r="E835" i="1"/>
  <c r="F835" i="1"/>
  <c r="G4565" i="1"/>
  <c r="H4565" i="1"/>
  <c r="D4565" i="1"/>
  <c r="A4565" i="1"/>
  <c r="C4565" i="1"/>
  <c r="E4565" i="1"/>
  <c r="F4565" i="1"/>
  <c r="G1374" i="1"/>
  <c r="H1374" i="1"/>
  <c r="D1374" i="1"/>
  <c r="A1374" i="1"/>
  <c r="C1374" i="1"/>
  <c r="E1374" i="1"/>
  <c r="F1374" i="1"/>
  <c r="G4567" i="1"/>
  <c r="H4567" i="1"/>
  <c r="D4567" i="1"/>
  <c r="A4567" i="1"/>
  <c r="C4567" i="1"/>
  <c r="E4567" i="1"/>
  <c r="F4567" i="1"/>
  <c r="G1430" i="1"/>
  <c r="H1430" i="1"/>
  <c r="D1430" i="1"/>
  <c r="A1430" i="1"/>
  <c r="C1430" i="1"/>
  <c r="E1430" i="1"/>
  <c r="F1430" i="1"/>
  <c r="G4579" i="1"/>
  <c r="H4579" i="1"/>
  <c r="D4579" i="1"/>
  <c r="A4579" i="1"/>
  <c r="C4579" i="1"/>
  <c r="E4579" i="1"/>
  <c r="F4579" i="1"/>
  <c r="G4582" i="1"/>
  <c r="H4582" i="1"/>
  <c r="D4582" i="1"/>
  <c r="A4582" i="1"/>
  <c r="C4582" i="1"/>
  <c r="E4582" i="1"/>
  <c r="F4582" i="1"/>
  <c r="G1760" i="1"/>
  <c r="H1760" i="1"/>
  <c r="D1760" i="1"/>
  <c r="A1760" i="1"/>
  <c r="C1760" i="1"/>
  <c r="E1760" i="1"/>
  <c r="F1760" i="1"/>
  <c r="G826" i="1"/>
  <c r="H826" i="1"/>
  <c r="D826" i="1"/>
  <c r="A826" i="1"/>
  <c r="C826" i="1"/>
  <c r="E826" i="1"/>
  <c r="F826" i="1"/>
  <c r="G4589" i="1"/>
  <c r="H4589" i="1"/>
  <c r="D4589" i="1"/>
  <c r="A4589" i="1"/>
  <c r="C4589" i="1"/>
  <c r="E4589" i="1"/>
  <c r="F4589" i="1"/>
  <c r="G3845" i="1"/>
  <c r="H3845" i="1"/>
  <c r="D3845" i="1"/>
  <c r="A3845" i="1"/>
  <c r="C3845" i="1"/>
  <c r="E3845" i="1"/>
  <c r="F3845" i="1"/>
  <c r="G533" i="1"/>
  <c r="H533" i="1"/>
  <c r="D533" i="1"/>
  <c r="A533" i="1"/>
  <c r="C533" i="1"/>
  <c r="E533" i="1"/>
  <c r="F533" i="1"/>
  <c r="G4592" i="1"/>
  <c r="H4592" i="1"/>
  <c r="D4592" i="1"/>
  <c r="A4592" i="1"/>
  <c r="C4592" i="1"/>
  <c r="E4592" i="1"/>
  <c r="F4592" i="1"/>
  <c r="G3856" i="1"/>
  <c r="H3856" i="1"/>
  <c r="D3856" i="1"/>
  <c r="A3856" i="1"/>
  <c r="C3856" i="1"/>
  <c r="E3856" i="1"/>
  <c r="F3856" i="1"/>
  <c r="G4694" i="1"/>
  <c r="H4694" i="1"/>
  <c r="D4694" i="1"/>
  <c r="A4694" i="1"/>
  <c r="C4694" i="1"/>
  <c r="E4694" i="1"/>
  <c r="F4694" i="1"/>
  <c r="G3859" i="1"/>
  <c r="H3859" i="1"/>
  <c r="D3859" i="1"/>
  <c r="A3859" i="1"/>
  <c r="C3859" i="1"/>
  <c r="E3859" i="1"/>
  <c r="F3859" i="1"/>
  <c r="G2542" i="1"/>
  <c r="H2542" i="1"/>
  <c r="D2542" i="1"/>
  <c r="A2542" i="1"/>
  <c r="C2542" i="1"/>
  <c r="E2542" i="1"/>
  <c r="F2542" i="1"/>
  <c r="G2348" i="1"/>
  <c r="H2348" i="1"/>
  <c r="D2348" i="1"/>
  <c r="A2348" i="1"/>
  <c r="C2348" i="1"/>
  <c r="E2348" i="1"/>
  <c r="F2348" i="1"/>
  <c r="G3860" i="1"/>
  <c r="H3860" i="1"/>
  <c r="D3860" i="1"/>
  <c r="A3860" i="1"/>
  <c r="C3860" i="1"/>
  <c r="E3860" i="1"/>
  <c r="F3860" i="1"/>
  <c r="G3558" i="1"/>
  <c r="H3558" i="1"/>
  <c r="D3558" i="1"/>
  <c r="A3558" i="1"/>
  <c r="C3558" i="1"/>
  <c r="E3558" i="1"/>
  <c r="F3558" i="1"/>
  <c r="G1320" i="1"/>
  <c r="H1320" i="1"/>
  <c r="D1320" i="1"/>
  <c r="A1320" i="1"/>
  <c r="C1320" i="1"/>
  <c r="E1320" i="1"/>
  <c r="F1320" i="1"/>
  <c r="G3871" i="1"/>
  <c r="H3871" i="1"/>
  <c r="D3871" i="1"/>
  <c r="A3871" i="1"/>
  <c r="C3871" i="1"/>
  <c r="E3871" i="1"/>
  <c r="F3871" i="1"/>
  <c r="G4521" i="1"/>
  <c r="H4521" i="1"/>
  <c r="D4521" i="1"/>
  <c r="A4521" i="1"/>
  <c r="C4521" i="1"/>
  <c r="E4521" i="1"/>
  <c r="F4521" i="1"/>
  <c r="G3865" i="1"/>
  <c r="H3865" i="1"/>
  <c r="D3865" i="1"/>
  <c r="A3865" i="1"/>
  <c r="C3865" i="1"/>
  <c r="E3865" i="1"/>
  <c r="F3865" i="1"/>
  <c r="G1235" i="1"/>
  <c r="H1235" i="1"/>
  <c r="D1235" i="1"/>
  <c r="A1235" i="1"/>
  <c r="C1235" i="1"/>
  <c r="E1235" i="1"/>
  <c r="F1235" i="1"/>
  <c r="G4725" i="1"/>
  <c r="H4725" i="1"/>
  <c r="D4725" i="1"/>
  <c r="A4725" i="1"/>
  <c r="C4725" i="1"/>
  <c r="E4725" i="1"/>
  <c r="F4725" i="1"/>
  <c r="G1403" i="1"/>
  <c r="H1403" i="1"/>
  <c r="D1403" i="1"/>
  <c r="A1403" i="1"/>
  <c r="C1403" i="1"/>
  <c r="E1403" i="1"/>
  <c r="F1403" i="1"/>
  <c r="G3868" i="1"/>
  <c r="H3868" i="1"/>
  <c r="D3868" i="1"/>
  <c r="A3868" i="1"/>
  <c r="C3868" i="1"/>
  <c r="E3868" i="1"/>
  <c r="F3868" i="1"/>
  <c r="G5079" i="1"/>
  <c r="H5079" i="1"/>
  <c r="D5079" i="1"/>
  <c r="A5079" i="1"/>
  <c r="C5079" i="1"/>
  <c r="E5079" i="1"/>
  <c r="F5079" i="1"/>
  <c r="G3874" i="1"/>
  <c r="H3874" i="1"/>
  <c r="D3874" i="1"/>
  <c r="A3874" i="1"/>
  <c r="C3874" i="1"/>
  <c r="E3874" i="1"/>
  <c r="F3874" i="1"/>
  <c r="G3879" i="1"/>
  <c r="H3879" i="1"/>
  <c r="D3879" i="1"/>
  <c r="A3879" i="1"/>
  <c r="C3879" i="1"/>
  <c r="E3879" i="1"/>
  <c r="F3879" i="1"/>
  <c r="G3881" i="1"/>
  <c r="H3881" i="1"/>
  <c r="D3881" i="1"/>
  <c r="A3881" i="1"/>
  <c r="C3881" i="1"/>
  <c r="E3881" i="1"/>
  <c r="F3881" i="1"/>
  <c r="G1658" i="1"/>
  <c r="H1658" i="1"/>
  <c r="D1658" i="1"/>
  <c r="A1658" i="1"/>
  <c r="C1658" i="1"/>
  <c r="E1658" i="1"/>
  <c r="F1658" i="1"/>
  <c r="G3887" i="1"/>
  <c r="H3887" i="1"/>
  <c r="D3887" i="1"/>
  <c r="A3887" i="1"/>
  <c r="C3887" i="1"/>
  <c r="E3887" i="1"/>
  <c r="F3887" i="1"/>
  <c r="G3574" i="1"/>
  <c r="H3574" i="1"/>
  <c r="D3574" i="1"/>
  <c r="A3574" i="1"/>
  <c r="C3574" i="1"/>
  <c r="E3574" i="1"/>
  <c r="F3574" i="1"/>
  <c r="G3888" i="1"/>
  <c r="H3888" i="1"/>
  <c r="D3888" i="1"/>
  <c r="A3888" i="1"/>
  <c r="C3888" i="1"/>
  <c r="E3888" i="1"/>
  <c r="F3888" i="1"/>
  <c r="G2959" i="1"/>
  <c r="H2959" i="1"/>
  <c r="D2959" i="1"/>
  <c r="A2959" i="1"/>
  <c r="C2959" i="1"/>
  <c r="E2959" i="1"/>
  <c r="F2959" i="1"/>
  <c r="G3892" i="1"/>
  <c r="H3892" i="1"/>
  <c r="D3892" i="1"/>
  <c r="A3892" i="1"/>
  <c r="C3892" i="1"/>
  <c r="E3892" i="1"/>
  <c r="F3892" i="1"/>
  <c r="G2601" i="1"/>
  <c r="H2601" i="1"/>
  <c r="D2601" i="1"/>
  <c r="A2601" i="1"/>
  <c r="C2601" i="1"/>
  <c r="E2601" i="1"/>
  <c r="F2601" i="1"/>
  <c r="G3897" i="1"/>
  <c r="H3897" i="1"/>
  <c r="D3897" i="1"/>
  <c r="A3897" i="1"/>
  <c r="C3897" i="1"/>
  <c r="E3897" i="1"/>
  <c r="F3897" i="1"/>
  <c r="G1381" i="1"/>
  <c r="H1381" i="1"/>
  <c r="D1381" i="1"/>
  <c r="A1381" i="1"/>
  <c r="C1381" i="1"/>
  <c r="E1381" i="1"/>
  <c r="F1381" i="1"/>
  <c r="G2975" i="1"/>
  <c r="H2975" i="1"/>
  <c r="D2975" i="1"/>
  <c r="A2975" i="1"/>
  <c r="C2975" i="1"/>
  <c r="E2975" i="1"/>
  <c r="F2975" i="1"/>
  <c r="G3905" i="1"/>
  <c r="H3905" i="1"/>
  <c r="D3905" i="1"/>
  <c r="A3905" i="1"/>
  <c r="C3905" i="1"/>
  <c r="E3905" i="1"/>
  <c r="F3905" i="1"/>
  <c r="G3454" i="1"/>
  <c r="H3454" i="1"/>
  <c r="D3454" i="1"/>
  <c r="A3454" i="1"/>
  <c r="C3454" i="1"/>
  <c r="E3454" i="1"/>
  <c r="F3454" i="1"/>
  <c r="G3904" i="1"/>
  <c r="H3904" i="1"/>
  <c r="D3904" i="1"/>
  <c r="A3904" i="1"/>
  <c r="C3904" i="1"/>
  <c r="E3904" i="1"/>
  <c r="F3904" i="1"/>
  <c r="G3623" i="1"/>
  <c r="H3623" i="1"/>
  <c r="D3623" i="1"/>
  <c r="A3623" i="1"/>
  <c r="C3623" i="1"/>
  <c r="E3623" i="1"/>
  <c r="F3623" i="1"/>
  <c r="G3903" i="1"/>
  <c r="H3903" i="1"/>
  <c r="D3903" i="1"/>
  <c r="A3903" i="1"/>
  <c r="C3903" i="1"/>
  <c r="E3903" i="1"/>
  <c r="F3903" i="1"/>
  <c r="G3491" i="1"/>
  <c r="H3491" i="1"/>
  <c r="D3491" i="1"/>
  <c r="A3491" i="1"/>
  <c r="C3491" i="1"/>
  <c r="E3491" i="1"/>
  <c r="F3491" i="1"/>
  <c r="G656" i="1"/>
  <c r="H656" i="1"/>
  <c r="D656" i="1"/>
  <c r="A656" i="1"/>
  <c r="C656" i="1"/>
  <c r="E656" i="1"/>
  <c r="F656" i="1"/>
  <c r="G3150" i="1"/>
  <c r="H3150" i="1"/>
  <c r="D3150" i="1"/>
  <c r="A3150" i="1"/>
  <c r="C3150" i="1"/>
  <c r="E3150" i="1"/>
  <c r="F3150" i="1"/>
  <c r="G3909" i="1"/>
  <c r="H3909" i="1"/>
  <c r="D3909" i="1"/>
  <c r="A3909" i="1"/>
  <c r="C3909" i="1"/>
  <c r="E3909" i="1"/>
  <c r="F3909" i="1"/>
  <c r="G3575" i="1"/>
  <c r="H3575" i="1"/>
  <c r="D3575" i="1"/>
  <c r="A3575" i="1"/>
  <c r="C3575" i="1"/>
  <c r="E3575" i="1"/>
  <c r="F3575" i="1"/>
  <c r="G3917" i="1"/>
  <c r="H3917" i="1"/>
  <c r="D3917" i="1"/>
  <c r="A3917" i="1"/>
  <c r="C3917" i="1"/>
  <c r="E3917" i="1"/>
  <c r="F3917" i="1"/>
  <c r="G4340" i="1"/>
  <c r="H4340" i="1"/>
  <c r="D4340" i="1"/>
  <c r="A4340" i="1"/>
  <c r="C4340" i="1"/>
  <c r="E4340" i="1"/>
  <c r="F4340" i="1"/>
  <c r="G1764" i="1"/>
  <c r="H1764" i="1"/>
  <c r="D1764" i="1"/>
  <c r="A1764" i="1"/>
  <c r="C1764" i="1"/>
  <c r="E1764" i="1"/>
  <c r="F1764" i="1"/>
  <c r="G3919" i="1"/>
  <c r="H3919" i="1"/>
  <c r="D3919" i="1"/>
  <c r="A3919" i="1"/>
  <c r="C3919" i="1"/>
  <c r="E3919" i="1"/>
  <c r="F3919" i="1"/>
  <c r="G2967" i="1"/>
  <c r="H2967" i="1"/>
  <c r="D2967" i="1"/>
  <c r="A2967" i="1"/>
  <c r="C2967" i="1"/>
  <c r="E2967" i="1"/>
  <c r="F2967" i="1"/>
  <c r="G3924" i="1"/>
  <c r="H3924" i="1"/>
  <c r="D3924" i="1"/>
  <c r="A3924" i="1"/>
  <c r="C3924" i="1"/>
  <c r="E3924" i="1"/>
  <c r="F3924" i="1"/>
  <c r="G31" i="1"/>
  <c r="H31" i="1"/>
  <c r="D31" i="1"/>
  <c r="A31" i="1"/>
  <c r="C31" i="1"/>
  <c r="E31" i="1"/>
  <c r="F31" i="1"/>
  <c r="G2217" i="1"/>
  <c r="H2217" i="1"/>
  <c r="D2217" i="1"/>
  <c r="A2217" i="1"/>
  <c r="C2217" i="1"/>
  <c r="E2217" i="1"/>
  <c r="F2217" i="1"/>
  <c r="G2468" i="1"/>
  <c r="H2468" i="1"/>
  <c r="D2468" i="1"/>
  <c r="A2468" i="1"/>
  <c r="C2468" i="1"/>
  <c r="E2468" i="1"/>
  <c r="F2468" i="1"/>
  <c r="G3927" i="1"/>
  <c r="H3927" i="1"/>
  <c r="D3927" i="1"/>
  <c r="A3927" i="1"/>
  <c r="C3927" i="1"/>
  <c r="E3927" i="1"/>
  <c r="F3927" i="1"/>
  <c r="G4991" i="1"/>
  <c r="H4991" i="1"/>
  <c r="D4991" i="1"/>
  <c r="A4991" i="1"/>
  <c r="C4991" i="1"/>
  <c r="E4991" i="1"/>
  <c r="F4991" i="1"/>
  <c r="G3928" i="1"/>
  <c r="H3928" i="1"/>
  <c r="D3928" i="1"/>
  <c r="A3928" i="1"/>
  <c r="C3928" i="1"/>
  <c r="E3928" i="1"/>
  <c r="F3928" i="1"/>
  <c r="G4029" i="1"/>
  <c r="H4029" i="1"/>
  <c r="D4029" i="1"/>
  <c r="A4029" i="1"/>
  <c r="C4029" i="1"/>
  <c r="E4029" i="1"/>
  <c r="F4029" i="1"/>
  <c r="G3933" i="1"/>
  <c r="H3933" i="1"/>
  <c r="D3933" i="1"/>
  <c r="A3933" i="1"/>
  <c r="C3933" i="1"/>
  <c r="E3933" i="1"/>
  <c r="F3933" i="1"/>
  <c r="G4033" i="1"/>
  <c r="H4033" i="1"/>
  <c r="D4033" i="1"/>
  <c r="A4033" i="1"/>
  <c r="C4033" i="1"/>
  <c r="E4033" i="1"/>
  <c r="F4033" i="1"/>
  <c r="G3939" i="1"/>
  <c r="H3939" i="1"/>
  <c r="D3939" i="1"/>
  <c r="A3939" i="1"/>
  <c r="C3939" i="1"/>
  <c r="E3939" i="1"/>
  <c r="F3939" i="1"/>
  <c r="G4717" i="1"/>
  <c r="H4717" i="1"/>
  <c r="D4717" i="1"/>
  <c r="A4717" i="1"/>
  <c r="C4717" i="1"/>
  <c r="E4717" i="1"/>
  <c r="F4717" i="1"/>
  <c r="G310" i="1"/>
  <c r="H310" i="1"/>
  <c r="D310" i="1"/>
  <c r="A310" i="1"/>
  <c r="C310" i="1"/>
  <c r="E310" i="1"/>
  <c r="F310" i="1"/>
  <c r="G1159" i="1"/>
  <c r="H1159" i="1"/>
  <c r="D1159" i="1"/>
  <c r="A1159" i="1"/>
  <c r="C1159" i="1"/>
  <c r="E1159" i="1"/>
  <c r="F1159" i="1"/>
  <c r="G3942" i="1"/>
  <c r="H3942" i="1"/>
  <c r="D3942" i="1"/>
  <c r="A3942" i="1"/>
  <c r="C3942" i="1"/>
  <c r="E3942" i="1"/>
  <c r="F3942" i="1"/>
  <c r="G1405" i="1"/>
  <c r="H1405" i="1"/>
  <c r="D1405" i="1"/>
  <c r="A1405" i="1"/>
  <c r="C1405" i="1"/>
  <c r="E1405" i="1"/>
  <c r="F1405" i="1"/>
  <c r="G3946" i="1"/>
  <c r="H3946" i="1"/>
  <c r="D3946" i="1"/>
  <c r="A3946" i="1"/>
  <c r="C3946" i="1"/>
  <c r="E3946" i="1"/>
  <c r="F3946" i="1"/>
  <c r="G415" i="1"/>
  <c r="H415" i="1"/>
  <c r="D415" i="1"/>
  <c r="A415" i="1"/>
  <c r="C415" i="1"/>
  <c r="E415" i="1"/>
  <c r="F415" i="1"/>
  <c r="G3947" i="1"/>
  <c r="H3947" i="1"/>
  <c r="D3947" i="1"/>
  <c r="A3947" i="1"/>
  <c r="C3947" i="1"/>
  <c r="E3947" i="1"/>
  <c r="F3947" i="1"/>
  <c r="G3952" i="1"/>
  <c r="H3952" i="1"/>
  <c r="D3952" i="1"/>
  <c r="A3952" i="1"/>
  <c r="C3952" i="1"/>
  <c r="E3952" i="1"/>
  <c r="F3952" i="1"/>
  <c r="G2544" i="1"/>
  <c r="H2544" i="1"/>
  <c r="D2544" i="1"/>
  <c r="A2544" i="1"/>
  <c r="C2544" i="1"/>
  <c r="E2544" i="1"/>
  <c r="F2544" i="1"/>
  <c r="G3954" i="1"/>
  <c r="H3954" i="1"/>
  <c r="D3954" i="1"/>
  <c r="A3954" i="1"/>
  <c r="C3954" i="1"/>
  <c r="E3954" i="1"/>
  <c r="F3954" i="1"/>
  <c r="G2272" i="1"/>
  <c r="H2272" i="1"/>
  <c r="D2272" i="1"/>
  <c r="A2272" i="1"/>
  <c r="C2272" i="1"/>
  <c r="E2272" i="1"/>
  <c r="F2272" i="1"/>
  <c r="G3957" i="1"/>
  <c r="H3957" i="1"/>
  <c r="D3957" i="1"/>
  <c r="A3957" i="1"/>
  <c r="C3957" i="1"/>
  <c r="E3957" i="1"/>
  <c r="F3957" i="1"/>
  <c r="G188" i="1"/>
  <c r="H188" i="1"/>
  <c r="D188" i="1"/>
  <c r="A188" i="1"/>
  <c r="C188" i="1"/>
  <c r="E188" i="1"/>
  <c r="F188" i="1"/>
  <c r="G3964" i="1"/>
  <c r="H3964" i="1"/>
  <c r="D3964" i="1"/>
  <c r="A3964" i="1"/>
  <c r="C3964" i="1"/>
  <c r="E3964" i="1"/>
  <c r="F3964" i="1"/>
  <c r="G3012" i="1"/>
  <c r="H3012" i="1"/>
  <c r="D3012" i="1"/>
  <c r="A3012" i="1"/>
  <c r="C3012" i="1"/>
  <c r="E3012" i="1"/>
  <c r="F3012" i="1"/>
  <c r="G3963" i="1"/>
  <c r="H3963" i="1"/>
  <c r="D3963" i="1"/>
  <c r="A3963" i="1"/>
  <c r="C3963" i="1"/>
  <c r="E3963" i="1"/>
  <c r="F3963" i="1"/>
  <c r="G247" i="1"/>
  <c r="H247" i="1"/>
  <c r="D247" i="1"/>
  <c r="A247" i="1"/>
  <c r="C247" i="1"/>
  <c r="E247" i="1"/>
  <c r="F247" i="1"/>
  <c r="G3980" i="1"/>
  <c r="H3980" i="1"/>
  <c r="D3980" i="1"/>
  <c r="A3980" i="1"/>
  <c r="C3980" i="1"/>
  <c r="E3980" i="1"/>
  <c r="F3980" i="1"/>
  <c r="G4393" i="1"/>
  <c r="H4393" i="1"/>
  <c r="D4393" i="1"/>
  <c r="A4393" i="1"/>
  <c r="C4393" i="1"/>
  <c r="E4393" i="1"/>
  <c r="F4393" i="1"/>
  <c r="G3991" i="1"/>
  <c r="H3991" i="1"/>
  <c r="D3991" i="1"/>
  <c r="A3991" i="1"/>
  <c r="C3991" i="1"/>
  <c r="E3991" i="1"/>
  <c r="F3991" i="1"/>
  <c r="G3996" i="1"/>
  <c r="H3996" i="1"/>
  <c r="D3996" i="1"/>
  <c r="A3996" i="1"/>
  <c r="C3996" i="1"/>
  <c r="E3996" i="1"/>
  <c r="F3996" i="1"/>
  <c r="G4009" i="1"/>
  <c r="H4009" i="1"/>
  <c r="D4009" i="1"/>
  <c r="A4009" i="1"/>
  <c r="C4009" i="1"/>
  <c r="E4009" i="1"/>
  <c r="F4009" i="1"/>
  <c r="G271" i="1"/>
  <c r="H271" i="1"/>
  <c r="D271" i="1"/>
  <c r="A271" i="1"/>
  <c r="C271" i="1"/>
  <c r="E271" i="1"/>
  <c r="F271" i="1"/>
  <c r="G4025" i="1"/>
  <c r="H4025" i="1"/>
  <c r="D4025" i="1"/>
  <c r="A4025" i="1"/>
  <c r="C4025" i="1"/>
  <c r="E4025" i="1"/>
  <c r="F4025" i="1"/>
  <c r="G3224" i="1"/>
  <c r="H3224" i="1"/>
  <c r="D3224" i="1"/>
  <c r="A3224" i="1"/>
  <c r="C3224" i="1"/>
  <c r="E3224" i="1"/>
  <c r="F3224" i="1"/>
  <c r="G4027" i="1"/>
  <c r="H4027" i="1"/>
  <c r="D4027" i="1"/>
  <c r="A4027" i="1"/>
  <c r="C4027" i="1"/>
  <c r="E4027" i="1"/>
  <c r="F4027" i="1"/>
  <c r="G2328" i="1"/>
  <c r="H2328" i="1"/>
  <c r="D2328" i="1"/>
  <c r="A2328" i="1"/>
  <c r="C2328" i="1"/>
  <c r="E2328" i="1"/>
  <c r="F2328" i="1"/>
  <c r="G4020" i="1"/>
  <c r="H4020" i="1"/>
  <c r="D4020" i="1"/>
  <c r="A4020" i="1"/>
  <c r="C4020" i="1"/>
  <c r="E4020" i="1"/>
  <c r="F4020" i="1"/>
  <c r="G1909" i="1"/>
  <c r="H1909" i="1"/>
  <c r="D1909" i="1"/>
  <c r="A1909" i="1"/>
  <c r="C1909" i="1"/>
  <c r="E1909" i="1"/>
  <c r="F1909" i="1"/>
  <c r="G4391" i="1"/>
  <c r="H4391" i="1"/>
  <c r="D4391" i="1"/>
  <c r="A4391" i="1"/>
  <c r="C4391" i="1"/>
  <c r="E4391" i="1"/>
  <c r="F4391" i="1"/>
  <c r="G4039" i="1"/>
  <c r="H4039" i="1"/>
  <c r="D4039" i="1"/>
  <c r="A4039" i="1"/>
  <c r="C4039" i="1"/>
  <c r="E4039" i="1"/>
  <c r="F4039" i="1"/>
  <c r="G2980" i="1"/>
  <c r="H2980" i="1"/>
  <c r="D2980" i="1"/>
  <c r="A2980" i="1"/>
  <c r="C2980" i="1"/>
  <c r="E2980" i="1"/>
  <c r="F2980" i="1"/>
  <c r="G4042" i="1"/>
  <c r="H4042" i="1"/>
  <c r="D4042" i="1"/>
  <c r="A4042" i="1"/>
  <c r="C4042" i="1"/>
  <c r="E4042" i="1"/>
  <c r="F4042" i="1"/>
  <c r="G49" i="1"/>
  <c r="H49" i="1"/>
  <c r="D49" i="1"/>
  <c r="A49" i="1"/>
  <c r="C49" i="1"/>
  <c r="E49" i="1"/>
  <c r="F49" i="1"/>
  <c r="G4059" i="1"/>
  <c r="H4059" i="1"/>
  <c r="D4059" i="1"/>
  <c r="A4059" i="1"/>
  <c r="C4059" i="1"/>
  <c r="E4059" i="1"/>
  <c r="F4059" i="1"/>
  <c r="G2704" i="1"/>
  <c r="H2704" i="1"/>
  <c r="D2704" i="1"/>
  <c r="A2704" i="1"/>
  <c r="C2704" i="1"/>
  <c r="E2704" i="1"/>
  <c r="F2704" i="1"/>
  <c r="G4990" i="1"/>
  <c r="H4990" i="1"/>
  <c r="D4990" i="1"/>
  <c r="A4990" i="1"/>
  <c r="C4990" i="1"/>
  <c r="E4990" i="1"/>
  <c r="F4990" i="1"/>
  <c r="G4068" i="1"/>
  <c r="H4068" i="1"/>
  <c r="D4068" i="1"/>
  <c r="A4068" i="1"/>
  <c r="C4068" i="1"/>
  <c r="E4068" i="1"/>
  <c r="F4068" i="1"/>
  <c r="G1546" i="1"/>
  <c r="H1546" i="1"/>
  <c r="D1546" i="1"/>
  <c r="A1546" i="1"/>
  <c r="C1546" i="1"/>
  <c r="E1546" i="1"/>
  <c r="F1546" i="1"/>
  <c r="G4075" i="1"/>
  <c r="H4075" i="1"/>
  <c r="D4075" i="1"/>
  <c r="A4075" i="1"/>
  <c r="C4075" i="1"/>
  <c r="E4075" i="1"/>
  <c r="F4075" i="1"/>
  <c r="G4078" i="1"/>
  <c r="H4078" i="1"/>
  <c r="D4078" i="1"/>
  <c r="A4078" i="1"/>
  <c r="C4078" i="1"/>
  <c r="E4078" i="1"/>
  <c r="F4078" i="1"/>
  <c r="G805" i="1"/>
  <c r="H805" i="1"/>
  <c r="D805" i="1"/>
  <c r="A805" i="1"/>
  <c r="C805" i="1"/>
  <c r="E805" i="1"/>
  <c r="F805" i="1"/>
  <c r="G4079" i="1"/>
  <c r="H4079" i="1"/>
  <c r="D4079" i="1"/>
  <c r="A4079" i="1"/>
  <c r="C4079" i="1"/>
  <c r="E4079" i="1"/>
  <c r="F4079" i="1"/>
  <c r="G3787" i="1"/>
  <c r="H3787" i="1"/>
  <c r="D3787" i="1"/>
  <c r="A3787" i="1"/>
  <c r="C3787" i="1"/>
  <c r="E3787" i="1"/>
  <c r="F3787" i="1"/>
  <c r="G4087" i="1"/>
  <c r="H4087" i="1"/>
  <c r="D4087" i="1"/>
  <c r="A4087" i="1"/>
  <c r="C4087" i="1"/>
  <c r="E4087" i="1"/>
  <c r="F4087" i="1"/>
  <c r="G2561" i="1"/>
  <c r="H2561" i="1"/>
  <c r="D2561" i="1"/>
  <c r="A2561" i="1"/>
  <c r="C2561" i="1"/>
  <c r="E2561" i="1"/>
  <c r="F2561" i="1"/>
  <c r="G4090" i="1"/>
  <c r="H4090" i="1"/>
  <c r="D4090" i="1"/>
  <c r="A4090" i="1"/>
  <c r="C4090" i="1"/>
  <c r="E4090" i="1"/>
  <c r="F4090" i="1"/>
  <c r="G340" i="1"/>
  <c r="H340" i="1"/>
  <c r="D340" i="1"/>
  <c r="A340" i="1"/>
  <c r="C340" i="1"/>
  <c r="E340" i="1"/>
  <c r="F340" i="1"/>
  <c r="G4093" i="1"/>
  <c r="H4093" i="1"/>
  <c r="D4093" i="1"/>
  <c r="A4093" i="1"/>
  <c r="C4093" i="1"/>
  <c r="E4093" i="1"/>
  <c r="F4093" i="1"/>
  <c r="G2676" i="1"/>
  <c r="H2676" i="1"/>
  <c r="D2676" i="1"/>
  <c r="A2676" i="1"/>
  <c r="C2676" i="1"/>
  <c r="E2676" i="1"/>
  <c r="F2676" i="1"/>
  <c r="G4094" i="1"/>
  <c r="H4094" i="1"/>
  <c r="D4094" i="1"/>
  <c r="A4094" i="1"/>
  <c r="C4094" i="1"/>
  <c r="E4094" i="1"/>
  <c r="F4094" i="1"/>
  <c r="G4600" i="1"/>
  <c r="H4600" i="1"/>
  <c r="D4600" i="1"/>
  <c r="A4600" i="1"/>
  <c r="C4600" i="1"/>
  <c r="E4600" i="1"/>
  <c r="F4600" i="1"/>
  <c r="G4091" i="1"/>
  <c r="H4091" i="1"/>
  <c r="D4091" i="1"/>
  <c r="A4091" i="1"/>
  <c r="C4091" i="1"/>
  <c r="E4091" i="1"/>
  <c r="F4091" i="1"/>
  <c r="G4634" i="1"/>
  <c r="H4634" i="1"/>
  <c r="D4634" i="1"/>
  <c r="A4634" i="1"/>
  <c r="C4634" i="1"/>
  <c r="E4634" i="1"/>
  <c r="F4634" i="1"/>
  <c r="G4092" i="1"/>
  <c r="H4092" i="1"/>
  <c r="D4092" i="1"/>
  <c r="A4092" i="1"/>
  <c r="C4092" i="1"/>
  <c r="E4092" i="1"/>
  <c r="F4092" i="1"/>
  <c r="G4820" i="1"/>
  <c r="H4820" i="1"/>
  <c r="D4820" i="1"/>
  <c r="A4820" i="1"/>
  <c r="C4820" i="1"/>
  <c r="E4820" i="1"/>
  <c r="F4820" i="1"/>
  <c r="G4096" i="1"/>
  <c r="H4096" i="1"/>
  <c r="D4096" i="1"/>
  <c r="A4096" i="1"/>
  <c r="C4096" i="1"/>
  <c r="E4096" i="1"/>
  <c r="F4096" i="1"/>
  <c r="G2619" i="1"/>
  <c r="H2619" i="1"/>
  <c r="D2619" i="1"/>
  <c r="A2619" i="1"/>
  <c r="C2619" i="1"/>
  <c r="E2619" i="1"/>
  <c r="F2619" i="1"/>
  <c r="G4255" i="1"/>
  <c r="H4255" i="1"/>
  <c r="D4255" i="1"/>
  <c r="A4255" i="1"/>
  <c r="C4255" i="1"/>
  <c r="E4255" i="1"/>
  <c r="F4255" i="1"/>
  <c r="G3247" i="1"/>
  <c r="H3247" i="1"/>
  <c r="D3247" i="1"/>
  <c r="A3247" i="1"/>
  <c r="C3247" i="1"/>
  <c r="E3247" i="1"/>
  <c r="F3247" i="1"/>
  <c r="G4098" i="1"/>
  <c r="H4098" i="1"/>
  <c r="D4098" i="1"/>
  <c r="A4098" i="1"/>
  <c r="C4098" i="1"/>
  <c r="E4098" i="1"/>
  <c r="F4098" i="1"/>
  <c r="G1066" i="1"/>
  <c r="H1066" i="1"/>
  <c r="D1066" i="1"/>
  <c r="A1066" i="1"/>
  <c r="C1066" i="1"/>
  <c r="E1066" i="1"/>
  <c r="F1066" i="1"/>
  <c r="G1708" i="1"/>
  <c r="H1708" i="1"/>
  <c r="D1708" i="1"/>
  <c r="A1708" i="1"/>
  <c r="C1708" i="1"/>
  <c r="E1708" i="1"/>
  <c r="F1708" i="1"/>
  <c r="G4099" i="1"/>
  <c r="H4099" i="1"/>
  <c r="D4099" i="1"/>
  <c r="A4099" i="1"/>
  <c r="C4099" i="1"/>
  <c r="E4099" i="1"/>
  <c r="F4099" i="1"/>
  <c r="G3645" i="1"/>
  <c r="H3645" i="1"/>
  <c r="D3645" i="1"/>
  <c r="A3645" i="1"/>
  <c r="C3645" i="1"/>
  <c r="E3645" i="1"/>
  <c r="F3645" i="1"/>
  <c r="G4101" i="1"/>
  <c r="H4101" i="1"/>
  <c r="D4101" i="1"/>
  <c r="A4101" i="1"/>
  <c r="C4101" i="1"/>
  <c r="E4101" i="1"/>
  <c r="F4101" i="1"/>
  <c r="G4192" i="1"/>
  <c r="H4192" i="1"/>
  <c r="D4192" i="1"/>
  <c r="A4192" i="1"/>
  <c r="C4192" i="1"/>
  <c r="E4192" i="1"/>
  <c r="F4192" i="1"/>
  <c r="G4194" i="1"/>
  <c r="H4194" i="1"/>
  <c r="D4194" i="1"/>
  <c r="A4194" i="1"/>
  <c r="C4194" i="1"/>
  <c r="E4194" i="1"/>
  <c r="F4194" i="1"/>
  <c r="G4102" i="1"/>
  <c r="H4102" i="1"/>
  <c r="D4102" i="1"/>
  <c r="A4102" i="1"/>
  <c r="C4102" i="1"/>
  <c r="E4102" i="1"/>
  <c r="F4102" i="1"/>
  <c r="G5020" i="1"/>
  <c r="H5020" i="1"/>
  <c r="D5020" i="1"/>
  <c r="A5020" i="1"/>
  <c r="C5020" i="1"/>
  <c r="E5020" i="1"/>
  <c r="F5020" i="1"/>
  <c r="G4103" i="1"/>
  <c r="H4103" i="1"/>
  <c r="D4103" i="1"/>
  <c r="A4103" i="1"/>
  <c r="C4103" i="1"/>
  <c r="E4103" i="1"/>
  <c r="F4103" i="1"/>
  <c r="G2080" i="1"/>
  <c r="H2080" i="1"/>
  <c r="D2080" i="1"/>
  <c r="A2080" i="1"/>
  <c r="C2080" i="1"/>
  <c r="E2080" i="1"/>
  <c r="F2080" i="1"/>
  <c r="G4104" i="1"/>
  <c r="H4104" i="1"/>
  <c r="D4104" i="1"/>
  <c r="A4104" i="1"/>
  <c r="C4104" i="1"/>
  <c r="E4104" i="1"/>
  <c r="F4104" i="1"/>
  <c r="G4673" i="1"/>
  <c r="H4673" i="1"/>
  <c r="D4673" i="1"/>
  <c r="A4673" i="1"/>
  <c r="C4673" i="1"/>
  <c r="E4673" i="1"/>
  <c r="F4673" i="1"/>
  <c r="G4105" i="1"/>
  <c r="H4105" i="1"/>
  <c r="D4105" i="1"/>
  <c r="A4105" i="1"/>
  <c r="C4105" i="1"/>
  <c r="E4105" i="1"/>
  <c r="F4105" i="1"/>
  <c r="G5084" i="1"/>
  <c r="H5084" i="1"/>
  <c r="D5084" i="1"/>
  <c r="A5084" i="1"/>
  <c r="C5084" i="1"/>
  <c r="E5084" i="1"/>
  <c r="F5084" i="1"/>
  <c r="G4109" i="1"/>
  <c r="H4109" i="1"/>
  <c r="D4109" i="1"/>
  <c r="A4109" i="1"/>
  <c r="C4109" i="1"/>
  <c r="E4109" i="1"/>
  <c r="F4109" i="1"/>
  <c r="G4905" i="1"/>
  <c r="H4905" i="1"/>
  <c r="D4905" i="1"/>
  <c r="A4905" i="1"/>
  <c r="C4905" i="1"/>
  <c r="E4905" i="1"/>
  <c r="F4905" i="1"/>
  <c r="G4108" i="1"/>
  <c r="H4108" i="1"/>
  <c r="D4108" i="1"/>
  <c r="A4108" i="1"/>
  <c r="C4108" i="1"/>
  <c r="E4108" i="1"/>
  <c r="F4108" i="1"/>
  <c r="G3443" i="1"/>
  <c r="H3443" i="1"/>
  <c r="D3443" i="1"/>
  <c r="A3443" i="1"/>
  <c r="C3443" i="1"/>
  <c r="E3443" i="1"/>
  <c r="F3443" i="1"/>
  <c r="G3962" i="1"/>
  <c r="H3962" i="1"/>
  <c r="D3962" i="1"/>
  <c r="A3962" i="1"/>
  <c r="C3962" i="1"/>
  <c r="E3962" i="1"/>
  <c r="F3962" i="1"/>
  <c r="G2767" i="1"/>
  <c r="H2767" i="1"/>
  <c r="D2767" i="1"/>
  <c r="A2767" i="1"/>
  <c r="C2767" i="1"/>
  <c r="E2767" i="1"/>
  <c r="F2767" i="1"/>
  <c r="G4110" i="1"/>
  <c r="H4110" i="1"/>
  <c r="D4110" i="1"/>
  <c r="A4110" i="1"/>
  <c r="C4110" i="1"/>
  <c r="E4110" i="1"/>
  <c r="F4110" i="1"/>
  <c r="G3608" i="1"/>
  <c r="H3608" i="1"/>
  <c r="D3608" i="1"/>
  <c r="A3608" i="1"/>
  <c r="C3608" i="1"/>
  <c r="E3608" i="1"/>
  <c r="F3608" i="1"/>
  <c r="G5018" i="1"/>
  <c r="H5018" i="1"/>
  <c r="D5018" i="1"/>
  <c r="A5018" i="1"/>
  <c r="C5018" i="1"/>
  <c r="E5018" i="1"/>
  <c r="F5018" i="1"/>
  <c r="G4113" i="1"/>
  <c r="H4113" i="1"/>
  <c r="D4113" i="1"/>
  <c r="A4113" i="1"/>
  <c r="C4113" i="1"/>
  <c r="E4113" i="1"/>
  <c r="F4113" i="1"/>
  <c r="G130" i="1"/>
  <c r="H130" i="1"/>
  <c r="D130" i="1"/>
  <c r="A130" i="1"/>
  <c r="C130" i="1"/>
  <c r="E130" i="1"/>
  <c r="F130" i="1"/>
  <c r="G4115" i="1"/>
  <c r="H4115" i="1"/>
  <c r="D4115" i="1"/>
  <c r="A4115" i="1"/>
  <c r="C4115" i="1"/>
  <c r="E4115" i="1"/>
  <c r="F4115" i="1"/>
  <c r="G3847" i="1"/>
  <c r="H3847" i="1"/>
  <c r="D3847" i="1"/>
  <c r="A3847" i="1"/>
  <c r="C3847" i="1"/>
  <c r="E3847" i="1"/>
  <c r="F3847" i="1"/>
  <c r="G4116" i="1"/>
  <c r="H4116" i="1"/>
  <c r="D4116" i="1"/>
  <c r="A4116" i="1"/>
  <c r="C4116" i="1"/>
  <c r="E4116" i="1"/>
  <c r="F4116" i="1"/>
  <c r="G79" i="1"/>
  <c r="H79" i="1"/>
  <c r="D79" i="1"/>
  <c r="A79" i="1"/>
  <c r="C79" i="1"/>
  <c r="E79" i="1"/>
  <c r="F79" i="1"/>
  <c r="G4290" i="1"/>
  <c r="H4290" i="1"/>
  <c r="D4290" i="1"/>
  <c r="A4290" i="1"/>
  <c r="C4290" i="1"/>
  <c r="E4290" i="1"/>
  <c r="F4290" i="1"/>
  <c r="G4117" i="1"/>
  <c r="H4117" i="1"/>
  <c r="D4117" i="1"/>
  <c r="A4117" i="1"/>
  <c r="C4117" i="1"/>
  <c r="E4117" i="1"/>
  <c r="F4117" i="1"/>
  <c r="G2642" i="1"/>
  <c r="H2642" i="1"/>
  <c r="D2642" i="1"/>
  <c r="A2642" i="1"/>
  <c r="C2642" i="1"/>
  <c r="E2642" i="1"/>
  <c r="F2642" i="1"/>
  <c r="G4118" i="1"/>
  <c r="H4118" i="1"/>
  <c r="D4118" i="1"/>
  <c r="A4118" i="1"/>
  <c r="C4118" i="1"/>
  <c r="E4118" i="1"/>
  <c r="F4118" i="1"/>
  <c r="G4243" i="1"/>
  <c r="H4243" i="1"/>
  <c r="D4243" i="1"/>
  <c r="A4243" i="1"/>
  <c r="C4243" i="1"/>
  <c r="E4243" i="1"/>
  <c r="F4243" i="1"/>
  <c r="G4140" i="1"/>
  <c r="H4140" i="1"/>
  <c r="D4140" i="1"/>
  <c r="A4140" i="1"/>
  <c r="C4140" i="1"/>
  <c r="E4140" i="1"/>
  <c r="F4140" i="1"/>
  <c r="G4141" i="1"/>
  <c r="H4141" i="1"/>
  <c r="D4141" i="1"/>
  <c r="A4141" i="1"/>
  <c r="C4141" i="1"/>
  <c r="E4141" i="1"/>
  <c r="F4141" i="1"/>
  <c r="G1882" i="1"/>
  <c r="H1882" i="1"/>
  <c r="D1882" i="1"/>
  <c r="A1882" i="1"/>
  <c r="C1882" i="1"/>
  <c r="E1882" i="1"/>
  <c r="F1882" i="1"/>
  <c r="G1889" i="1"/>
  <c r="H1889" i="1"/>
  <c r="D1889" i="1"/>
  <c r="A1889" i="1"/>
  <c r="C1889" i="1"/>
  <c r="E1889" i="1"/>
  <c r="F1889" i="1"/>
  <c r="G701" i="1"/>
  <c r="H701" i="1"/>
  <c r="D701" i="1"/>
  <c r="A701" i="1"/>
  <c r="C701" i="1"/>
  <c r="E701" i="1"/>
  <c r="F701" i="1"/>
  <c r="G484" i="1"/>
  <c r="H484" i="1"/>
  <c r="D484" i="1"/>
  <c r="A484" i="1"/>
  <c r="C484" i="1"/>
  <c r="E484" i="1"/>
  <c r="F484" i="1"/>
  <c r="G4146" i="1"/>
  <c r="H4146" i="1"/>
  <c r="D4146" i="1"/>
  <c r="A4146" i="1"/>
  <c r="C4146" i="1"/>
  <c r="E4146" i="1"/>
  <c r="F4146" i="1"/>
  <c r="G897" i="1"/>
  <c r="H897" i="1"/>
  <c r="D897" i="1"/>
  <c r="A897" i="1"/>
  <c r="C897" i="1"/>
  <c r="E897" i="1"/>
  <c r="F897" i="1"/>
  <c r="G2295" i="1"/>
  <c r="H2295" i="1"/>
  <c r="D2295" i="1"/>
  <c r="A2295" i="1"/>
  <c r="C2295" i="1"/>
  <c r="E2295" i="1"/>
  <c r="F2295" i="1"/>
  <c r="G3353" i="1"/>
  <c r="H3353" i="1"/>
  <c r="D3353" i="1"/>
  <c r="A3353" i="1"/>
  <c r="C3353" i="1"/>
  <c r="E3353" i="1"/>
  <c r="F3353" i="1"/>
  <c r="G4605" i="1"/>
  <c r="H4605" i="1"/>
  <c r="D4605" i="1"/>
  <c r="A4605" i="1"/>
  <c r="C4605" i="1"/>
  <c r="E4605" i="1"/>
  <c r="F4605" i="1"/>
  <c r="G279" i="1"/>
  <c r="H279" i="1"/>
  <c r="D279" i="1"/>
  <c r="A279" i="1"/>
  <c r="C279" i="1"/>
  <c r="E279" i="1"/>
  <c r="F279" i="1"/>
  <c r="G4606" i="1"/>
  <c r="H4606" i="1"/>
  <c r="D4606" i="1"/>
  <c r="A4606" i="1"/>
  <c r="C4606" i="1"/>
  <c r="E4606" i="1"/>
  <c r="F4606" i="1"/>
  <c r="G2073" i="1"/>
  <c r="H2073" i="1"/>
  <c r="D2073" i="1"/>
  <c r="A2073" i="1"/>
  <c r="C2073" i="1"/>
  <c r="E2073" i="1"/>
  <c r="F2073" i="1"/>
  <c r="G4610" i="1"/>
  <c r="H4610" i="1"/>
  <c r="D4610" i="1"/>
  <c r="A4610" i="1"/>
  <c r="C4610" i="1"/>
  <c r="E4610" i="1"/>
  <c r="F4610" i="1"/>
  <c r="G3720" i="1"/>
  <c r="H3720" i="1"/>
  <c r="D3720" i="1"/>
  <c r="A3720" i="1"/>
  <c r="C3720" i="1"/>
  <c r="E3720" i="1"/>
  <c r="F3720" i="1"/>
  <c r="G4496" i="1"/>
  <c r="H4496" i="1"/>
  <c r="D4496" i="1"/>
  <c r="A4496" i="1"/>
  <c r="C4496" i="1"/>
  <c r="E4496" i="1"/>
  <c r="F4496" i="1"/>
  <c r="G4628" i="1"/>
  <c r="H4628" i="1"/>
  <c r="D4628" i="1"/>
  <c r="A4628" i="1"/>
  <c r="C4628" i="1"/>
  <c r="E4628" i="1"/>
  <c r="F4628" i="1"/>
  <c r="G2263" i="1"/>
  <c r="H2263" i="1"/>
  <c r="D2263" i="1"/>
  <c r="A2263" i="1"/>
  <c r="C2263" i="1"/>
  <c r="E2263" i="1"/>
  <c r="F2263" i="1"/>
  <c r="G4629" i="1"/>
  <c r="H4629" i="1"/>
  <c r="D4629" i="1"/>
  <c r="A4629" i="1"/>
  <c r="C4629" i="1"/>
  <c r="E4629" i="1"/>
  <c r="F4629" i="1"/>
  <c r="G4160" i="1"/>
  <c r="H4160" i="1"/>
  <c r="D4160" i="1"/>
  <c r="A4160" i="1"/>
  <c r="C4160" i="1"/>
  <c r="E4160" i="1"/>
  <c r="F4160" i="1"/>
  <c r="G4627" i="1"/>
  <c r="H4627" i="1"/>
  <c r="D4627" i="1"/>
  <c r="A4627" i="1"/>
  <c r="C4627" i="1"/>
  <c r="E4627" i="1"/>
  <c r="F4627" i="1"/>
  <c r="G48" i="1"/>
  <c r="H48" i="1"/>
  <c r="D48" i="1"/>
  <c r="A48" i="1"/>
  <c r="C48" i="1"/>
  <c r="E48" i="1"/>
  <c r="F48" i="1"/>
  <c r="G3915" i="1"/>
  <c r="H3915" i="1"/>
  <c r="D3915" i="1"/>
  <c r="A3915" i="1"/>
  <c r="C3915" i="1"/>
  <c r="E3915" i="1"/>
  <c r="F3915" i="1"/>
  <c r="G4641" i="1"/>
  <c r="H4641" i="1"/>
  <c r="D4641" i="1"/>
  <c r="A4641" i="1"/>
  <c r="C4641" i="1"/>
  <c r="E4641" i="1"/>
  <c r="F4641" i="1"/>
  <c r="G4967" i="1"/>
  <c r="H4967" i="1"/>
  <c r="D4967" i="1"/>
  <c r="A4967" i="1"/>
  <c r="C4967" i="1"/>
  <c r="E4967" i="1"/>
  <c r="F4967" i="1"/>
  <c r="G4658" i="1"/>
  <c r="H4658" i="1"/>
  <c r="D4658" i="1"/>
  <c r="A4658" i="1"/>
  <c r="C4658" i="1"/>
  <c r="E4658" i="1"/>
  <c r="F4658" i="1"/>
  <c r="G829" i="1"/>
  <c r="H829" i="1"/>
  <c r="D829" i="1"/>
  <c r="A829" i="1"/>
  <c r="C829" i="1"/>
  <c r="E829" i="1"/>
  <c r="F829" i="1"/>
  <c r="G269" i="1"/>
  <c r="H269" i="1"/>
  <c r="D269" i="1"/>
  <c r="A269" i="1"/>
  <c r="C269" i="1"/>
  <c r="E269" i="1"/>
  <c r="F269" i="1"/>
  <c r="G4680" i="1"/>
  <c r="H4680" i="1"/>
  <c r="D4680" i="1"/>
  <c r="A4680" i="1"/>
  <c r="C4680" i="1"/>
  <c r="E4680" i="1"/>
  <c r="F4680" i="1"/>
  <c r="G4534" i="1"/>
  <c r="H4534" i="1"/>
  <c r="D4534" i="1"/>
  <c r="A4534" i="1"/>
  <c r="C4534" i="1"/>
  <c r="E4534" i="1"/>
  <c r="F4534" i="1"/>
  <c r="G4681" i="1"/>
  <c r="H4681" i="1"/>
  <c r="D4681" i="1"/>
  <c r="A4681" i="1"/>
  <c r="C4681" i="1"/>
  <c r="E4681" i="1"/>
  <c r="F4681" i="1"/>
  <c r="G529" i="1"/>
  <c r="H529" i="1"/>
  <c r="D529" i="1"/>
  <c r="A529" i="1"/>
  <c r="C529" i="1"/>
  <c r="E529" i="1"/>
  <c r="F529" i="1"/>
  <c r="G4683" i="1"/>
  <c r="H4683" i="1"/>
  <c r="D4683" i="1"/>
  <c r="A4683" i="1"/>
  <c r="C4683" i="1"/>
  <c r="E4683" i="1"/>
  <c r="F4683" i="1"/>
  <c r="G272" i="1"/>
  <c r="H272" i="1"/>
  <c r="D272" i="1"/>
  <c r="A272" i="1"/>
  <c r="C272" i="1"/>
  <c r="E272" i="1"/>
  <c r="F272" i="1"/>
  <c r="G4686" i="1"/>
  <c r="H4686" i="1"/>
  <c r="D4686" i="1"/>
  <c r="A4686" i="1"/>
  <c r="C4686" i="1"/>
  <c r="E4686" i="1"/>
  <c r="F4686" i="1"/>
  <c r="G1284" i="1"/>
  <c r="H1284" i="1"/>
  <c r="D1284" i="1"/>
  <c r="A1284" i="1"/>
  <c r="C1284" i="1"/>
  <c r="E1284" i="1"/>
  <c r="F1284" i="1"/>
  <c r="G4688" i="1"/>
  <c r="H4688" i="1"/>
  <c r="D4688" i="1"/>
  <c r="A4688" i="1"/>
  <c r="C4688" i="1"/>
  <c r="E4688" i="1"/>
  <c r="F4688" i="1"/>
  <c r="G1067" i="1"/>
  <c r="H1067" i="1"/>
  <c r="D1067" i="1"/>
  <c r="A1067" i="1"/>
  <c r="C1067" i="1"/>
  <c r="E1067" i="1"/>
  <c r="F1067" i="1"/>
  <c r="G4695" i="1"/>
  <c r="H4695" i="1"/>
  <c r="D4695" i="1"/>
  <c r="A4695" i="1"/>
  <c r="C4695" i="1"/>
  <c r="E4695" i="1"/>
  <c r="F4695" i="1"/>
  <c r="G4710" i="1"/>
  <c r="H4710" i="1"/>
  <c r="D4710" i="1"/>
  <c r="A4710" i="1"/>
  <c r="C4710" i="1"/>
  <c r="E4710" i="1"/>
  <c r="F4710" i="1"/>
  <c r="G1068" i="1"/>
  <c r="H1068" i="1"/>
  <c r="D1068" i="1"/>
  <c r="A1068" i="1"/>
  <c r="C1068" i="1"/>
  <c r="E1068" i="1"/>
  <c r="F1068" i="1"/>
  <c r="G4721" i="1"/>
  <c r="H4721" i="1"/>
  <c r="D4721" i="1"/>
  <c r="A4721" i="1"/>
  <c r="C4721" i="1"/>
  <c r="E4721" i="1"/>
  <c r="F4721" i="1"/>
  <c r="G1071" i="1"/>
  <c r="H1071" i="1"/>
  <c r="D1071" i="1"/>
  <c r="A1071" i="1"/>
  <c r="C1071" i="1"/>
  <c r="E1071" i="1"/>
  <c r="F1071" i="1"/>
  <c r="G1075" i="1"/>
  <c r="H1075" i="1"/>
  <c r="D1075" i="1"/>
  <c r="A1075" i="1"/>
  <c r="C1075" i="1"/>
  <c r="E1075" i="1"/>
  <c r="F1075" i="1"/>
  <c r="G4723" i="1"/>
  <c r="H4723" i="1"/>
  <c r="D4723" i="1"/>
  <c r="A4723" i="1"/>
  <c r="C4723" i="1"/>
  <c r="E4723" i="1"/>
  <c r="F4723" i="1"/>
  <c r="G1083" i="1"/>
  <c r="H1083" i="1"/>
  <c r="D1083" i="1"/>
  <c r="A1083" i="1"/>
  <c r="C1083" i="1"/>
  <c r="E1083" i="1"/>
  <c r="F1083" i="1"/>
  <c r="G4727" i="1"/>
  <c r="H4727" i="1"/>
  <c r="D4727" i="1"/>
  <c r="A4727" i="1"/>
  <c r="C4727" i="1"/>
  <c r="E4727" i="1"/>
  <c r="F4727" i="1"/>
  <c r="G1102" i="1"/>
  <c r="H1102" i="1"/>
  <c r="D1102" i="1"/>
  <c r="A1102" i="1"/>
  <c r="C1102" i="1"/>
  <c r="E1102" i="1"/>
  <c r="F1102" i="1"/>
  <c r="G4735" i="1"/>
  <c r="H4735" i="1"/>
  <c r="D4735" i="1"/>
  <c r="A4735" i="1"/>
  <c r="C4735" i="1"/>
  <c r="E4735" i="1"/>
  <c r="F4735" i="1"/>
  <c r="G1095" i="1"/>
  <c r="H1095" i="1"/>
  <c r="D1095" i="1"/>
  <c r="A1095" i="1"/>
  <c r="C1095" i="1"/>
  <c r="E1095" i="1"/>
  <c r="F1095" i="1"/>
  <c r="G1096" i="1"/>
  <c r="H1096" i="1"/>
  <c r="D1096" i="1"/>
  <c r="A1096" i="1"/>
  <c r="C1096" i="1"/>
  <c r="E1096" i="1"/>
  <c r="F1096" i="1"/>
  <c r="G4741" i="1"/>
  <c r="H4741" i="1"/>
  <c r="D4741" i="1"/>
  <c r="A4741" i="1"/>
  <c r="C4741" i="1"/>
  <c r="E4741" i="1"/>
  <c r="F4741" i="1"/>
  <c r="G1097" i="1"/>
  <c r="H1097" i="1"/>
  <c r="D1097" i="1"/>
  <c r="A1097" i="1"/>
  <c r="C1097" i="1"/>
  <c r="E1097" i="1"/>
  <c r="F1097" i="1"/>
  <c r="G1106" i="1"/>
  <c r="H1106" i="1"/>
  <c r="D1106" i="1"/>
  <c r="A1106" i="1"/>
  <c r="C1106" i="1"/>
  <c r="E1106" i="1"/>
  <c r="F1106" i="1"/>
  <c r="G4747" i="1"/>
  <c r="H4747" i="1"/>
  <c r="D4747" i="1"/>
  <c r="A4747" i="1"/>
  <c r="C4747" i="1"/>
  <c r="E4747" i="1"/>
  <c r="F4747" i="1"/>
  <c r="G1107" i="1"/>
  <c r="H1107" i="1"/>
  <c r="D1107" i="1"/>
  <c r="A1107" i="1"/>
  <c r="C1107" i="1"/>
  <c r="E1107" i="1"/>
  <c r="F1107" i="1"/>
  <c r="G4749" i="1"/>
  <c r="H4749" i="1"/>
  <c r="D4749" i="1"/>
  <c r="A4749" i="1"/>
  <c r="C4749" i="1"/>
  <c r="E4749" i="1"/>
  <c r="F4749" i="1"/>
  <c r="G1109" i="1"/>
  <c r="H1109" i="1"/>
  <c r="D1109" i="1"/>
  <c r="A1109" i="1"/>
  <c r="C1109" i="1"/>
  <c r="E1109" i="1"/>
  <c r="F1109" i="1"/>
  <c r="G1120" i="1"/>
  <c r="H1120" i="1"/>
  <c r="D1120" i="1"/>
  <c r="A1120" i="1"/>
  <c r="C1120" i="1"/>
  <c r="E1120" i="1"/>
  <c r="F1120" i="1"/>
  <c r="G4757" i="1"/>
  <c r="H4757" i="1"/>
  <c r="D4757" i="1"/>
  <c r="A4757" i="1"/>
  <c r="C4757" i="1"/>
  <c r="E4757" i="1"/>
  <c r="F4757" i="1"/>
  <c r="G1121" i="1"/>
  <c r="H1121" i="1"/>
  <c r="D1121" i="1"/>
  <c r="A1121" i="1"/>
  <c r="C1121" i="1"/>
  <c r="E1121" i="1"/>
  <c r="F1121" i="1"/>
  <c r="G4759" i="1"/>
  <c r="H4759" i="1"/>
  <c r="D4759" i="1"/>
  <c r="A4759" i="1"/>
  <c r="C4759" i="1"/>
  <c r="E4759" i="1"/>
  <c r="F4759" i="1"/>
  <c r="G4758" i="1"/>
  <c r="H4758" i="1"/>
  <c r="D4758" i="1"/>
  <c r="A4758" i="1"/>
  <c r="C4758" i="1"/>
  <c r="E4758" i="1"/>
  <c r="F4758" i="1"/>
  <c r="G1131" i="1"/>
  <c r="H1131" i="1"/>
  <c r="D1131" i="1"/>
  <c r="A1131" i="1"/>
  <c r="C1131" i="1"/>
  <c r="E1131" i="1"/>
  <c r="F1131" i="1"/>
  <c r="G4763" i="1"/>
  <c r="H4763" i="1"/>
  <c r="D4763" i="1"/>
  <c r="A4763" i="1"/>
  <c r="C4763" i="1"/>
  <c r="E4763" i="1"/>
  <c r="F4763" i="1"/>
  <c r="G4765" i="1"/>
  <c r="H4765" i="1"/>
  <c r="D4765" i="1"/>
  <c r="A4765" i="1"/>
  <c r="C4765" i="1"/>
  <c r="E4765" i="1"/>
  <c r="F4765" i="1"/>
  <c r="G1137" i="1"/>
  <c r="H1137" i="1"/>
  <c r="D1137" i="1"/>
  <c r="A1137" i="1"/>
  <c r="C1137" i="1"/>
  <c r="E1137" i="1"/>
  <c r="F1137" i="1"/>
  <c r="G4790" i="1"/>
  <c r="H4790" i="1"/>
  <c r="D4790" i="1"/>
  <c r="A4790" i="1"/>
  <c r="C4790" i="1"/>
  <c r="E4790" i="1"/>
  <c r="F4790" i="1"/>
  <c r="G1139" i="1"/>
  <c r="H1139" i="1"/>
  <c r="D1139" i="1"/>
  <c r="A1139" i="1"/>
  <c r="C1139" i="1"/>
  <c r="E1139" i="1"/>
  <c r="F1139" i="1"/>
  <c r="G4780" i="1"/>
  <c r="H4780" i="1"/>
  <c r="D4780" i="1"/>
  <c r="A4780" i="1"/>
  <c r="C4780" i="1"/>
  <c r="E4780" i="1"/>
  <c r="F4780" i="1"/>
  <c r="G4689" i="1"/>
  <c r="H4689" i="1"/>
  <c r="D4689" i="1"/>
  <c r="A4689" i="1"/>
  <c r="C4689" i="1"/>
  <c r="E4689" i="1"/>
  <c r="F4689" i="1"/>
  <c r="G1180" i="1"/>
  <c r="H1180" i="1"/>
  <c r="D1180" i="1"/>
  <c r="A1180" i="1"/>
  <c r="C1180" i="1"/>
  <c r="E1180" i="1"/>
  <c r="F1180" i="1"/>
  <c r="G4792" i="1"/>
  <c r="H4792" i="1"/>
  <c r="D4792" i="1"/>
  <c r="A4792" i="1"/>
  <c r="C4792" i="1"/>
  <c r="E4792" i="1"/>
  <c r="F4792" i="1"/>
  <c r="G1142" i="1"/>
  <c r="H1142" i="1"/>
  <c r="D1142" i="1"/>
  <c r="A1142" i="1"/>
  <c r="C1142" i="1"/>
  <c r="E1142" i="1"/>
  <c r="F1142" i="1"/>
  <c r="G4794" i="1"/>
  <c r="H4794" i="1"/>
  <c r="D4794" i="1"/>
  <c r="A4794" i="1"/>
  <c r="C4794" i="1"/>
  <c r="E4794" i="1"/>
  <c r="F4794" i="1"/>
  <c r="G1145" i="1"/>
  <c r="H1145" i="1"/>
  <c r="D1145" i="1"/>
  <c r="A1145" i="1"/>
  <c r="C1145" i="1"/>
  <c r="E1145" i="1"/>
  <c r="F1145" i="1"/>
  <c r="G4801" i="1"/>
  <c r="H4801" i="1"/>
  <c r="D4801" i="1"/>
  <c r="A4801" i="1"/>
  <c r="C4801" i="1"/>
  <c r="E4801" i="1"/>
  <c r="F4801" i="1"/>
  <c r="G1151" i="1"/>
  <c r="H1151" i="1"/>
  <c r="D1151" i="1"/>
  <c r="A1151" i="1"/>
  <c r="C1151" i="1"/>
  <c r="E1151" i="1"/>
  <c r="F1151" i="1"/>
  <c r="G4802" i="1"/>
  <c r="H4802" i="1"/>
  <c r="D4802" i="1"/>
  <c r="A4802" i="1"/>
  <c r="C4802" i="1"/>
  <c r="E4802" i="1"/>
  <c r="F4802" i="1"/>
  <c r="G4804" i="1"/>
  <c r="H4804" i="1"/>
  <c r="D4804" i="1"/>
  <c r="A4804" i="1"/>
  <c r="C4804" i="1"/>
  <c r="E4804" i="1"/>
  <c r="F4804" i="1"/>
  <c r="G1156" i="1"/>
  <c r="H1156" i="1"/>
  <c r="D1156" i="1"/>
  <c r="A1156" i="1"/>
  <c r="C1156" i="1"/>
  <c r="E1156" i="1"/>
  <c r="F1156" i="1"/>
  <c r="G4809" i="1"/>
  <c r="H4809" i="1"/>
  <c r="D4809" i="1"/>
  <c r="A4809" i="1"/>
  <c r="C4809" i="1"/>
  <c r="E4809" i="1"/>
  <c r="F4809" i="1"/>
  <c r="G1157" i="1"/>
  <c r="H1157" i="1"/>
  <c r="D1157" i="1"/>
  <c r="A1157" i="1"/>
  <c r="C1157" i="1"/>
  <c r="E1157" i="1"/>
  <c r="F1157" i="1"/>
  <c r="G4819" i="1"/>
  <c r="H4819" i="1"/>
  <c r="D4819" i="1"/>
  <c r="A4819" i="1"/>
  <c r="C4819" i="1"/>
  <c r="E4819" i="1"/>
  <c r="F4819" i="1"/>
  <c r="G1163" i="1"/>
  <c r="H1163" i="1"/>
  <c r="D1163" i="1"/>
  <c r="A1163" i="1"/>
  <c r="C1163" i="1"/>
  <c r="E1163" i="1"/>
  <c r="F1163" i="1"/>
  <c r="G1323" i="1"/>
  <c r="H1323" i="1"/>
  <c r="D1323" i="1"/>
  <c r="A1323" i="1"/>
  <c r="C1323" i="1"/>
  <c r="E1323" i="1"/>
  <c r="F1323" i="1"/>
  <c r="G1347" i="1"/>
  <c r="H1347" i="1"/>
  <c r="D1347" i="1"/>
  <c r="A1347" i="1"/>
  <c r="C1347" i="1"/>
  <c r="E1347" i="1"/>
  <c r="F1347" i="1"/>
  <c r="G1169" i="1"/>
  <c r="H1169" i="1"/>
  <c r="D1169" i="1"/>
  <c r="A1169" i="1"/>
  <c r="C1169" i="1"/>
  <c r="E1169" i="1"/>
  <c r="F1169" i="1"/>
  <c r="G4832" i="1"/>
  <c r="H4832" i="1"/>
  <c r="D4832" i="1"/>
  <c r="A4832" i="1"/>
  <c r="C4832" i="1"/>
  <c r="E4832" i="1"/>
  <c r="F4832" i="1"/>
  <c r="G1177" i="1"/>
  <c r="H1177" i="1"/>
  <c r="D1177" i="1"/>
  <c r="A1177" i="1"/>
  <c r="C1177" i="1"/>
  <c r="E1177" i="1"/>
  <c r="F1177" i="1"/>
  <c r="G4856" i="1"/>
  <c r="H4856" i="1"/>
  <c r="D4856" i="1"/>
  <c r="A4856" i="1"/>
  <c r="C4856" i="1"/>
  <c r="E4856" i="1"/>
  <c r="F4856" i="1"/>
  <c r="G1178" i="1"/>
  <c r="H1178" i="1"/>
  <c r="D1178" i="1"/>
  <c r="A1178" i="1"/>
  <c r="C1178" i="1"/>
  <c r="E1178" i="1"/>
  <c r="F1178" i="1"/>
  <c r="G4864" i="1"/>
  <c r="H4864" i="1"/>
  <c r="D4864" i="1"/>
  <c r="A4864" i="1"/>
  <c r="C4864" i="1"/>
  <c r="E4864" i="1"/>
  <c r="F4864" i="1"/>
  <c r="G1179" i="1"/>
  <c r="H1179" i="1"/>
  <c r="D1179" i="1"/>
  <c r="A1179" i="1"/>
  <c r="C1179" i="1"/>
  <c r="E1179" i="1"/>
  <c r="F1179" i="1"/>
  <c r="G4868" i="1"/>
  <c r="H4868" i="1"/>
  <c r="D4868" i="1"/>
  <c r="A4868" i="1"/>
  <c r="C4868" i="1"/>
  <c r="E4868" i="1"/>
  <c r="F4868" i="1"/>
  <c r="G1181" i="1"/>
  <c r="H1181" i="1"/>
  <c r="D1181" i="1"/>
  <c r="A1181" i="1"/>
  <c r="C1181" i="1"/>
  <c r="E1181" i="1"/>
  <c r="F1181" i="1"/>
  <c r="G4871" i="1"/>
  <c r="H4871" i="1"/>
  <c r="D4871" i="1"/>
  <c r="A4871" i="1"/>
  <c r="C4871" i="1"/>
  <c r="E4871" i="1"/>
  <c r="F4871" i="1"/>
  <c r="G1183" i="1"/>
  <c r="H1183" i="1"/>
  <c r="D1183" i="1"/>
  <c r="A1183" i="1"/>
  <c r="C1183" i="1"/>
  <c r="E1183" i="1"/>
  <c r="F1183" i="1"/>
  <c r="G4877" i="1"/>
  <c r="H4877" i="1"/>
  <c r="D4877" i="1"/>
  <c r="A4877" i="1"/>
  <c r="C4877" i="1"/>
  <c r="E4877" i="1"/>
  <c r="F4877" i="1"/>
  <c r="G1184" i="1"/>
  <c r="H1184" i="1"/>
  <c r="D1184" i="1"/>
  <c r="A1184" i="1"/>
  <c r="C1184" i="1"/>
  <c r="E1184" i="1"/>
  <c r="F1184" i="1"/>
  <c r="G4872" i="1"/>
  <c r="H4872" i="1"/>
  <c r="D4872" i="1"/>
  <c r="A4872" i="1"/>
  <c r="C4872" i="1"/>
  <c r="E4872" i="1"/>
  <c r="F4872" i="1"/>
  <c r="G1185" i="1"/>
  <c r="H1185" i="1"/>
  <c r="D1185" i="1"/>
  <c r="A1185" i="1"/>
  <c r="C1185" i="1"/>
  <c r="E1185" i="1"/>
  <c r="F1185" i="1"/>
  <c r="G4878" i="1"/>
  <c r="H4878" i="1"/>
  <c r="D4878" i="1"/>
  <c r="A4878" i="1"/>
  <c r="C4878" i="1"/>
  <c r="E4878" i="1"/>
  <c r="F4878" i="1"/>
  <c r="G1186" i="1"/>
  <c r="H1186" i="1"/>
  <c r="D1186" i="1"/>
  <c r="A1186" i="1"/>
  <c r="C1186" i="1"/>
  <c r="E1186" i="1"/>
  <c r="F1186" i="1"/>
  <c r="G4880" i="1"/>
  <c r="H4880" i="1"/>
  <c r="D4880" i="1"/>
  <c r="A4880" i="1"/>
  <c r="C4880" i="1"/>
  <c r="E4880" i="1"/>
  <c r="F4880" i="1"/>
  <c r="G1188" i="1"/>
  <c r="H1188" i="1"/>
  <c r="D1188" i="1"/>
  <c r="A1188" i="1"/>
  <c r="C1188" i="1"/>
  <c r="E1188" i="1"/>
  <c r="F1188" i="1"/>
  <c r="G4882" i="1"/>
  <c r="H4882" i="1"/>
  <c r="D4882" i="1"/>
  <c r="A4882" i="1"/>
  <c r="C4882" i="1"/>
  <c r="E4882" i="1"/>
  <c r="F4882" i="1"/>
  <c r="G1187" i="1"/>
  <c r="H1187" i="1"/>
  <c r="D1187" i="1"/>
  <c r="A1187" i="1"/>
  <c r="C1187" i="1"/>
  <c r="E1187" i="1"/>
  <c r="F1187" i="1"/>
  <c r="G4887" i="1"/>
  <c r="H4887" i="1"/>
  <c r="D4887" i="1"/>
  <c r="A4887" i="1"/>
  <c r="C4887" i="1"/>
  <c r="E4887" i="1"/>
  <c r="F4887" i="1"/>
  <c r="G1259" i="1"/>
  <c r="H1259" i="1"/>
  <c r="D1259" i="1"/>
  <c r="A1259" i="1"/>
  <c r="C1259" i="1"/>
  <c r="E1259" i="1"/>
  <c r="F1259" i="1"/>
  <c r="G4888" i="1"/>
  <c r="H4888" i="1"/>
  <c r="D4888" i="1"/>
  <c r="A4888" i="1"/>
  <c r="C4888" i="1"/>
  <c r="E4888" i="1"/>
  <c r="F4888" i="1"/>
  <c r="G4894" i="1"/>
  <c r="H4894" i="1"/>
  <c r="D4894" i="1"/>
  <c r="A4894" i="1"/>
  <c r="C4894" i="1"/>
  <c r="E4894" i="1"/>
  <c r="F4894" i="1"/>
  <c r="G1189" i="1"/>
  <c r="H1189" i="1"/>
  <c r="D1189" i="1"/>
  <c r="A1189" i="1"/>
  <c r="C1189" i="1"/>
  <c r="E1189" i="1"/>
  <c r="F1189" i="1"/>
  <c r="G4897" i="1"/>
  <c r="H4897" i="1"/>
  <c r="D4897" i="1"/>
  <c r="A4897" i="1"/>
  <c r="C4897" i="1"/>
  <c r="E4897" i="1"/>
  <c r="F4897" i="1"/>
  <c r="G1192" i="1"/>
  <c r="H1192" i="1"/>
  <c r="D1192" i="1"/>
  <c r="A1192" i="1"/>
  <c r="C1192" i="1"/>
  <c r="E1192" i="1"/>
  <c r="F1192" i="1"/>
  <c r="G1726" i="1"/>
  <c r="H1726" i="1"/>
  <c r="D1726" i="1"/>
  <c r="A1726" i="1"/>
  <c r="C1726" i="1"/>
  <c r="E1726" i="1"/>
  <c r="F1726" i="1"/>
  <c r="G1199" i="1"/>
  <c r="H1199" i="1"/>
  <c r="D1199" i="1"/>
  <c r="A1199" i="1"/>
  <c r="C1199" i="1"/>
  <c r="E1199" i="1"/>
  <c r="F1199" i="1"/>
  <c r="G4896" i="1"/>
  <c r="H4896" i="1"/>
  <c r="D4896" i="1"/>
  <c r="A4896" i="1"/>
  <c r="C4896" i="1"/>
  <c r="E4896" i="1"/>
  <c r="F4896" i="1"/>
  <c r="G1200" i="1"/>
  <c r="H1200" i="1"/>
  <c r="D1200" i="1"/>
  <c r="A1200" i="1"/>
  <c r="C1200" i="1"/>
  <c r="E1200" i="1"/>
  <c r="F1200" i="1"/>
  <c r="G4901" i="1"/>
  <c r="H4901" i="1"/>
  <c r="D4901" i="1"/>
  <c r="A4901" i="1"/>
  <c r="C4901" i="1"/>
  <c r="E4901" i="1"/>
  <c r="F4901" i="1"/>
  <c r="G1201" i="1"/>
  <c r="H1201" i="1"/>
  <c r="D1201" i="1"/>
  <c r="A1201" i="1"/>
  <c r="C1201" i="1"/>
  <c r="E1201" i="1"/>
  <c r="F1201" i="1"/>
  <c r="G4926" i="1"/>
  <c r="H4926" i="1"/>
  <c r="D4926" i="1"/>
  <c r="A4926" i="1"/>
  <c r="C4926" i="1"/>
  <c r="E4926" i="1"/>
  <c r="F4926" i="1"/>
  <c r="G1325" i="1"/>
  <c r="H1325" i="1"/>
  <c r="D1325" i="1"/>
  <c r="A1325" i="1"/>
  <c r="C1325" i="1"/>
  <c r="E1325" i="1"/>
  <c r="F1325" i="1"/>
  <c r="G4935" i="1"/>
  <c r="H4935" i="1"/>
  <c r="D4935" i="1"/>
  <c r="A4935" i="1"/>
  <c r="C4935" i="1"/>
  <c r="E4935" i="1"/>
  <c r="F4935" i="1"/>
  <c r="G541" i="1"/>
  <c r="H541" i="1"/>
  <c r="D541" i="1"/>
  <c r="A541" i="1"/>
  <c r="C541" i="1"/>
  <c r="E541" i="1"/>
  <c r="F541" i="1"/>
  <c r="G4936" i="1"/>
  <c r="H4936" i="1"/>
  <c r="D4936" i="1"/>
  <c r="A4936" i="1"/>
  <c r="C4936" i="1"/>
  <c r="E4936" i="1"/>
  <c r="F4936" i="1"/>
  <c r="G1202" i="1"/>
  <c r="H1202" i="1"/>
  <c r="D1202" i="1"/>
  <c r="A1202" i="1"/>
  <c r="C1202" i="1"/>
  <c r="E1202" i="1"/>
  <c r="F1202" i="1"/>
  <c r="G4939" i="1"/>
  <c r="H4939" i="1"/>
  <c r="D4939" i="1"/>
  <c r="A4939" i="1"/>
  <c r="C4939" i="1"/>
  <c r="E4939" i="1"/>
  <c r="F4939" i="1"/>
  <c r="G1203" i="1"/>
  <c r="H1203" i="1"/>
  <c r="D1203" i="1"/>
  <c r="A1203" i="1"/>
  <c r="C1203" i="1"/>
  <c r="E1203" i="1"/>
  <c r="F1203" i="1"/>
  <c r="G4943" i="1"/>
  <c r="H4943" i="1"/>
  <c r="D4943" i="1"/>
  <c r="A4943" i="1"/>
  <c r="C4943" i="1"/>
  <c r="E4943" i="1"/>
  <c r="F4943" i="1"/>
  <c r="G1204" i="1"/>
  <c r="H1204" i="1"/>
  <c r="D1204" i="1"/>
  <c r="A1204" i="1"/>
  <c r="C1204" i="1"/>
  <c r="E1204" i="1"/>
  <c r="F1204" i="1"/>
  <c r="G1208" i="1"/>
  <c r="H1208" i="1"/>
  <c r="D1208" i="1"/>
  <c r="A1208" i="1"/>
  <c r="C1208" i="1"/>
  <c r="E1208" i="1"/>
  <c r="F1208" i="1"/>
  <c r="G4956" i="1"/>
  <c r="H4956" i="1"/>
  <c r="D4956" i="1"/>
  <c r="A4956" i="1"/>
  <c r="C4956" i="1"/>
  <c r="E4956" i="1"/>
  <c r="F4956" i="1"/>
  <c r="G1209" i="1"/>
  <c r="H1209" i="1"/>
  <c r="D1209" i="1"/>
  <c r="A1209" i="1"/>
  <c r="C1209" i="1"/>
  <c r="E1209" i="1"/>
  <c r="F1209" i="1"/>
  <c r="G4959" i="1"/>
  <c r="H4959" i="1"/>
  <c r="D4959" i="1"/>
  <c r="A4959" i="1"/>
  <c r="C4959" i="1"/>
  <c r="E4959" i="1"/>
  <c r="F4959" i="1"/>
  <c r="G1211" i="1"/>
  <c r="H1211" i="1"/>
  <c r="D1211" i="1"/>
  <c r="A1211" i="1"/>
  <c r="C1211" i="1"/>
  <c r="E1211" i="1"/>
  <c r="F1211" i="1"/>
  <c r="G4947" i="1"/>
  <c r="H4947" i="1"/>
  <c r="D4947" i="1"/>
  <c r="A4947" i="1"/>
  <c r="C4947" i="1"/>
  <c r="E4947" i="1"/>
  <c r="F4947" i="1"/>
  <c r="G1215" i="1"/>
  <c r="H1215" i="1"/>
  <c r="D1215" i="1"/>
  <c r="A1215" i="1"/>
  <c r="C1215" i="1"/>
  <c r="E1215" i="1"/>
  <c r="F1215" i="1"/>
  <c r="G1212" i="1"/>
  <c r="H1212" i="1"/>
  <c r="D1212" i="1"/>
  <c r="A1212" i="1"/>
  <c r="C1212" i="1"/>
  <c r="E1212" i="1"/>
  <c r="F1212" i="1"/>
  <c r="G4973" i="1"/>
  <c r="H4973" i="1"/>
  <c r="D4973" i="1"/>
  <c r="A4973" i="1"/>
  <c r="C4973" i="1"/>
  <c r="E4973" i="1"/>
  <c r="F4973" i="1"/>
  <c r="G1264" i="1"/>
  <c r="H1264" i="1"/>
  <c r="D1264" i="1"/>
  <c r="A1264" i="1"/>
  <c r="C1264" i="1"/>
  <c r="E1264" i="1"/>
  <c r="F1264" i="1"/>
  <c r="G4979" i="1"/>
  <c r="H4979" i="1"/>
  <c r="D4979" i="1"/>
  <c r="A4979" i="1"/>
  <c r="C4979" i="1"/>
  <c r="E4979" i="1"/>
  <c r="F4979" i="1"/>
  <c r="G4980" i="1"/>
  <c r="H4980" i="1"/>
  <c r="D4980" i="1"/>
  <c r="A4980" i="1"/>
  <c r="C4980" i="1"/>
  <c r="E4980" i="1"/>
  <c r="F4980" i="1"/>
  <c r="G1222" i="1"/>
  <c r="H1222" i="1"/>
  <c r="D1222" i="1"/>
  <c r="A1222" i="1"/>
  <c r="C1222" i="1"/>
  <c r="E1222" i="1"/>
  <c r="F1222" i="1"/>
  <c r="G1231" i="1"/>
  <c r="H1231" i="1"/>
  <c r="D1231" i="1"/>
  <c r="A1231" i="1"/>
  <c r="C1231" i="1"/>
  <c r="E1231" i="1"/>
  <c r="F1231" i="1"/>
  <c r="G1242" i="1"/>
  <c r="H1242" i="1"/>
  <c r="D1242" i="1"/>
  <c r="A1242" i="1"/>
  <c r="C1242" i="1"/>
  <c r="E1242" i="1"/>
  <c r="F1242" i="1"/>
  <c r="G4994" i="1"/>
  <c r="H4994" i="1"/>
  <c r="D4994" i="1"/>
  <c r="A4994" i="1"/>
  <c r="C4994" i="1"/>
  <c r="E4994" i="1"/>
  <c r="F4994" i="1"/>
  <c r="G1243" i="1"/>
  <c r="H1243" i="1"/>
  <c r="D1243" i="1"/>
  <c r="A1243" i="1"/>
  <c r="C1243" i="1"/>
  <c r="E1243" i="1"/>
  <c r="F1243" i="1"/>
  <c r="G4995" i="1"/>
  <c r="H4995" i="1"/>
  <c r="D4995" i="1"/>
  <c r="A4995" i="1"/>
  <c r="C4995" i="1"/>
  <c r="E4995" i="1"/>
  <c r="F4995" i="1"/>
  <c r="G1244" i="1"/>
  <c r="H1244" i="1"/>
  <c r="D1244" i="1"/>
  <c r="A1244" i="1"/>
  <c r="C1244" i="1"/>
  <c r="E1244" i="1"/>
  <c r="F1244" i="1"/>
  <c r="G4998" i="1"/>
  <c r="H4998" i="1"/>
  <c r="D4998" i="1"/>
  <c r="A4998" i="1"/>
  <c r="C4998" i="1"/>
  <c r="E4998" i="1"/>
  <c r="F4998" i="1"/>
  <c r="G1249" i="1"/>
  <c r="H1249" i="1"/>
  <c r="D1249" i="1"/>
  <c r="A1249" i="1"/>
  <c r="C1249" i="1"/>
  <c r="E1249" i="1"/>
  <c r="F1249" i="1"/>
  <c r="G1253" i="1"/>
  <c r="H1253" i="1"/>
  <c r="D1253" i="1"/>
  <c r="A1253" i="1"/>
  <c r="C1253" i="1"/>
  <c r="E1253" i="1"/>
  <c r="F1253" i="1"/>
  <c r="G1258" i="1"/>
  <c r="H1258" i="1"/>
  <c r="D1258" i="1"/>
  <c r="A1258" i="1"/>
  <c r="C1258" i="1"/>
  <c r="E1258" i="1"/>
  <c r="F1258" i="1"/>
  <c r="G1262" i="1"/>
  <c r="H1262" i="1"/>
  <c r="D1262" i="1"/>
  <c r="A1262" i="1"/>
  <c r="C1262" i="1"/>
  <c r="E1262" i="1"/>
  <c r="F1262" i="1"/>
  <c r="G5003" i="1"/>
  <c r="H5003" i="1"/>
  <c r="D5003" i="1"/>
  <c r="A5003" i="1"/>
  <c r="C5003" i="1"/>
  <c r="E5003" i="1"/>
  <c r="F5003" i="1"/>
  <c r="G1276" i="1"/>
  <c r="H1276" i="1"/>
  <c r="D1276" i="1"/>
  <c r="A1276" i="1"/>
  <c r="C1276" i="1"/>
  <c r="E1276" i="1"/>
  <c r="F1276" i="1"/>
  <c r="G5005" i="1"/>
  <c r="H5005" i="1"/>
  <c r="D5005" i="1"/>
  <c r="A5005" i="1"/>
  <c r="C5005" i="1"/>
  <c r="E5005" i="1"/>
  <c r="F5005" i="1"/>
  <c r="G5010" i="1"/>
  <c r="H5010" i="1"/>
  <c r="D5010" i="1"/>
  <c r="A5010" i="1"/>
  <c r="C5010" i="1"/>
  <c r="E5010" i="1"/>
  <c r="F5010" i="1"/>
  <c r="G1283" i="1"/>
  <c r="H1283" i="1"/>
  <c r="D1283" i="1"/>
  <c r="A1283" i="1"/>
  <c r="C1283" i="1"/>
  <c r="E1283" i="1"/>
  <c r="F1283" i="1"/>
  <c r="G5016" i="1"/>
  <c r="H5016" i="1"/>
  <c r="D5016" i="1"/>
  <c r="A5016" i="1"/>
  <c r="C5016" i="1"/>
  <c r="E5016" i="1"/>
  <c r="F5016" i="1"/>
  <c r="G1269" i="1"/>
  <c r="H1269" i="1"/>
  <c r="D1269" i="1"/>
  <c r="A1269" i="1"/>
  <c r="C1269" i="1"/>
  <c r="E1269" i="1"/>
  <c r="F1269" i="1"/>
  <c r="G5017" i="1"/>
  <c r="H5017" i="1"/>
  <c r="D5017" i="1"/>
  <c r="A5017" i="1"/>
  <c r="C5017" i="1"/>
  <c r="E5017" i="1"/>
  <c r="F5017" i="1"/>
  <c r="G1275" i="1"/>
  <c r="H1275" i="1"/>
  <c r="D1275" i="1"/>
  <c r="A1275" i="1"/>
  <c r="C1275" i="1"/>
  <c r="E1275" i="1"/>
  <c r="F1275" i="1"/>
  <c r="G5032" i="1"/>
  <c r="H5032" i="1"/>
  <c r="D5032" i="1"/>
  <c r="A5032" i="1"/>
  <c r="C5032" i="1"/>
  <c r="E5032" i="1"/>
  <c r="F5032" i="1"/>
  <c r="G553" i="1"/>
  <c r="H553" i="1"/>
  <c r="D553" i="1"/>
  <c r="A553" i="1"/>
  <c r="C553" i="1"/>
  <c r="E553" i="1"/>
  <c r="F553" i="1"/>
  <c r="G5041" i="1"/>
  <c r="H5041" i="1"/>
  <c r="D5041" i="1"/>
  <c r="A5041" i="1"/>
  <c r="C5041" i="1"/>
  <c r="E5041" i="1"/>
  <c r="F5041" i="1"/>
  <c r="G4972" i="1"/>
  <c r="H4972" i="1"/>
  <c r="D4972" i="1"/>
  <c r="A4972" i="1"/>
  <c r="C4972" i="1"/>
  <c r="E4972" i="1"/>
  <c r="F4972" i="1"/>
  <c r="G2883" i="1"/>
  <c r="H2883" i="1"/>
  <c r="D2883" i="1"/>
  <c r="A2883" i="1"/>
  <c r="C2883" i="1"/>
  <c r="E2883" i="1"/>
  <c r="F2883" i="1"/>
  <c r="G22" i="1"/>
  <c r="H22" i="1"/>
  <c r="D22" i="1"/>
  <c r="A22" i="1"/>
  <c r="C22" i="1"/>
  <c r="E22" i="1"/>
  <c r="F22" i="1"/>
  <c r="G2885" i="1"/>
  <c r="H2885" i="1"/>
  <c r="D2885" i="1"/>
  <c r="A2885" i="1"/>
  <c r="C2885" i="1"/>
  <c r="E2885" i="1"/>
  <c r="F2885" i="1"/>
  <c r="G26" i="1"/>
  <c r="H26" i="1"/>
  <c r="D26" i="1"/>
  <c r="A26" i="1"/>
  <c r="C26" i="1"/>
  <c r="E26" i="1"/>
  <c r="F26" i="1"/>
  <c r="G2965" i="1"/>
  <c r="H2965" i="1"/>
  <c r="D2965" i="1"/>
  <c r="A2965" i="1"/>
  <c r="C2965" i="1"/>
  <c r="E2965" i="1"/>
  <c r="F2965" i="1"/>
  <c r="G28" i="1"/>
  <c r="H28" i="1"/>
  <c r="D28" i="1"/>
  <c r="A28" i="1"/>
  <c r="C28" i="1"/>
  <c r="E28" i="1"/>
  <c r="F28" i="1"/>
  <c r="G2969" i="1"/>
  <c r="H2969" i="1"/>
  <c r="D2969" i="1"/>
  <c r="A2969" i="1"/>
  <c r="C2969" i="1"/>
  <c r="E2969" i="1"/>
  <c r="F2969" i="1"/>
  <c r="G2974" i="1"/>
  <c r="H2974" i="1"/>
  <c r="D2974" i="1"/>
  <c r="A2974" i="1"/>
  <c r="C2974" i="1"/>
  <c r="E2974" i="1"/>
  <c r="F2974" i="1"/>
  <c r="G1873" i="1"/>
  <c r="H1873" i="1"/>
  <c r="D1873" i="1"/>
  <c r="A1873" i="1"/>
  <c r="C1873" i="1"/>
  <c r="E1873" i="1"/>
  <c r="F1873" i="1"/>
  <c r="G2976" i="1"/>
  <c r="H2976" i="1"/>
  <c r="D2976" i="1"/>
  <c r="A2976" i="1"/>
  <c r="C2976" i="1"/>
  <c r="E2976" i="1"/>
  <c r="F2976" i="1"/>
  <c r="G2059" i="1"/>
  <c r="H2059" i="1"/>
  <c r="D2059" i="1"/>
  <c r="A2059" i="1"/>
  <c r="C2059" i="1"/>
  <c r="E2059" i="1"/>
  <c r="F2059" i="1"/>
  <c r="G2998" i="1"/>
  <c r="H2998" i="1"/>
  <c r="D2998" i="1"/>
  <c r="A2998" i="1"/>
  <c r="C2998" i="1"/>
  <c r="E2998" i="1"/>
  <c r="F2998" i="1"/>
  <c r="G63" i="1"/>
  <c r="H63" i="1"/>
  <c r="D63" i="1"/>
  <c r="A63" i="1"/>
  <c r="C63" i="1"/>
  <c r="E63" i="1"/>
  <c r="F63" i="1"/>
  <c r="G2999" i="1"/>
  <c r="H2999" i="1"/>
  <c r="D2999" i="1"/>
  <c r="A2999" i="1"/>
  <c r="C2999" i="1"/>
  <c r="E2999" i="1"/>
  <c r="F2999" i="1"/>
  <c r="G80" i="1"/>
  <c r="H80" i="1"/>
  <c r="D80" i="1"/>
  <c r="A80" i="1"/>
  <c r="C80" i="1"/>
  <c r="E80" i="1"/>
  <c r="F80" i="1"/>
  <c r="G3002" i="1"/>
  <c r="H3002" i="1"/>
  <c r="D3002" i="1"/>
  <c r="A3002" i="1"/>
  <c r="C3002" i="1"/>
  <c r="E3002" i="1"/>
  <c r="F3002" i="1"/>
  <c r="G82" i="1"/>
  <c r="H82" i="1"/>
  <c r="D82" i="1"/>
  <c r="A82" i="1"/>
  <c r="C82" i="1"/>
  <c r="E82" i="1"/>
  <c r="F82" i="1"/>
  <c r="G3000" i="1"/>
  <c r="H3000" i="1"/>
  <c r="D3000" i="1"/>
  <c r="A3000" i="1"/>
  <c r="C3000" i="1"/>
  <c r="E3000" i="1"/>
  <c r="F3000" i="1"/>
  <c r="G100" i="1"/>
  <c r="H100" i="1"/>
  <c r="D100" i="1"/>
  <c r="A100" i="1"/>
  <c r="C100" i="1"/>
  <c r="E100" i="1"/>
  <c r="F100" i="1"/>
  <c r="G3014" i="1"/>
  <c r="H3014" i="1"/>
  <c r="D3014" i="1"/>
  <c r="A3014" i="1"/>
  <c r="C3014" i="1"/>
  <c r="E3014" i="1"/>
  <c r="F3014" i="1"/>
  <c r="G2060" i="1"/>
  <c r="H2060" i="1"/>
  <c r="D2060" i="1"/>
  <c r="A2060" i="1"/>
  <c r="C2060" i="1"/>
  <c r="E2060" i="1"/>
  <c r="F2060" i="1"/>
  <c r="G3019" i="1"/>
  <c r="H3019" i="1"/>
  <c r="D3019" i="1"/>
  <c r="A3019" i="1"/>
  <c r="C3019" i="1"/>
  <c r="E3019" i="1"/>
  <c r="F3019" i="1"/>
  <c r="G105" i="1"/>
  <c r="H105" i="1"/>
  <c r="D105" i="1"/>
  <c r="A105" i="1"/>
  <c r="C105" i="1"/>
  <c r="E105" i="1"/>
  <c r="F105" i="1"/>
  <c r="G3020" i="1"/>
  <c r="H3020" i="1"/>
  <c r="D3020" i="1"/>
  <c r="A3020" i="1"/>
  <c r="C3020" i="1"/>
  <c r="E3020" i="1"/>
  <c r="F3020" i="1"/>
  <c r="G109" i="1"/>
  <c r="H109" i="1"/>
  <c r="D109" i="1"/>
  <c r="A109" i="1"/>
  <c r="C109" i="1"/>
  <c r="E109" i="1"/>
  <c r="F109" i="1"/>
  <c r="G3043" i="1"/>
  <c r="H3043" i="1"/>
  <c r="D3043" i="1"/>
  <c r="A3043" i="1"/>
  <c r="C3043" i="1"/>
  <c r="E3043" i="1"/>
  <c r="F3043" i="1"/>
  <c r="G117" i="1"/>
  <c r="H117" i="1"/>
  <c r="D117" i="1"/>
  <c r="A117" i="1"/>
  <c r="C117" i="1"/>
  <c r="E117" i="1"/>
  <c r="F117" i="1"/>
  <c r="G121" i="1"/>
  <c r="H121" i="1"/>
  <c r="D121" i="1"/>
  <c r="A121" i="1"/>
  <c r="C121" i="1"/>
  <c r="E121" i="1"/>
  <c r="F121" i="1"/>
  <c r="G3049" i="1"/>
  <c r="H3049" i="1"/>
  <c r="D3049" i="1"/>
  <c r="A3049" i="1"/>
  <c r="C3049" i="1"/>
  <c r="E3049" i="1"/>
  <c r="F3049" i="1"/>
  <c r="G123" i="1"/>
  <c r="H123" i="1"/>
  <c r="D123" i="1"/>
  <c r="A123" i="1"/>
  <c r="C123" i="1"/>
  <c r="E123" i="1"/>
  <c r="F123" i="1"/>
  <c r="G3057" i="1"/>
  <c r="H3057" i="1"/>
  <c r="D3057" i="1"/>
  <c r="A3057" i="1"/>
  <c r="C3057" i="1"/>
  <c r="E3057" i="1"/>
  <c r="F3057" i="1"/>
  <c r="G131" i="1"/>
  <c r="H131" i="1"/>
  <c r="D131" i="1"/>
  <c r="A131" i="1"/>
  <c r="C131" i="1"/>
  <c r="E131" i="1"/>
  <c r="F131" i="1"/>
  <c r="G3059" i="1"/>
  <c r="H3059" i="1"/>
  <c r="D3059" i="1"/>
  <c r="A3059" i="1"/>
  <c r="C3059" i="1"/>
  <c r="E3059" i="1"/>
  <c r="F3059" i="1"/>
  <c r="G138" i="1"/>
  <c r="H138" i="1"/>
  <c r="D138" i="1"/>
  <c r="A138" i="1"/>
  <c r="C138" i="1"/>
  <c r="E138" i="1"/>
  <c r="F138" i="1"/>
  <c r="G3061" i="1"/>
  <c r="H3061" i="1"/>
  <c r="D3061" i="1"/>
  <c r="A3061" i="1"/>
  <c r="C3061" i="1"/>
  <c r="E3061" i="1"/>
  <c r="F3061" i="1"/>
  <c r="G3" i="1"/>
  <c r="H3" i="1"/>
  <c r="D3" i="1"/>
  <c r="C3" i="1"/>
  <c r="E3" i="1"/>
  <c r="F3" i="1"/>
  <c r="G3064" i="1"/>
  <c r="H3064" i="1"/>
  <c r="D3064" i="1"/>
  <c r="A3064" i="1"/>
  <c r="C3064" i="1"/>
  <c r="E3064" i="1"/>
  <c r="F3064" i="1"/>
  <c r="G148" i="1"/>
  <c r="H148" i="1"/>
  <c r="D148" i="1"/>
  <c r="A148" i="1"/>
  <c r="C148" i="1"/>
  <c r="E148" i="1"/>
  <c r="F148" i="1"/>
  <c r="G3068" i="1"/>
  <c r="H3068" i="1"/>
  <c r="D3068" i="1"/>
  <c r="A3068" i="1"/>
  <c r="C3068" i="1"/>
  <c r="E3068" i="1"/>
  <c r="F3068" i="1"/>
  <c r="G3072" i="1"/>
  <c r="H3072" i="1"/>
  <c r="D3072" i="1"/>
  <c r="A3072" i="1"/>
  <c r="C3072" i="1"/>
  <c r="E3072" i="1"/>
  <c r="F3072" i="1"/>
  <c r="G4826" i="1"/>
  <c r="H4826" i="1"/>
  <c r="D4826" i="1"/>
  <c r="A4826" i="1"/>
  <c r="C4826" i="1"/>
  <c r="E4826" i="1"/>
  <c r="F4826" i="1"/>
  <c r="G3081" i="1"/>
  <c r="H3081" i="1"/>
  <c r="D3081" i="1"/>
  <c r="A3081" i="1"/>
  <c r="C3081" i="1"/>
  <c r="E3081" i="1"/>
  <c r="F3081" i="1"/>
  <c r="G7" i="1"/>
  <c r="H7" i="1"/>
  <c r="D7" i="1"/>
  <c r="A7" i="1"/>
  <c r="C7" i="1"/>
  <c r="E7" i="1"/>
  <c r="F7" i="1"/>
  <c r="G3084" i="1"/>
  <c r="H3084" i="1"/>
  <c r="D3084" i="1"/>
  <c r="A3084" i="1"/>
  <c r="C3084" i="1"/>
  <c r="E3084" i="1"/>
  <c r="F3084" i="1"/>
  <c r="G10" i="1"/>
  <c r="H10" i="1"/>
  <c r="D10" i="1"/>
  <c r="A10" i="1"/>
  <c r="C10" i="1"/>
  <c r="E10" i="1"/>
  <c r="F10" i="1"/>
  <c r="G3085" i="1"/>
  <c r="H3085" i="1"/>
  <c r="D3085" i="1"/>
  <c r="A3085" i="1"/>
  <c r="C3085" i="1"/>
  <c r="E3085" i="1"/>
  <c r="F3085" i="1"/>
  <c r="G11" i="1"/>
  <c r="H11" i="1"/>
  <c r="D11" i="1"/>
  <c r="A11" i="1"/>
  <c r="C11" i="1"/>
  <c r="E11" i="1"/>
  <c r="F11" i="1"/>
  <c r="G3086" i="1"/>
  <c r="H3086" i="1"/>
  <c r="D3086" i="1"/>
  <c r="A3086" i="1"/>
  <c r="C3086" i="1"/>
  <c r="E3086" i="1"/>
  <c r="F3086" i="1"/>
  <c r="G154" i="1"/>
  <c r="H154" i="1"/>
  <c r="D154" i="1"/>
  <c r="A154" i="1"/>
  <c r="C154" i="1"/>
  <c r="E154" i="1"/>
  <c r="F154" i="1"/>
  <c r="G3078" i="1"/>
  <c r="H3078" i="1"/>
  <c r="D3078" i="1"/>
  <c r="A3078" i="1"/>
  <c r="C3078" i="1"/>
  <c r="E3078" i="1"/>
  <c r="F3078" i="1"/>
  <c r="G157" i="1"/>
  <c r="H157" i="1"/>
  <c r="D157" i="1"/>
  <c r="A157" i="1"/>
  <c r="C157" i="1"/>
  <c r="E157" i="1"/>
  <c r="F157" i="1"/>
  <c r="G3091" i="1"/>
  <c r="H3091" i="1"/>
  <c r="D3091" i="1"/>
  <c r="A3091" i="1"/>
  <c r="C3091" i="1"/>
  <c r="E3091" i="1"/>
  <c r="F3091" i="1"/>
  <c r="G161" i="1"/>
  <c r="H161" i="1"/>
  <c r="D161" i="1"/>
  <c r="A161" i="1"/>
  <c r="C161" i="1"/>
  <c r="E161" i="1"/>
  <c r="F161" i="1"/>
  <c r="G3092" i="1"/>
  <c r="H3092" i="1"/>
  <c r="D3092" i="1"/>
  <c r="A3092" i="1"/>
  <c r="C3092" i="1"/>
  <c r="E3092" i="1"/>
  <c r="F3092" i="1"/>
  <c r="G165" i="1"/>
  <c r="H165" i="1"/>
  <c r="D165" i="1"/>
  <c r="A165" i="1"/>
  <c r="C165" i="1"/>
  <c r="E165" i="1"/>
  <c r="F165" i="1"/>
  <c r="G1944" i="1"/>
  <c r="H1944" i="1"/>
  <c r="D1944" i="1"/>
  <c r="A1944" i="1"/>
  <c r="C1944" i="1"/>
  <c r="E1944" i="1"/>
  <c r="F1944" i="1"/>
  <c r="G178" i="1"/>
  <c r="H178" i="1"/>
  <c r="D178" i="1"/>
  <c r="A178" i="1"/>
  <c r="C178" i="1"/>
  <c r="E178" i="1"/>
  <c r="F178" i="1"/>
  <c r="G198" i="1"/>
  <c r="H198" i="1"/>
  <c r="D198" i="1"/>
  <c r="A198" i="1"/>
  <c r="C198" i="1"/>
  <c r="E198" i="1"/>
  <c r="F198" i="1"/>
  <c r="G201" i="1"/>
  <c r="H201" i="1"/>
  <c r="D201" i="1"/>
  <c r="A201" i="1"/>
  <c r="C201" i="1"/>
  <c r="E201" i="1"/>
  <c r="F201" i="1"/>
  <c r="G3102" i="1"/>
  <c r="H3102" i="1"/>
  <c r="D3102" i="1"/>
  <c r="A3102" i="1"/>
  <c r="C3102" i="1"/>
  <c r="E3102" i="1"/>
  <c r="F3102" i="1"/>
  <c r="G167" i="1"/>
  <c r="H167" i="1"/>
  <c r="D167" i="1"/>
  <c r="A167" i="1"/>
  <c r="C167" i="1"/>
  <c r="E167" i="1"/>
  <c r="F167" i="1"/>
  <c r="G209" i="1"/>
  <c r="H209" i="1"/>
  <c r="D209" i="1"/>
  <c r="A209" i="1"/>
  <c r="C209" i="1"/>
  <c r="E209" i="1"/>
  <c r="F209" i="1"/>
  <c r="G3117" i="1"/>
  <c r="H3117" i="1"/>
  <c r="D3117" i="1"/>
  <c r="A3117" i="1"/>
  <c r="C3117" i="1"/>
  <c r="E3117" i="1"/>
  <c r="F3117" i="1"/>
  <c r="G213" i="1"/>
  <c r="H213" i="1"/>
  <c r="D213" i="1"/>
  <c r="A213" i="1"/>
  <c r="C213" i="1"/>
  <c r="E213" i="1"/>
  <c r="F213" i="1"/>
  <c r="G3119" i="1"/>
  <c r="H3119" i="1"/>
  <c r="D3119" i="1"/>
  <c r="A3119" i="1"/>
  <c r="C3119" i="1"/>
  <c r="E3119" i="1"/>
  <c r="F3119" i="1"/>
  <c r="G214" i="1"/>
  <c r="H214" i="1"/>
  <c r="D214" i="1"/>
  <c r="A214" i="1"/>
  <c r="C214" i="1"/>
  <c r="E214" i="1"/>
  <c r="F214" i="1"/>
  <c r="G3120" i="1"/>
  <c r="H3120" i="1"/>
  <c r="D3120" i="1"/>
  <c r="A3120" i="1"/>
  <c r="C3120" i="1"/>
  <c r="E3120" i="1"/>
  <c r="F3120" i="1"/>
  <c r="G217" i="1"/>
  <c r="H217" i="1"/>
  <c r="D217" i="1"/>
  <c r="A217" i="1"/>
  <c r="C217" i="1"/>
  <c r="E217" i="1"/>
  <c r="F217" i="1"/>
  <c r="G3121" i="1"/>
  <c r="H3121" i="1"/>
  <c r="D3121" i="1"/>
  <c r="A3121" i="1"/>
  <c r="C3121" i="1"/>
  <c r="E3121" i="1"/>
  <c r="F3121" i="1"/>
  <c r="G227" i="1"/>
  <c r="H227" i="1"/>
  <c r="D227" i="1"/>
  <c r="A227" i="1"/>
  <c r="C227" i="1"/>
  <c r="E227" i="1"/>
  <c r="F227" i="1"/>
  <c r="G3122" i="1"/>
  <c r="H3122" i="1"/>
  <c r="D3122" i="1"/>
  <c r="A3122" i="1"/>
  <c r="C3122" i="1"/>
  <c r="E3122" i="1"/>
  <c r="F3122" i="1"/>
  <c r="G210" i="1"/>
  <c r="H210" i="1"/>
  <c r="D210" i="1"/>
  <c r="A210" i="1"/>
  <c r="C210" i="1"/>
  <c r="E210" i="1"/>
  <c r="F210" i="1"/>
  <c r="G3127" i="1"/>
  <c r="H3127" i="1"/>
  <c r="D3127" i="1"/>
  <c r="A3127" i="1"/>
  <c r="C3127" i="1"/>
  <c r="E3127" i="1"/>
  <c r="F3127" i="1"/>
  <c r="G171" i="1"/>
  <c r="H171" i="1"/>
  <c r="D171" i="1"/>
  <c r="A171" i="1"/>
  <c r="C171" i="1"/>
  <c r="E171" i="1"/>
  <c r="F171" i="1"/>
  <c r="G3132" i="1"/>
  <c r="H3132" i="1"/>
  <c r="D3132" i="1"/>
  <c r="A3132" i="1"/>
  <c r="C3132" i="1"/>
  <c r="E3132" i="1"/>
  <c r="F3132" i="1"/>
  <c r="G4971" i="1"/>
  <c r="H4971" i="1"/>
  <c r="D4971" i="1"/>
  <c r="A4971" i="1"/>
  <c r="C4971" i="1"/>
  <c r="E4971" i="1"/>
  <c r="F4971" i="1"/>
  <c r="G1384" i="1"/>
  <c r="H1384" i="1"/>
  <c r="D1384" i="1"/>
  <c r="A1384" i="1"/>
  <c r="C1384" i="1"/>
  <c r="E1384" i="1"/>
  <c r="F1384" i="1"/>
  <c r="G3144" i="1"/>
  <c r="H3144" i="1"/>
  <c r="D3144" i="1"/>
  <c r="A3144" i="1"/>
  <c r="C3144" i="1"/>
  <c r="E3144" i="1"/>
  <c r="F3144" i="1"/>
  <c r="G239" i="1"/>
  <c r="H239" i="1"/>
  <c r="D239" i="1"/>
  <c r="A239" i="1"/>
  <c r="C239" i="1"/>
  <c r="E239" i="1"/>
  <c r="F239" i="1"/>
  <c r="G1859" i="1"/>
  <c r="H1859" i="1"/>
  <c r="D1859" i="1"/>
  <c r="A1859" i="1"/>
  <c r="C1859" i="1"/>
  <c r="E1859" i="1"/>
  <c r="F1859" i="1"/>
  <c r="G254" i="1"/>
  <c r="H254" i="1"/>
  <c r="D254" i="1"/>
  <c r="A254" i="1"/>
  <c r="C254" i="1"/>
  <c r="E254" i="1"/>
  <c r="F254" i="1"/>
  <c r="G250" i="1"/>
  <c r="H250" i="1"/>
  <c r="D250" i="1"/>
  <c r="A250" i="1"/>
  <c r="C250" i="1"/>
  <c r="E250" i="1"/>
  <c r="F250" i="1"/>
  <c r="G3153" i="1"/>
  <c r="H3153" i="1"/>
  <c r="D3153" i="1"/>
  <c r="A3153" i="1"/>
  <c r="C3153" i="1"/>
  <c r="E3153" i="1"/>
  <c r="F3153" i="1"/>
  <c r="G258" i="1"/>
  <c r="H258" i="1"/>
  <c r="D258" i="1"/>
  <c r="A258" i="1"/>
  <c r="C258" i="1"/>
  <c r="E258" i="1"/>
  <c r="F258" i="1"/>
  <c r="G3151" i="1"/>
  <c r="H3151" i="1"/>
  <c r="D3151" i="1"/>
  <c r="A3151" i="1"/>
  <c r="C3151" i="1"/>
  <c r="E3151" i="1"/>
  <c r="F3151" i="1"/>
  <c r="G259" i="1"/>
  <c r="H259" i="1"/>
  <c r="D259" i="1"/>
  <c r="A259" i="1"/>
  <c r="C259" i="1"/>
  <c r="E259" i="1"/>
  <c r="F259" i="1"/>
  <c r="G3155" i="1"/>
  <c r="H3155" i="1"/>
  <c r="D3155" i="1"/>
  <c r="A3155" i="1"/>
  <c r="C3155" i="1"/>
  <c r="E3155" i="1"/>
  <c r="F3155" i="1"/>
  <c r="G263" i="1"/>
  <c r="H263" i="1"/>
  <c r="D263" i="1"/>
  <c r="A263" i="1"/>
  <c r="C263" i="1"/>
  <c r="E263" i="1"/>
  <c r="F263" i="1"/>
  <c r="G3156" i="1"/>
  <c r="H3156" i="1"/>
  <c r="D3156" i="1"/>
  <c r="A3156" i="1"/>
  <c r="C3156" i="1"/>
  <c r="E3156" i="1"/>
  <c r="F3156" i="1"/>
  <c r="G3157" i="1"/>
  <c r="H3157" i="1"/>
  <c r="D3157" i="1"/>
  <c r="A3157" i="1"/>
  <c r="C3157" i="1"/>
  <c r="E3157" i="1"/>
  <c r="F3157" i="1"/>
  <c r="G266" i="1"/>
  <c r="H266" i="1"/>
  <c r="D266" i="1"/>
  <c r="A266" i="1"/>
  <c r="C266" i="1"/>
  <c r="E266" i="1"/>
  <c r="F266" i="1"/>
  <c r="G3159" i="1"/>
  <c r="H3159" i="1"/>
  <c r="D3159" i="1"/>
  <c r="A3159" i="1"/>
  <c r="C3159" i="1"/>
  <c r="E3159" i="1"/>
  <c r="F3159" i="1"/>
  <c r="G276" i="1"/>
  <c r="H276" i="1"/>
  <c r="D276" i="1"/>
  <c r="A276" i="1"/>
  <c r="C276" i="1"/>
  <c r="E276" i="1"/>
  <c r="F276" i="1"/>
  <c r="G3160" i="1"/>
  <c r="H3160" i="1"/>
  <c r="D3160" i="1"/>
  <c r="A3160" i="1"/>
  <c r="C3160" i="1"/>
  <c r="E3160" i="1"/>
  <c r="F3160" i="1"/>
  <c r="G289" i="1"/>
  <c r="H289" i="1"/>
  <c r="D289" i="1"/>
  <c r="A289" i="1"/>
  <c r="C289" i="1"/>
  <c r="E289" i="1"/>
  <c r="F289" i="1"/>
  <c r="G3161" i="1"/>
  <c r="H3161" i="1"/>
  <c r="D3161" i="1"/>
  <c r="A3161" i="1"/>
  <c r="C3161" i="1"/>
  <c r="E3161" i="1"/>
  <c r="F3161" i="1"/>
  <c r="G3162" i="1"/>
  <c r="H3162" i="1"/>
  <c r="D3162" i="1"/>
  <c r="A3162" i="1"/>
  <c r="C3162" i="1"/>
  <c r="E3162" i="1"/>
  <c r="F3162" i="1"/>
  <c r="G3163" i="1"/>
  <c r="H3163" i="1"/>
  <c r="D3163" i="1"/>
  <c r="A3163" i="1"/>
  <c r="C3163" i="1"/>
  <c r="E3163" i="1"/>
  <c r="F3163" i="1"/>
  <c r="G3164" i="1"/>
  <c r="H3164" i="1"/>
  <c r="D3164" i="1"/>
  <c r="A3164" i="1"/>
  <c r="C3164" i="1"/>
  <c r="E3164" i="1"/>
  <c r="F3164" i="1"/>
  <c r="G308" i="1"/>
  <c r="H308" i="1"/>
  <c r="D308" i="1"/>
  <c r="A308" i="1"/>
  <c r="C308" i="1"/>
  <c r="E308" i="1"/>
  <c r="F308" i="1"/>
  <c r="G3167" i="1"/>
  <c r="H3167" i="1"/>
  <c r="D3167" i="1"/>
  <c r="A3167" i="1"/>
  <c r="C3167" i="1"/>
  <c r="E3167" i="1"/>
  <c r="F3167" i="1"/>
  <c r="G3172" i="1"/>
  <c r="H3172" i="1"/>
  <c r="D3172" i="1"/>
  <c r="A3172" i="1"/>
  <c r="C3172" i="1"/>
  <c r="E3172" i="1"/>
  <c r="F3172" i="1"/>
  <c r="G315" i="1"/>
  <c r="H315" i="1"/>
  <c r="D315" i="1"/>
  <c r="A315" i="1"/>
  <c r="C315" i="1"/>
  <c r="E315" i="1"/>
  <c r="F315" i="1"/>
  <c r="G3175" i="1"/>
  <c r="H3175" i="1"/>
  <c r="D3175" i="1"/>
  <c r="A3175" i="1"/>
  <c r="C3175" i="1"/>
  <c r="E3175" i="1"/>
  <c r="F3175" i="1"/>
  <c r="G321" i="1"/>
  <c r="H321" i="1"/>
  <c r="D321" i="1"/>
  <c r="A321" i="1"/>
  <c r="C321" i="1"/>
  <c r="E321" i="1"/>
  <c r="F321" i="1"/>
  <c r="G326" i="1"/>
  <c r="H326" i="1"/>
  <c r="D326" i="1"/>
  <c r="A326" i="1"/>
  <c r="C326" i="1"/>
  <c r="E326" i="1"/>
  <c r="F326" i="1"/>
  <c r="G3186" i="1"/>
  <c r="H3186" i="1"/>
  <c r="D3186" i="1"/>
  <c r="A3186" i="1"/>
  <c r="C3186" i="1"/>
  <c r="E3186" i="1"/>
  <c r="F3186" i="1"/>
  <c r="G339" i="1"/>
  <c r="H339" i="1"/>
  <c r="D339" i="1"/>
  <c r="A339" i="1"/>
  <c r="C339" i="1"/>
  <c r="E339" i="1"/>
  <c r="F339" i="1"/>
  <c r="G1324" i="1"/>
  <c r="H1324" i="1"/>
  <c r="D1324" i="1"/>
  <c r="A1324" i="1"/>
  <c r="C1324" i="1"/>
  <c r="E1324" i="1"/>
  <c r="F1324" i="1"/>
  <c r="G328" i="1"/>
  <c r="H328" i="1"/>
  <c r="D328" i="1"/>
  <c r="A328" i="1"/>
  <c r="C328" i="1"/>
  <c r="E328" i="1"/>
  <c r="F328" i="1"/>
  <c r="G4709" i="1"/>
  <c r="H4709" i="1"/>
  <c r="D4709" i="1"/>
  <c r="A4709" i="1"/>
  <c r="C4709" i="1"/>
  <c r="E4709" i="1"/>
  <c r="F4709" i="1"/>
  <c r="G336" i="1"/>
  <c r="H336" i="1"/>
  <c r="D336" i="1"/>
  <c r="A336" i="1"/>
  <c r="C336" i="1"/>
  <c r="E336" i="1"/>
  <c r="F336" i="1"/>
  <c r="G5011" i="1"/>
  <c r="H5011" i="1"/>
  <c r="D5011" i="1"/>
  <c r="A5011" i="1"/>
  <c r="C5011" i="1"/>
  <c r="E5011" i="1"/>
  <c r="F5011" i="1"/>
  <c r="G4616" i="1"/>
  <c r="H4616" i="1"/>
  <c r="D4616" i="1"/>
  <c r="A4616" i="1"/>
  <c r="C4616" i="1"/>
  <c r="E4616" i="1"/>
  <c r="F4616" i="1"/>
  <c r="G337" i="1"/>
  <c r="H337" i="1"/>
  <c r="D337" i="1"/>
  <c r="A337" i="1"/>
  <c r="C337" i="1"/>
  <c r="E337" i="1"/>
  <c r="F337" i="1"/>
  <c r="G3656" i="1"/>
  <c r="H3656" i="1"/>
  <c r="D3656" i="1"/>
  <c r="A3656" i="1"/>
  <c r="C3656" i="1"/>
  <c r="E3656" i="1"/>
  <c r="F3656" i="1"/>
  <c r="G341" i="1"/>
  <c r="H341" i="1"/>
  <c r="D341" i="1"/>
  <c r="A341" i="1"/>
  <c r="C341" i="1"/>
  <c r="E341" i="1"/>
  <c r="F341" i="1"/>
  <c r="G4970" i="1"/>
  <c r="H4970" i="1"/>
  <c r="D4970" i="1"/>
  <c r="A4970" i="1"/>
  <c r="C4970" i="1"/>
  <c r="E4970" i="1"/>
  <c r="F4970" i="1"/>
  <c r="G357" i="1"/>
  <c r="H357" i="1"/>
  <c r="D357" i="1"/>
  <c r="A357" i="1"/>
  <c r="C357" i="1"/>
  <c r="E357" i="1"/>
  <c r="F357" i="1"/>
  <c r="G937" i="1"/>
  <c r="H937" i="1"/>
  <c r="D937" i="1"/>
  <c r="A937" i="1"/>
  <c r="C937" i="1"/>
  <c r="E937" i="1"/>
  <c r="F937" i="1"/>
  <c r="G374" i="1"/>
  <c r="H374" i="1"/>
  <c r="D374" i="1"/>
  <c r="A374" i="1"/>
  <c r="C374" i="1"/>
  <c r="E374" i="1"/>
  <c r="F374" i="1"/>
  <c r="G375" i="1"/>
  <c r="H375" i="1"/>
  <c r="D375" i="1"/>
  <c r="A375" i="1"/>
  <c r="C375" i="1"/>
  <c r="E375" i="1"/>
  <c r="F375" i="1"/>
  <c r="G1924" i="1"/>
  <c r="H1924" i="1"/>
  <c r="D1924" i="1"/>
  <c r="A1924" i="1"/>
  <c r="C1924" i="1"/>
  <c r="E1924" i="1"/>
  <c r="F1924" i="1"/>
  <c r="G376" i="1"/>
  <c r="H376" i="1"/>
  <c r="D376" i="1"/>
  <c r="A376" i="1"/>
  <c r="C376" i="1"/>
  <c r="E376" i="1"/>
  <c r="F376" i="1"/>
  <c r="G1914" i="1"/>
  <c r="H1914" i="1"/>
  <c r="D1914" i="1"/>
  <c r="A1914" i="1"/>
  <c r="C1914" i="1"/>
  <c r="E1914" i="1"/>
  <c r="F1914" i="1"/>
  <c r="G378" i="1"/>
  <c r="H378" i="1"/>
  <c r="D378" i="1"/>
  <c r="A378" i="1"/>
  <c r="C378" i="1"/>
  <c r="E378" i="1"/>
  <c r="F378" i="1"/>
  <c r="G1373" i="1"/>
  <c r="H1373" i="1"/>
  <c r="D1373" i="1"/>
  <c r="A1373" i="1"/>
  <c r="C1373" i="1"/>
  <c r="E1373" i="1"/>
  <c r="F1373" i="1"/>
  <c r="G381" i="1"/>
  <c r="H381" i="1"/>
  <c r="D381" i="1"/>
  <c r="A381" i="1"/>
  <c r="C381" i="1"/>
  <c r="E381" i="1"/>
  <c r="F381" i="1"/>
  <c r="G1197" i="1"/>
  <c r="H1197" i="1"/>
  <c r="D1197" i="1"/>
  <c r="A1197" i="1"/>
  <c r="C1197" i="1"/>
  <c r="E1197" i="1"/>
  <c r="F1197" i="1"/>
  <c r="G1391" i="1"/>
  <c r="H1391" i="1"/>
  <c r="D1391" i="1"/>
  <c r="A1391" i="1"/>
  <c r="C1391" i="1"/>
  <c r="E1391" i="1"/>
  <c r="F1391" i="1"/>
  <c r="G391" i="1"/>
  <c r="H391" i="1"/>
  <c r="D391" i="1"/>
  <c r="A391" i="1"/>
  <c r="C391" i="1"/>
  <c r="E391" i="1"/>
  <c r="F391" i="1"/>
  <c r="G2238" i="1"/>
  <c r="H2238" i="1"/>
  <c r="D2238" i="1"/>
  <c r="A2238" i="1"/>
  <c r="C2238" i="1"/>
  <c r="E2238" i="1"/>
  <c r="F2238" i="1"/>
  <c r="G392" i="1"/>
  <c r="H392" i="1"/>
  <c r="D392" i="1"/>
  <c r="A392" i="1"/>
  <c r="C392" i="1"/>
  <c r="E392" i="1"/>
  <c r="F392" i="1"/>
  <c r="G1424" i="1"/>
  <c r="H1424" i="1"/>
  <c r="D1424" i="1"/>
  <c r="A1424" i="1"/>
  <c r="C1424" i="1"/>
  <c r="E1424" i="1"/>
  <c r="F1424" i="1"/>
  <c r="G393" i="1"/>
  <c r="H393" i="1"/>
  <c r="D393" i="1"/>
  <c r="A393" i="1"/>
  <c r="C393" i="1"/>
  <c r="E393" i="1"/>
  <c r="F393" i="1"/>
  <c r="G4712" i="1"/>
  <c r="H4712" i="1"/>
  <c r="D4712" i="1"/>
  <c r="A4712" i="1"/>
  <c r="C4712" i="1"/>
  <c r="E4712" i="1"/>
  <c r="F4712" i="1"/>
  <c r="G402" i="1"/>
  <c r="H402" i="1"/>
  <c r="D402" i="1"/>
  <c r="A402" i="1"/>
  <c r="C402" i="1"/>
  <c r="E402" i="1"/>
  <c r="F402" i="1"/>
  <c r="G1441" i="1"/>
  <c r="H1441" i="1"/>
  <c r="D1441" i="1"/>
  <c r="A1441" i="1"/>
  <c r="C1441" i="1"/>
  <c r="E1441" i="1"/>
  <c r="F1441" i="1"/>
  <c r="G1218" i="1"/>
  <c r="H1218" i="1"/>
  <c r="D1218" i="1"/>
  <c r="A1218" i="1"/>
  <c r="C1218" i="1"/>
  <c r="E1218" i="1"/>
  <c r="F1218" i="1"/>
  <c r="G424" i="1"/>
  <c r="H424" i="1"/>
  <c r="D424" i="1"/>
  <c r="A424" i="1"/>
  <c r="C424" i="1"/>
  <c r="E424" i="1"/>
  <c r="F424" i="1"/>
  <c r="G429" i="1"/>
  <c r="H429" i="1"/>
  <c r="D429" i="1"/>
  <c r="A429" i="1"/>
  <c r="C429" i="1"/>
  <c r="E429" i="1"/>
  <c r="F429" i="1"/>
  <c r="G430" i="1"/>
  <c r="H430" i="1"/>
  <c r="D430" i="1"/>
  <c r="A430" i="1"/>
  <c r="C430" i="1"/>
  <c r="E430" i="1"/>
  <c r="F430" i="1"/>
  <c r="G1537" i="1"/>
  <c r="H1537" i="1"/>
  <c r="D1537" i="1"/>
  <c r="A1537" i="1"/>
  <c r="C1537" i="1"/>
  <c r="E1537" i="1"/>
  <c r="F1537" i="1"/>
  <c r="G443" i="1"/>
  <c r="H443" i="1"/>
  <c r="D443" i="1"/>
  <c r="A443" i="1"/>
  <c r="C443" i="1"/>
  <c r="E443" i="1"/>
  <c r="F443" i="1"/>
  <c r="G449" i="1"/>
  <c r="H449" i="1"/>
  <c r="D449" i="1"/>
  <c r="A449" i="1"/>
  <c r="C449" i="1"/>
  <c r="E449" i="1"/>
  <c r="F449" i="1"/>
  <c r="G451" i="1"/>
  <c r="H451" i="1"/>
  <c r="D451" i="1"/>
  <c r="A451" i="1"/>
  <c r="C451" i="1"/>
  <c r="E451" i="1"/>
  <c r="F451" i="1"/>
  <c r="G452" i="1"/>
  <c r="H452" i="1"/>
  <c r="D452" i="1"/>
  <c r="A452" i="1"/>
  <c r="C452" i="1"/>
  <c r="E452" i="1"/>
  <c r="F452" i="1"/>
  <c r="G468" i="1"/>
  <c r="H468" i="1"/>
  <c r="D468" i="1"/>
  <c r="A468" i="1"/>
  <c r="C468" i="1"/>
  <c r="E468" i="1"/>
  <c r="F468" i="1"/>
  <c r="G477" i="1"/>
  <c r="H477" i="1"/>
  <c r="D477" i="1"/>
  <c r="A477" i="1"/>
  <c r="C477" i="1"/>
  <c r="E477" i="1"/>
  <c r="F477" i="1"/>
  <c r="G480" i="1"/>
  <c r="H480" i="1"/>
  <c r="D480" i="1"/>
  <c r="A480" i="1"/>
  <c r="C480" i="1"/>
  <c r="E480" i="1"/>
  <c r="F480" i="1"/>
  <c r="G625" i="1"/>
  <c r="H625" i="1"/>
  <c r="D625" i="1"/>
  <c r="A625" i="1"/>
  <c r="C625" i="1"/>
  <c r="E625" i="1"/>
  <c r="F625" i="1"/>
  <c r="G5045" i="1"/>
  <c r="H5045" i="1"/>
  <c r="D5045" i="1"/>
  <c r="A5045" i="1"/>
  <c r="C5045" i="1"/>
  <c r="E5045" i="1"/>
  <c r="F5045" i="1"/>
  <c r="G628" i="1"/>
  <c r="H628" i="1"/>
  <c r="D628" i="1"/>
  <c r="A628" i="1"/>
  <c r="C628" i="1"/>
  <c r="E628" i="1"/>
  <c r="F628" i="1"/>
  <c r="G5046" i="1"/>
  <c r="H5046" i="1"/>
  <c r="D5046" i="1"/>
  <c r="A5046" i="1"/>
  <c r="C5046" i="1"/>
  <c r="E5046" i="1"/>
  <c r="F5046" i="1"/>
  <c r="G5049" i="1"/>
  <c r="H5049" i="1"/>
  <c r="D5049" i="1"/>
  <c r="A5049" i="1"/>
  <c r="C5049" i="1"/>
  <c r="E5049" i="1"/>
  <c r="F5049" i="1"/>
  <c r="G4983" i="1"/>
  <c r="H4983" i="1"/>
  <c r="D4983" i="1"/>
  <c r="A4983" i="1"/>
  <c r="C4983" i="1"/>
  <c r="E4983" i="1"/>
  <c r="F4983" i="1"/>
  <c r="G633" i="1"/>
  <c r="H633" i="1"/>
  <c r="D633" i="1"/>
  <c r="A633" i="1"/>
  <c r="C633" i="1"/>
  <c r="E633" i="1"/>
  <c r="F633" i="1"/>
  <c r="G5055" i="1"/>
  <c r="H5055" i="1"/>
  <c r="D5055" i="1"/>
  <c r="A5055" i="1"/>
  <c r="C5055" i="1"/>
  <c r="E5055" i="1"/>
  <c r="F5055" i="1"/>
  <c r="G636" i="1"/>
  <c r="H636" i="1"/>
  <c r="D636" i="1"/>
  <c r="A636" i="1"/>
  <c r="C636" i="1"/>
  <c r="E636" i="1"/>
  <c r="F636" i="1"/>
  <c r="G5056" i="1"/>
  <c r="H5056" i="1"/>
  <c r="D5056" i="1"/>
  <c r="A5056" i="1"/>
  <c r="C5056" i="1"/>
  <c r="E5056" i="1"/>
  <c r="F5056" i="1"/>
  <c r="G638" i="1"/>
  <c r="H638" i="1"/>
  <c r="D638" i="1"/>
  <c r="A638" i="1"/>
  <c r="C638" i="1"/>
  <c r="E638" i="1"/>
  <c r="F638" i="1"/>
  <c r="G5069" i="1"/>
  <c r="H5069" i="1"/>
  <c r="D5069" i="1"/>
  <c r="A5069" i="1"/>
  <c r="C5069" i="1"/>
  <c r="E5069" i="1"/>
  <c r="F5069" i="1"/>
  <c r="G5070" i="1"/>
  <c r="H5070" i="1"/>
  <c r="D5070" i="1"/>
  <c r="A5070" i="1"/>
  <c r="C5070" i="1"/>
  <c r="E5070" i="1"/>
  <c r="F5070" i="1"/>
  <c r="G645" i="1"/>
  <c r="H645" i="1"/>
  <c r="D645" i="1"/>
  <c r="A645" i="1"/>
  <c r="C645" i="1"/>
  <c r="E645" i="1"/>
  <c r="F645" i="1"/>
  <c r="G5072" i="1"/>
  <c r="H5072" i="1"/>
  <c r="D5072" i="1"/>
  <c r="A5072" i="1"/>
  <c r="C5072" i="1"/>
  <c r="E5072" i="1"/>
  <c r="F5072" i="1"/>
  <c r="G5073" i="1"/>
  <c r="H5073" i="1"/>
  <c r="D5073" i="1"/>
  <c r="A5073" i="1"/>
  <c r="C5073" i="1"/>
  <c r="E5073" i="1"/>
  <c r="F5073" i="1"/>
  <c r="G650" i="1"/>
  <c r="H650" i="1"/>
  <c r="D650" i="1"/>
  <c r="A650" i="1"/>
  <c r="C650" i="1"/>
  <c r="E650" i="1"/>
  <c r="F650" i="1"/>
  <c r="G5074" i="1"/>
  <c r="H5074" i="1"/>
  <c r="D5074" i="1"/>
  <c r="A5074" i="1"/>
  <c r="C5074" i="1"/>
  <c r="E5074" i="1"/>
  <c r="F5074" i="1"/>
  <c r="G651" i="1"/>
  <c r="H651" i="1"/>
  <c r="D651" i="1"/>
  <c r="A651" i="1"/>
  <c r="C651" i="1"/>
  <c r="E651" i="1"/>
  <c r="F651" i="1"/>
  <c r="G5075" i="1"/>
  <c r="H5075" i="1"/>
  <c r="D5075" i="1"/>
  <c r="A5075" i="1"/>
  <c r="C5075" i="1"/>
  <c r="E5075" i="1"/>
  <c r="F5075" i="1"/>
  <c r="G652" i="1"/>
  <c r="H652" i="1"/>
  <c r="D652" i="1"/>
  <c r="A652" i="1"/>
  <c r="C652" i="1"/>
  <c r="E652" i="1"/>
  <c r="F652" i="1"/>
  <c r="G5081" i="1"/>
  <c r="H5081" i="1"/>
  <c r="D5081" i="1"/>
  <c r="A5081" i="1"/>
  <c r="C5081" i="1"/>
  <c r="E5081" i="1"/>
  <c r="F5081" i="1"/>
  <c r="G667" i="1"/>
  <c r="H667" i="1"/>
  <c r="D667" i="1"/>
  <c r="A667" i="1"/>
  <c r="C667" i="1"/>
  <c r="E667" i="1"/>
  <c r="F667" i="1"/>
  <c r="G5082" i="1"/>
  <c r="H5082" i="1"/>
  <c r="D5082" i="1"/>
  <c r="A5082" i="1"/>
  <c r="C5082" i="1"/>
  <c r="E5082" i="1"/>
  <c r="F5082" i="1"/>
  <c r="G1469" i="1"/>
  <c r="H1469" i="1"/>
  <c r="D1469" i="1"/>
  <c r="A1469" i="1"/>
  <c r="C1469" i="1"/>
  <c r="E1469" i="1"/>
  <c r="F1469" i="1"/>
  <c r="G5083" i="1"/>
  <c r="H5083" i="1"/>
  <c r="D5083" i="1"/>
  <c r="A5083" i="1"/>
  <c r="C5083" i="1"/>
  <c r="E5083" i="1"/>
  <c r="F5083" i="1"/>
  <c r="G669" i="1"/>
  <c r="H669" i="1"/>
  <c r="D669" i="1"/>
  <c r="A669" i="1"/>
  <c r="C669" i="1"/>
  <c r="E669" i="1"/>
  <c r="F669" i="1"/>
  <c r="G5090" i="1"/>
  <c r="H5090" i="1"/>
  <c r="D5090" i="1"/>
  <c r="A5090" i="1"/>
  <c r="C5090" i="1"/>
  <c r="E5090" i="1"/>
  <c r="F5090" i="1"/>
  <c r="G1471" i="1"/>
  <c r="H1471" i="1"/>
  <c r="D1471" i="1"/>
  <c r="A1471" i="1"/>
  <c r="C1471" i="1"/>
  <c r="E1471" i="1"/>
  <c r="F1471" i="1"/>
  <c r="G5089" i="1"/>
  <c r="H5089" i="1"/>
  <c r="D5089" i="1"/>
  <c r="A5089" i="1"/>
  <c r="C5089" i="1"/>
  <c r="E5089" i="1"/>
  <c r="F5089" i="1"/>
  <c r="G1472" i="1"/>
  <c r="H1472" i="1"/>
  <c r="D1472" i="1"/>
  <c r="A1472" i="1"/>
  <c r="C1472" i="1"/>
  <c r="E1472" i="1"/>
  <c r="F1472" i="1"/>
  <c r="G5094" i="1"/>
  <c r="H5094" i="1"/>
  <c r="D5094" i="1"/>
  <c r="A5094" i="1"/>
  <c r="C5094" i="1"/>
  <c r="E5094" i="1"/>
  <c r="F5094" i="1"/>
  <c r="G1474" i="1"/>
  <c r="H1474" i="1"/>
  <c r="D1474" i="1"/>
  <c r="A1474" i="1"/>
  <c r="C1474" i="1"/>
  <c r="E1474" i="1"/>
  <c r="F1474" i="1"/>
  <c r="G5096" i="1"/>
  <c r="H5096" i="1"/>
  <c r="D5096" i="1"/>
  <c r="A5096" i="1"/>
  <c r="C5096" i="1"/>
  <c r="E5096" i="1"/>
  <c r="F5096" i="1"/>
  <c r="G506" i="1"/>
  <c r="H506" i="1"/>
  <c r="D506" i="1"/>
  <c r="A506" i="1"/>
  <c r="C506" i="1"/>
  <c r="E506" i="1"/>
  <c r="F506" i="1"/>
  <c r="G5099" i="1"/>
  <c r="H5099" i="1"/>
  <c r="D5099" i="1"/>
  <c r="A5099" i="1"/>
  <c r="C5099" i="1"/>
  <c r="E5099" i="1"/>
  <c r="F5099" i="1"/>
  <c r="G672" i="1"/>
  <c r="H672" i="1"/>
  <c r="D672" i="1"/>
  <c r="A672" i="1"/>
  <c r="C672" i="1"/>
  <c r="E672" i="1"/>
  <c r="F672" i="1"/>
  <c r="G5100" i="1"/>
  <c r="H5100" i="1"/>
  <c r="D5100" i="1"/>
  <c r="A5100" i="1"/>
  <c r="C5100" i="1"/>
  <c r="E5100" i="1"/>
  <c r="F5100" i="1"/>
  <c r="G5101" i="1"/>
  <c r="H5101" i="1"/>
  <c r="D5101" i="1"/>
  <c r="A5101" i="1"/>
  <c r="C5101" i="1"/>
  <c r="E5101" i="1"/>
  <c r="F5101" i="1"/>
  <c r="G675" i="1"/>
  <c r="H675" i="1"/>
  <c r="D675" i="1"/>
  <c r="A675" i="1"/>
  <c r="C675" i="1"/>
  <c r="E675" i="1"/>
  <c r="F675" i="1"/>
  <c r="G5104" i="1"/>
  <c r="H5104" i="1"/>
  <c r="D5104" i="1"/>
  <c r="A5104" i="1"/>
  <c r="C5104" i="1"/>
  <c r="E5104" i="1"/>
  <c r="F5104" i="1"/>
  <c r="G676" i="1"/>
  <c r="H676" i="1"/>
  <c r="D676" i="1"/>
  <c r="A676" i="1"/>
  <c r="C676" i="1"/>
  <c r="E676" i="1"/>
  <c r="F676" i="1"/>
  <c r="G1358" i="1"/>
  <c r="H1358" i="1"/>
  <c r="D1358" i="1"/>
  <c r="A1358" i="1"/>
  <c r="C1358" i="1"/>
  <c r="E1358" i="1"/>
  <c r="F1358" i="1"/>
  <c r="G1480" i="1"/>
  <c r="H1480" i="1"/>
  <c r="D1480" i="1"/>
  <c r="A1480" i="1"/>
  <c r="C1480" i="1"/>
  <c r="E1480" i="1"/>
  <c r="F1480" i="1"/>
  <c r="G1449" i="1"/>
  <c r="H1449" i="1"/>
  <c r="D1449" i="1"/>
  <c r="A1449" i="1"/>
  <c r="C1449" i="1"/>
  <c r="E1449" i="1"/>
  <c r="F1449" i="1"/>
  <c r="G686" i="1"/>
  <c r="H686" i="1"/>
  <c r="D686" i="1"/>
  <c r="A686" i="1"/>
  <c r="C686" i="1"/>
  <c r="E686" i="1"/>
  <c r="F686" i="1"/>
  <c r="G4012" i="1"/>
  <c r="H4012" i="1"/>
  <c r="D4012" i="1"/>
  <c r="A4012" i="1"/>
  <c r="C4012" i="1"/>
  <c r="E4012" i="1"/>
  <c r="F4012" i="1"/>
  <c r="G4595" i="1"/>
  <c r="H4595" i="1"/>
  <c r="D4595" i="1"/>
  <c r="A4595" i="1"/>
  <c r="C4595" i="1"/>
  <c r="E4595" i="1"/>
  <c r="F4595" i="1"/>
  <c r="G698" i="1"/>
  <c r="H698" i="1"/>
  <c r="D698" i="1"/>
  <c r="A698" i="1"/>
  <c r="C698" i="1"/>
  <c r="E698" i="1"/>
  <c r="F698" i="1"/>
  <c r="G1809" i="1"/>
  <c r="H1809" i="1"/>
  <c r="D1809" i="1"/>
  <c r="A1809" i="1"/>
  <c r="C1809" i="1"/>
  <c r="E1809" i="1"/>
  <c r="F1809" i="1"/>
  <c r="G1497" i="1"/>
  <c r="H1497" i="1"/>
  <c r="D1497" i="1"/>
  <c r="A1497" i="1"/>
  <c r="C1497" i="1"/>
  <c r="E1497" i="1"/>
  <c r="F1497" i="1"/>
  <c r="G713" i="1"/>
  <c r="H713" i="1"/>
  <c r="D713" i="1"/>
  <c r="A713" i="1"/>
  <c r="C713" i="1"/>
  <c r="E713" i="1"/>
  <c r="F713" i="1"/>
  <c r="G3483" i="1"/>
  <c r="H3483" i="1"/>
  <c r="D3483" i="1"/>
  <c r="A3483" i="1"/>
  <c r="C3483" i="1"/>
  <c r="E3483" i="1"/>
  <c r="F3483" i="1"/>
  <c r="G714" i="1"/>
  <c r="H714" i="1"/>
  <c r="D714" i="1"/>
  <c r="A714" i="1"/>
  <c r="C714" i="1"/>
  <c r="E714" i="1"/>
  <c r="F714" i="1"/>
  <c r="G719" i="1"/>
  <c r="H719" i="1"/>
  <c r="D719" i="1"/>
  <c r="A719" i="1"/>
  <c r="C719" i="1"/>
  <c r="E719" i="1"/>
  <c r="F719" i="1"/>
  <c r="G4148" i="1"/>
  <c r="H4148" i="1"/>
  <c r="D4148" i="1"/>
  <c r="A4148" i="1"/>
  <c r="C4148" i="1"/>
  <c r="E4148" i="1"/>
  <c r="F4148" i="1"/>
  <c r="G720" i="1"/>
  <c r="H720" i="1"/>
  <c r="D720" i="1"/>
  <c r="A720" i="1"/>
  <c r="C720" i="1"/>
  <c r="E720" i="1"/>
  <c r="F720" i="1"/>
  <c r="G1420" i="1"/>
  <c r="H1420" i="1"/>
  <c r="D1420" i="1"/>
  <c r="A1420" i="1"/>
  <c r="C1420" i="1"/>
  <c r="E1420" i="1"/>
  <c r="F1420" i="1"/>
  <c r="G1437" i="1"/>
  <c r="H1437" i="1"/>
  <c r="D1437" i="1"/>
  <c r="A1437" i="1"/>
  <c r="C1437" i="1"/>
  <c r="E1437" i="1"/>
  <c r="F1437" i="1"/>
  <c r="G696" i="1"/>
  <c r="H696" i="1"/>
  <c r="D696" i="1"/>
  <c r="A696" i="1"/>
  <c r="C696" i="1"/>
  <c r="E696" i="1"/>
  <c r="F696" i="1"/>
  <c r="G743" i="1"/>
  <c r="H743" i="1"/>
  <c r="D743" i="1"/>
  <c r="A743" i="1"/>
  <c r="C743" i="1"/>
  <c r="E743" i="1"/>
  <c r="F743" i="1"/>
  <c r="G718" i="1"/>
  <c r="H718" i="1"/>
  <c r="D718" i="1"/>
  <c r="A718" i="1"/>
  <c r="C718" i="1"/>
  <c r="E718" i="1"/>
  <c r="F718" i="1"/>
  <c r="G749" i="1"/>
  <c r="H749" i="1"/>
  <c r="D749" i="1"/>
  <c r="A749" i="1"/>
  <c r="C749" i="1"/>
  <c r="E749" i="1"/>
  <c r="F749" i="1"/>
  <c r="G2709" i="1"/>
  <c r="H2709" i="1"/>
  <c r="D2709" i="1"/>
  <c r="A2709" i="1"/>
  <c r="C2709" i="1"/>
  <c r="E2709" i="1"/>
  <c r="F2709" i="1"/>
  <c r="G755" i="1"/>
  <c r="H755" i="1"/>
  <c r="D755" i="1"/>
  <c r="A755" i="1"/>
  <c r="C755" i="1"/>
  <c r="E755" i="1"/>
  <c r="F755" i="1"/>
  <c r="G786" i="1"/>
  <c r="H786" i="1"/>
  <c r="D786" i="1"/>
  <c r="A786" i="1"/>
  <c r="C786" i="1"/>
  <c r="E786" i="1"/>
  <c r="F786" i="1"/>
  <c r="G754" i="1"/>
  <c r="H754" i="1"/>
  <c r="D754" i="1"/>
  <c r="A754" i="1"/>
  <c r="C754" i="1"/>
  <c r="E754" i="1"/>
  <c r="F754" i="1"/>
  <c r="G818" i="1"/>
  <c r="H818" i="1"/>
  <c r="D818" i="1"/>
  <c r="A818" i="1"/>
  <c r="C818" i="1"/>
  <c r="E818" i="1"/>
  <c r="F818" i="1"/>
  <c r="G757" i="1"/>
  <c r="H757" i="1"/>
  <c r="D757" i="1"/>
  <c r="A757" i="1"/>
  <c r="C757" i="1"/>
  <c r="E757" i="1"/>
  <c r="F757" i="1"/>
  <c r="G824" i="1"/>
  <c r="H824" i="1"/>
  <c r="D824" i="1"/>
  <c r="A824" i="1"/>
  <c r="C824" i="1"/>
  <c r="E824" i="1"/>
  <c r="F824" i="1"/>
  <c r="G758" i="1"/>
  <c r="H758" i="1"/>
  <c r="D758" i="1"/>
  <c r="A758" i="1"/>
  <c r="C758" i="1"/>
  <c r="E758" i="1"/>
  <c r="F758" i="1"/>
  <c r="G760" i="1"/>
  <c r="H760" i="1"/>
  <c r="D760" i="1"/>
  <c r="A760" i="1"/>
  <c r="C760" i="1"/>
  <c r="E760" i="1"/>
  <c r="F760" i="1"/>
  <c r="G846" i="1"/>
  <c r="H846" i="1"/>
  <c r="D846" i="1"/>
  <c r="A846" i="1"/>
  <c r="C846" i="1"/>
  <c r="E846" i="1"/>
  <c r="F846" i="1"/>
  <c r="G764" i="1"/>
  <c r="H764" i="1"/>
  <c r="D764" i="1"/>
  <c r="A764" i="1"/>
  <c r="C764" i="1"/>
  <c r="E764" i="1"/>
  <c r="F764" i="1"/>
  <c r="G845" i="1"/>
  <c r="H845" i="1"/>
  <c r="D845" i="1"/>
  <c r="A845" i="1"/>
  <c r="C845" i="1"/>
  <c r="E845" i="1"/>
  <c r="F845" i="1"/>
  <c r="G788" i="1"/>
  <c r="H788" i="1"/>
  <c r="D788" i="1"/>
  <c r="A788" i="1"/>
  <c r="C788" i="1"/>
  <c r="E788" i="1"/>
  <c r="F788" i="1"/>
  <c r="G849" i="1"/>
  <c r="H849" i="1"/>
  <c r="D849" i="1"/>
  <c r="A849" i="1"/>
  <c r="C849" i="1"/>
  <c r="E849" i="1"/>
  <c r="F849" i="1"/>
  <c r="G794" i="1"/>
  <c r="H794" i="1"/>
  <c r="D794" i="1"/>
  <c r="A794" i="1"/>
  <c r="C794" i="1"/>
  <c r="E794" i="1"/>
  <c r="F794" i="1"/>
  <c r="G434" i="1"/>
  <c r="H434" i="1"/>
  <c r="D434" i="1"/>
  <c r="A434" i="1"/>
  <c r="C434" i="1"/>
  <c r="E434" i="1"/>
  <c r="F434" i="1"/>
  <c r="G439" i="1"/>
  <c r="H439" i="1"/>
  <c r="D439" i="1"/>
  <c r="A439" i="1"/>
  <c r="C439" i="1"/>
  <c r="E439" i="1"/>
  <c r="F439" i="1"/>
  <c r="G841" i="1"/>
  <c r="H841" i="1"/>
  <c r="D841" i="1"/>
  <c r="A841" i="1"/>
  <c r="C841" i="1"/>
  <c r="E841" i="1"/>
  <c r="F841" i="1"/>
  <c r="G440" i="1"/>
  <c r="H440" i="1"/>
  <c r="D440" i="1"/>
  <c r="A440" i="1"/>
  <c r="C440" i="1"/>
  <c r="E440" i="1"/>
  <c r="F440" i="1"/>
  <c r="G854" i="1"/>
  <c r="H854" i="1"/>
  <c r="D854" i="1"/>
  <c r="A854" i="1"/>
  <c r="C854" i="1"/>
  <c r="E854" i="1"/>
  <c r="F854" i="1"/>
  <c r="G850" i="1"/>
  <c r="H850" i="1"/>
  <c r="D850" i="1"/>
  <c r="A850" i="1"/>
  <c r="C850" i="1"/>
  <c r="E850" i="1"/>
  <c r="F850" i="1"/>
  <c r="G853" i="1"/>
  <c r="H853" i="1"/>
  <c r="D853" i="1"/>
  <c r="A853" i="1"/>
  <c r="C853" i="1"/>
  <c r="E853" i="1"/>
  <c r="F853" i="1"/>
  <c r="G4708" i="1"/>
  <c r="H4708" i="1"/>
  <c r="D4708" i="1"/>
  <c r="A4708" i="1"/>
  <c r="C4708" i="1"/>
  <c r="E4708" i="1"/>
  <c r="F4708" i="1"/>
  <c r="G856" i="1"/>
  <c r="H856" i="1"/>
  <c r="D856" i="1"/>
  <c r="A856" i="1"/>
  <c r="C856" i="1"/>
  <c r="E856" i="1"/>
  <c r="F856" i="1"/>
  <c r="G4912" i="1"/>
  <c r="H4912" i="1"/>
  <c r="D4912" i="1"/>
  <c r="A4912" i="1"/>
  <c r="C4912" i="1"/>
  <c r="E4912" i="1"/>
  <c r="F4912" i="1"/>
  <c r="G3253" i="1"/>
  <c r="H3253" i="1"/>
  <c r="D3253" i="1"/>
  <c r="A3253" i="1"/>
  <c r="C3253" i="1"/>
  <c r="E3253" i="1"/>
  <c r="F3253" i="1"/>
  <c r="G1518" i="1"/>
  <c r="H1518" i="1"/>
  <c r="D1518" i="1"/>
  <c r="A1518" i="1"/>
  <c r="C1518" i="1"/>
  <c r="E1518" i="1"/>
  <c r="F1518" i="1"/>
  <c r="G860" i="1"/>
  <c r="H860" i="1"/>
  <c r="D860" i="1"/>
  <c r="A860" i="1"/>
  <c r="C860" i="1"/>
  <c r="E860" i="1"/>
  <c r="F860" i="1"/>
  <c r="G864" i="1"/>
  <c r="H864" i="1"/>
  <c r="D864" i="1"/>
  <c r="A864" i="1"/>
  <c r="C864" i="1"/>
  <c r="E864" i="1"/>
  <c r="F864" i="1"/>
  <c r="G861" i="1"/>
  <c r="H861" i="1"/>
  <c r="D861" i="1"/>
  <c r="A861" i="1"/>
  <c r="C861" i="1"/>
  <c r="E861" i="1"/>
  <c r="F861" i="1"/>
  <c r="G865" i="1"/>
  <c r="H865" i="1"/>
  <c r="D865" i="1"/>
  <c r="A865" i="1"/>
  <c r="C865" i="1"/>
  <c r="E865" i="1"/>
  <c r="F865" i="1"/>
  <c r="G847" i="1"/>
  <c r="H847" i="1"/>
  <c r="D847" i="1"/>
  <c r="A847" i="1"/>
  <c r="C847" i="1"/>
  <c r="E847" i="1"/>
  <c r="F847" i="1"/>
  <c r="G800" i="1"/>
  <c r="H800" i="1"/>
  <c r="D800" i="1"/>
  <c r="A800" i="1"/>
  <c r="C800" i="1"/>
  <c r="E800" i="1"/>
  <c r="F800" i="1"/>
  <c r="G876" i="1"/>
  <c r="H876" i="1"/>
  <c r="D876" i="1"/>
  <c r="A876" i="1"/>
  <c r="C876" i="1"/>
  <c r="E876" i="1"/>
  <c r="F876" i="1"/>
  <c r="G859" i="1"/>
  <c r="H859" i="1"/>
  <c r="D859" i="1"/>
  <c r="A859" i="1"/>
  <c r="C859" i="1"/>
  <c r="E859" i="1"/>
  <c r="F859" i="1"/>
  <c r="G879" i="1"/>
  <c r="H879" i="1"/>
  <c r="D879" i="1"/>
  <c r="A879" i="1"/>
  <c r="C879" i="1"/>
  <c r="E879" i="1"/>
  <c r="F879" i="1"/>
  <c r="G1037" i="1"/>
  <c r="H1037" i="1"/>
  <c r="D1037" i="1"/>
  <c r="A1037" i="1"/>
  <c r="C1037" i="1"/>
  <c r="E1037" i="1"/>
  <c r="F1037" i="1"/>
  <c r="G887" i="1"/>
  <c r="H887" i="1"/>
  <c r="D887" i="1"/>
  <c r="A887" i="1"/>
  <c r="C887" i="1"/>
  <c r="E887" i="1"/>
  <c r="F887" i="1"/>
  <c r="G1915" i="1"/>
  <c r="H1915" i="1"/>
  <c r="D1915" i="1"/>
  <c r="A1915" i="1"/>
  <c r="C1915" i="1"/>
  <c r="E1915" i="1"/>
  <c r="F1915" i="1"/>
  <c r="G890" i="1"/>
  <c r="H890" i="1"/>
  <c r="D890" i="1"/>
  <c r="A890" i="1"/>
  <c r="C890" i="1"/>
  <c r="E890" i="1"/>
  <c r="F890" i="1"/>
  <c r="G2727" i="1"/>
  <c r="H2727" i="1"/>
  <c r="D2727" i="1"/>
  <c r="A2727" i="1"/>
  <c r="C2727" i="1"/>
  <c r="E2727" i="1"/>
  <c r="F2727" i="1"/>
  <c r="G893" i="1"/>
  <c r="H893" i="1"/>
  <c r="D893" i="1"/>
  <c r="A893" i="1"/>
  <c r="C893" i="1"/>
  <c r="E893" i="1"/>
  <c r="F893" i="1"/>
  <c r="G2801" i="1"/>
  <c r="H2801" i="1"/>
  <c r="D2801" i="1"/>
  <c r="A2801" i="1"/>
  <c r="C2801" i="1"/>
  <c r="E2801" i="1"/>
  <c r="F2801" i="1"/>
  <c r="G895" i="1"/>
  <c r="H895" i="1"/>
  <c r="D895" i="1"/>
  <c r="A895" i="1"/>
  <c r="C895" i="1"/>
  <c r="E895" i="1"/>
  <c r="F895" i="1"/>
  <c r="G3292" i="1"/>
  <c r="H3292" i="1"/>
  <c r="D3292" i="1"/>
  <c r="A3292" i="1"/>
  <c r="C3292" i="1"/>
  <c r="E3292" i="1"/>
  <c r="F3292" i="1"/>
  <c r="G900" i="1"/>
  <c r="H900" i="1"/>
  <c r="D900" i="1"/>
  <c r="A900" i="1"/>
  <c r="C900" i="1"/>
  <c r="E900" i="1"/>
  <c r="F900" i="1"/>
  <c r="G4127" i="1"/>
  <c r="H4127" i="1"/>
  <c r="D4127" i="1"/>
  <c r="A4127" i="1"/>
  <c r="C4127" i="1"/>
  <c r="E4127" i="1"/>
  <c r="F4127" i="1"/>
  <c r="G910" i="1"/>
  <c r="H910" i="1"/>
  <c r="D910" i="1"/>
  <c r="A910" i="1"/>
  <c r="C910" i="1"/>
  <c r="E910" i="1"/>
  <c r="F910" i="1"/>
  <c r="G938" i="1"/>
  <c r="H938" i="1"/>
  <c r="D938" i="1"/>
  <c r="A938" i="1"/>
  <c r="C938" i="1"/>
  <c r="E938" i="1"/>
  <c r="F938" i="1"/>
  <c r="G4119" i="1"/>
  <c r="H4119" i="1"/>
  <c r="D4119" i="1"/>
  <c r="A4119" i="1"/>
  <c r="C4119" i="1"/>
  <c r="E4119" i="1"/>
  <c r="F4119" i="1"/>
  <c r="G939" i="1"/>
  <c r="H939" i="1"/>
  <c r="D939" i="1"/>
  <c r="A939" i="1"/>
  <c r="C939" i="1"/>
  <c r="E939" i="1"/>
  <c r="F939" i="1"/>
  <c r="G4129" i="1"/>
  <c r="H4129" i="1"/>
  <c r="D4129" i="1"/>
  <c r="A4129" i="1"/>
  <c r="C4129" i="1"/>
  <c r="E4129" i="1"/>
  <c r="F4129" i="1"/>
  <c r="G941" i="1"/>
  <c r="H941" i="1"/>
  <c r="D941" i="1"/>
  <c r="A941" i="1"/>
  <c r="C941" i="1"/>
  <c r="E941" i="1"/>
  <c r="F941" i="1"/>
  <c r="G1328" i="1"/>
  <c r="H1328" i="1"/>
  <c r="D1328" i="1"/>
  <c r="A1328" i="1"/>
  <c r="C1328" i="1"/>
  <c r="E1328" i="1"/>
  <c r="F1328" i="1"/>
  <c r="G942" i="1"/>
  <c r="H942" i="1"/>
  <c r="D942" i="1"/>
  <c r="A942" i="1"/>
  <c r="C942" i="1"/>
  <c r="E942" i="1"/>
  <c r="F942" i="1"/>
  <c r="G1331" i="1"/>
  <c r="H1331" i="1"/>
  <c r="D1331" i="1"/>
  <c r="A1331" i="1"/>
  <c r="C1331" i="1"/>
  <c r="E1331" i="1"/>
  <c r="F1331" i="1"/>
  <c r="G773" i="1"/>
  <c r="H773" i="1"/>
  <c r="D773" i="1"/>
  <c r="A773" i="1"/>
  <c r="C773" i="1"/>
  <c r="E773" i="1"/>
  <c r="F773" i="1"/>
  <c r="G917" i="1"/>
  <c r="H917" i="1"/>
  <c r="D917" i="1"/>
  <c r="A917" i="1"/>
  <c r="C917" i="1"/>
  <c r="E917" i="1"/>
  <c r="F917" i="1"/>
  <c r="G918" i="1"/>
  <c r="H918" i="1"/>
  <c r="D918" i="1"/>
  <c r="A918" i="1"/>
  <c r="C918" i="1"/>
  <c r="E918" i="1"/>
  <c r="F918" i="1"/>
  <c r="G1356" i="1"/>
  <c r="H1356" i="1"/>
  <c r="D1356" i="1"/>
  <c r="A1356" i="1"/>
  <c r="C1356" i="1"/>
  <c r="E1356" i="1"/>
  <c r="F1356" i="1"/>
  <c r="G919" i="1"/>
  <c r="H919" i="1"/>
  <c r="D919" i="1"/>
  <c r="A919" i="1"/>
  <c r="C919" i="1"/>
  <c r="E919" i="1"/>
  <c r="F919" i="1"/>
  <c r="G412" i="1"/>
  <c r="H412" i="1"/>
  <c r="D412" i="1"/>
  <c r="A412" i="1"/>
  <c r="C412" i="1"/>
  <c r="E412" i="1"/>
  <c r="F412" i="1"/>
  <c r="G1355" i="1"/>
  <c r="H1355" i="1"/>
  <c r="D1355" i="1"/>
  <c r="A1355" i="1"/>
  <c r="C1355" i="1"/>
  <c r="E1355" i="1"/>
  <c r="F1355" i="1"/>
  <c r="G920" i="1"/>
  <c r="H920" i="1"/>
  <c r="D920" i="1"/>
  <c r="A920" i="1"/>
  <c r="C920" i="1"/>
  <c r="E920" i="1"/>
  <c r="F920" i="1"/>
  <c r="G1679" i="1"/>
  <c r="H1679" i="1"/>
  <c r="D1679" i="1"/>
  <c r="A1679" i="1"/>
  <c r="C1679" i="1"/>
  <c r="E1679" i="1"/>
  <c r="F1679" i="1"/>
  <c r="G921" i="1"/>
  <c r="H921" i="1"/>
  <c r="D921" i="1"/>
  <c r="A921" i="1"/>
  <c r="C921" i="1"/>
  <c r="E921" i="1"/>
  <c r="F921" i="1"/>
  <c r="G1363" i="1"/>
  <c r="H1363" i="1"/>
  <c r="D1363" i="1"/>
  <c r="A1363" i="1"/>
  <c r="C1363" i="1"/>
  <c r="E1363" i="1"/>
  <c r="F1363" i="1"/>
  <c r="G922" i="1"/>
  <c r="H922" i="1"/>
  <c r="D922" i="1"/>
  <c r="A922" i="1"/>
  <c r="C922" i="1"/>
  <c r="E922" i="1"/>
  <c r="F922" i="1"/>
  <c r="G1365" i="1"/>
  <c r="H1365" i="1"/>
  <c r="D1365" i="1"/>
  <c r="A1365" i="1"/>
  <c r="C1365" i="1"/>
  <c r="E1365" i="1"/>
  <c r="F1365" i="1"/>
  <c r="G924" i="1"/>
  <c r="H924" i="1"/>
  <c r="D924" i="1"/>
  <c r="A924" i="1"/>
  <c r="C924" i="1"/>
  <c r="E924" i="1"/>
  <c r="F924" i="1"/>
  <c r="G1357" i="1"/>
  <c r="H1357" i="1"/>
  <c r="D1357" i="1"/>
  <c r="A1357" i="1"/>
  <c r="C1357" i="1"/>
  <c r="E1357" i="1"/>
  <c r="F1357" i="1"/>
  <c r="G931" i="1"/>
  <c r="H931" i="1"/>
  <c r="D931" i="1"/>
  <c r="A931" i="1"/>
  <c r="C931" i="1"/>
  <c r="E931" i="1"/>
  <c r="F931" i="1"/>
  <c r="G1366" i="1"/>
  <c r="H1366" i="1"/>
  <c r="D1366" i="1"/>
  <c r="A1366" i="1"/>
  <c r="C1366" i="1"/>
  <c r="E1366" i="1"/>
  <c r="F1366" i="1"/>
  <c r="G932" i="1"/>
  <c r="H932" i="1"/>
  <c r="D932" i="1"/>
  <c r="A932" i="1"/>
  <c r="C932" i="1"/>
  <c r="E932" i="1"/>
  <c r="F932" i="1"/>
  <c r="G1367" i="1"/>
  <c r="H1367" i="1"/>
  <c r="D1367" i="1"/>
  <c r="A1367" i="1"/>
  <c r="C1367" i="1"/>
  <c r="E1367" i="1"/>
  <c r="F1367" i="1"/>
  <c r="G1369" i="1"/>
  <c r="H1369" i="1"/>
  <c r="D1369" i="1"/>
  <c r="A1369" i="1"/>
  <c r="C1369" i="1"/>
  <c r="E1369" i="1"/>
  <c r="F1369" i="1"/>
  <c r="G935" i="1"/>
  <c r="H935" i="1"/>
  <c r="D935" i="1"/>
  <c r="A935" i="1"/>
  <c r="C935" i="1"/>
  <c r="E935" i="1"/>
  <c r="F935" i="1"/>
  <c r="G1378" i="1"/>
  <c r="H1378" i="1"/>
  <c r="D1378" i="1"/>
  <c r="A1378" i="1"/>
  <c r="C1378" i="1"/>
  <c r="E1378" i="1"/>
  <c r="F1378" i="1"/>
  <c r="G936" i="1"/>
  <c r="H936" i="1"/>
  <c r="D936" i="1"/>
  <c r="A936" i="1"/>
  <c r="C936" i="1"/>
  <c r="E936" i="1"/>
  <c r="F936" i="1"/>
  <c r="G1380" i="1"/>
  <c r="H1380" i="1"/>
  <c r="D1380" i="1"/>
  <c r="A1380" i="1"/>
  <c r="C1380" i="1"/>
  <c r="E1380" i="1"/>
  <c r="F1380" i="1"/>
  <c r="G945" i="1"/>
  <c r="H945" i="1"/>
  <c r="D945" i="1"/>
  <c r="A945" i="1"/>
  <c r="C945" i="1"/>
  <c r="E945" i="1"/>
  <c r="F945" i="1"/>
  <c r="G1382" i="1"/>
  <c r="H1382" i="1"/>
  <c r="D1382" i="1"/>
  <c r="A1382" i="1"/>
  <c r="C1382" i="1"/>
  <c r="E1382" i="1"/>
  <c r="F1382" i="1"/>
  <c r="G1385" i="1"/>
  <c r="H1385" i="1"/>
  <c r="D1385" i="1"/>
  <c r="A1385" i="1"/>
  <c r="C1385" i="1"/>
  <c r="E1385" i="1"/>
  <c r="F1385" i="1"/>
  <c r="G962" i="1"/>
  <c r="H962" i="1"/>
  <c r="D962" i="1"/>
  <c r="A962" i="1"/>
  <c r="C962" i="1"/>
  <c r="E962" i="1"/>
  <c r="F962" i="1"/>
  <c r="G1392" i="1"/>
  <c r="H1392" i="1"/>
  <c r="D1392" i="1"/>
  <c r="A1392" i="1"/>
  <c r="C1392" i="1"/>
  <c r="E1392" i="1"/>
  <c r="F1392" i="1"/>
  <c r="G968" i="1"/>
  <c r="H968" i="1"/>
  <c r="D968" i="1"/>
  <c r="A968" i="1"/>
  <c r="C968" i="1"/>
  <c r="E968" i="1"/>
  <c r="F968" i="1"/>
  <c r="G1398" i="1"/>
  <c r="H1398" i="1"/>
  <c r="D1398" i="1"/>
  <c r="A1398" i="1"/>
  <c r="C1398" i="1"/>
  <c r="E1398" i="1"/>
  <c r="F1398" i="1"/>
  <c r="G1399" i="1"/>
  <c r="H1399" i="1"/>
  <c r="D1399" i="1"/>
  <c r="A1399" i="1"/>
  <c r="C1399" i="1"/>
  <c r="E1399" i="1"/>
  <c r="F1399" i="1"/>
  <c r="G1206" i="1"/>
  <c r="H1206" i="1"/>
  <c r="D1206" i="1"/>
  <c r="A1206" i="1"/>
  <c r="C1206" i="1"/>
  <c r="E1206" i="1"/>
  <c r="F1206" i="1"/>
  <c r="G588" i="1"/>
  <c r="H588" i="1"/>
  <c r="D588" i="1"/>
  <c r="A588" i="1"/>
  <c r="C588" i="1"/>
  <c r="E588" i="1"/>
  <c r="F588" i="1"/>
  <c r="G1402" i="1"/>
  <c r="H1402" i="1"/>
  <c r="D1402" i="1"/>
  <c r="A1402" i="1"/>
  <c r="C1402" i="1"/>
  <c r="E1402" i="1"/>
  <c r="F1402" i="1"/>
  <c r="G985" i="1"/>
  <c r="H985" i="1"/>
  <c r="D985" i="1"/>
  <c r="A985" i="1"/>
  <c r="C985" i="1"/>
  <c r="E985" i="1"/>
  <c r="F985" i="1"/>
  <c r="G1406" i="1"/>
  <c r="H1406" i="1"/>
  <c r="D1406" i="1"/>
  <c r="A1406" i="1"/>
  <c r="C1406" i="1"/>
  <c r="E1406" i="1"/>
  <c r="F1406" i="1"/>
  <c r="G984" i="1"/>
  <c r="H984" i="1"/>
  <c r="D984" i="1"/>
  <c r="A984" i="1"/>
  <c r="C984" i="1"/>
  <c r="E984" i="1"/>
  <c r="F984" i="1"/>
  <c r="G1404" i="1"/>
  <c r="H1404" i="1"/>
  <c r="D1404" i="1"/>
  <c r="A1404" i="1"/>
  <c r="C1404" i="1"/>
  <c r="E1404" i="1"/>
  <c r="F1404" i="1"/>
  <c r="G1006" i="1"/>
  <c r="H1006" i="1"/>
  <c r="D1006" i="1"/>
  <c r="A1006" i="1"/>
  <c r="C1006" i="1"/>
  <c r="E1006" i="1"/>
  <c r="F1006" i="1"/>
  <c r="G1007" i="1"/>
  <c r="H1007" i="1"/>
  <c r="D1007" i="1"/>
  <c r="A1007" i="1"/>
  <c r="C1007" i="1"/>
  <c r="E1007" i="1"/>
  <c r="F1007" i="1"/>
  <c r="G1411" i="1"/>
  <c r="H1411" i="1"/>
  <c r="D1411" i="1"/>
  <c r="A1411" i="1"/>
  <c r="C1411" i="1"/>
  <c r="E1411" i="1"/>
  <c r="F1411" i="1"/>
  <c r="G1009" i="1"/>
  <c r="H1009" i="1"/>
  <c r="D1009" i="1"/>
  <c r="A1009" i="1"/>
  <c r="C1009" i="1"/>
  <c r="E1009" i="1"/>
  <c r="F1009" i="1"/>
  <c r="G1413" i="1"/>
  <c r="H1413" i="1"/>
  <c r="D1413" i="1"/>
  <c r="A1413" i="1"/>
  <c r="C1413" i="1"/>
  <c r="E1413" i="1"/>
  <c r="F1413" i="1"/>
  <c r="G1010" i="1"/>
  <c r="H1010" i="1"/>
  <c r="D1010" i="1"/>
  <c r="A1010" i="1"/>
  <c r="C1010" i="1"/>
  <c r="E1010" i="1"/>
  <c r="F1010" i="1"/>
  <c r="G1011" i="1"/>
  <c r="H1011" i="1"/>
  <c r="D1011" i="1"/>
  <c r="A1011" i="1"/>
  <c r="C1011" i="1"/>
  <c r="E1011" i="1"/>
  <c r="F1011" i="1"/>
  <c r="G1419" i="1"/>
  <c r="H1419" i="1"/>
  <c r="D1419" i="1"/>
  <c r="A1419" i="1"/>
  <c r="C1419" i="1"/>
  <c r="E1419" i="1"/>
  <c r="F1419" i="1"/>
  <c r="G1032" i="1"/>
  <c r="H1032" i="1"/>
  <c r="D1032" i="1"/>
  <c r="A1032" i="1"/>
  <c r="C1032" i="1"/>
  <c r="E1032" i="1"/>
  <c r="F1032" i="1"/>
  <c r="G1429" i="1"/>
  <c r="H1429" i="1"/>
  <c r="D1429" i="1"/>
  <c r="A1429" i="1"/>
  <c r="C1429" i="1"/>
  <c r="E1429" i="1"/>
  <c r="F1429" i="1"/>
  <c r="G1033" i="1"/>
  <c r="H1033" i="1"/>
  <c r="D1033" i="1"/>
  <c r="A1033" i="1"/>
  <c r="C1033" i="1"/>
  <c r="E1033" i="1"/>
  <c r="F1033" i="1"/>
  <c r="G1445" i="1"/>
  <c r="H1445" i="1"/>
  <c r="D1445" i="1"/>
  <c r="A1445" i="1"/>
  <c r="C1445" i="1"/>
  <c r="E1445" i="1"/>
  <c r="F1445" i="1"/>
  <c r="G1450" i="1"/>
  <c r="H1450" i="1"/>
  <c r="D1450" i="1"/>
  <c r="A1450" i="1"/>
  <c r="C1450" i="1"/>
  <c r="E1450" i="1"/>
  <c r="F1450" i="1"/>
  <c r="G4152" i="1"/>
  <c r="H4152" i="1"/>
  <c r="D4152" i="1"/>
  <c r="A4152" i="1"/>
  <c r="C4152" i="1"/>
  <c r="E4152" i="1"/>
  <c r="F4152" i="1"/>
  <c r="G482" i="1"/>
  <c r="H482" i="1"/>
  <c r="D482" i="1"/>
  <c r="A482" i="1"/>
  <c r="C482" i="1"/>
  <c r="E482" i="1"/>
  <c r="F482" i="1"/>
  <c r="G4154" i="1"/>
  <c r="H4154" i="1"/>
  <c r="D4154" i="1"/>
  <c r="A4154" i="1"/>
  <c r="C4154" i="1"/>
  <c r="E4154" i="1"/>
  <c r="F4154" i="1"/>
  <c r="G504" i="1"/>
  <c r="H504" i="1"/>
  <c r="D504" i="1"/>
  <c r="A504" i="1"/>
  <c r="C504" i="1"/>
  <c r="E504" i="1"/>
  <c r="F504" i="1"/>
  <c r="G4163" i="1"/>
  <c r="H4163" i="1"/>
  <c r="D4163" i="1"/>
  <c r="A4163" i="1"/>
  <c r="C4163" i="1"/>
  <c r="E4163" i="1"/>
  <c r="F4163" i="1"/>
  <c r="G36" i="1"/>
  <c r="H36" i="1"/>
  <c r="D36" i="1"/>
  <c r="A36" i="1"/>
  <c r="C36" i="1"/>
  <c r="E36" i="1"/>
  <c r="F36" i="1"/>
  <c r="G4168" i="1"/>
  <c r="H4168" i="1"/>
  <c r="D4168" i="1"/>
  <c r="A4168" i="1"/>
  <c r="C4168" i="1"/>
  <c r="E4168" i="1"/>
  <c r="F4168" i="1"/>
  <c r="G60" i="1"/>
  <c r="H60" i="1"/>
  <c r="D60" i="1"/>
  <c r="A60" i="1"/>
  <c r="C60" i="1"/>
  <c r="E60" i="1"/>
  <c r="F60" i="1"/>
  <c r="G4375" i="1"/>
  <c r="H4375" i="1"/>
  <c r="D4375" i="1"/>
  <c r="A4375" i="1"/>
  <c r="C4375" i="1"/>
  <c r="E4375" i="1"/>
  <c r="F4375" i="1"/>
  <c r="G75" i="1"/>
  <c r="H75" i="1"/>
  <c r="D75" i="1"/>
  <c r="A75" i="1"/>
  <c r="C75" i="1"/>
  <c r="E75" i="1"/>
  <c r="F75" i="1"/>
  <c r="G4176" i="1"/>
  <c r="H4176" i="1"/>
  <c r="D4176" i="1"/>
  <c r="A4176" i="1"/>
  <c r="C4176" i="1"/>
  <c r="E4176" i="1"/>
  <c r="F4176" i="1"/>
  <c r="G4181" i="1"/>
  <c r="H4181" i="1"/>
  <c r="D4181" i="1"/>
  <c r="A4181" i="1"/>
  <c r="C4181" i="1"/>
  <c r="E4181" i="1"/>
  <c r="F4181" i="1"/>
  <c r="G76" i="1"/>
  <c r="H76" i="1"/>
  <c r="D76" i="1"/>
  <c r="A76" i="1"/>
  <c r="C76" i="1"/>
  <c r="E76" i="1"/>
  <c r="F76" i="1"/>
  <c r="G1608" i="1"/>
  <c r="H1608" i="1"/>
  <c r="D1608" i="1"/>
  <c r="A1608" i="1"/>
  <c r="C1608" i="1"/>
  <c r="E1608" i="1"/>
  <c r="F1608" i="1"/>
  <c r="G204" i="1"/>
  <c r="H204" i="1"/>
  <c r="D204" i="1"/>
  <c r="A204" i="1"/>
  <c r="C204" i="1"/>
  <c r="E204" i="1"/>
  <c r="F204" i="1"/>
  <c r="G203" i="1"/>
  <c r="H203" i="1"/>
  <c r="D203" i="1"/>
  <c r="A203" i="1"/>
  <c r="C203" i="1"/>
  <c r="E203" i="1"/>
  <c r="F203" i="1"/>
  <c r="G205" i="1"/>
  <c r="H205" i="1"/>
  <c r="D205" i="1"/>
  <c r="A205" i="1"/>
  <c r="C205" i="1"/>
  <c r="E205" i="1"/>
  <c r="F205" i="1"/>
  <c r="G2530" i="1"/>
  <c r="H2530" i="1"/>
  <c r="D2530" i="1"/>
  <c r="A2530" i="1"/>
  <c r="C2530" i="1"/>
  <c r="E2530" i="1"/>
  <c r="F2530" i="1"/>
  <c r="G4198" i="1"/>
  <c r="H4198" i="1"/>
  <c r="D4198" i="1"/>
  <c r="A4198" i="1"/>
  <c r="C4198" i="1"/>
  <c r="E4198" i="1"/>
  <c r="F4198" i="1"/>
  <c r="G215" i="1"/>
  <c r="H215" i="1"/>
  <c r="D215" i="1"/>
  <c r="A215" i="1"/>
  <c r="C215" i="1"/>
  <c r="E215" i="1"/>
  <c r="F215" i="1"/>
  <c r="G1001" i="1"/>
  <c r="H1001" i="1"/>
  <c r="D1001" i="1"/>
  <c r="A1001" i="1"/>
  <c r="C1001" i="1"/>
  <c r="E1001" i="1"/>
  <c r="F1001" i="1"/>
  <c r="G377" i="1"/>
  <c r="H377" i="1"/>
  <c r="D377" i="1"/>
  <c r="A377" i="1"/>
  <c r="C377" i="1"/>
  <c r="E377" i="1"/>
  <c r="F377" i="1"/>
  <c r="G4196" i="1"/>
  <c r="H4196" i="1"/>
  <c r="D4196" i="1"/>
  <c r="A4196" i="1"/>
  <c r="C4196" i="1"/>
  <c r="E4196" i="1"/>
  <c r="F4196" i="1"/>
  <c r="G465" i="1"/>
  <c r="H465" i="1"/>
  <c r="D465" i="1"/>
  <c r="A465" i="1"/>
  <c r="C465" i="1"/>
  <c r="E465" i="1"/>
  <c r="F465" i="1"/>
  <c r="G4204" i="1"/>
  <c r="H4204" i="1"/>
  <c r="D4204" i="1"/>
  <c r="A4204" i="1"/>
  <c r="C4204" i="1"/>
  <c r="E4204" i="1"/>
  <c r="F4204" i="1"/>
  <c r="G4206" i="1"/>
  <c r="H4206" i="1"/>
  <c r="D4206" i="1"/>
  <c r="A4206" i="1"/>
  <c r="C4206" i="1"/>
  <c r="E4206" i="1"/>
  <c r="F4206" i="1"/>
  <c r="G4208" i="1"/>
  <c r="H4208" i="1"/>
  <c r="D4208" i="1"/>
  <c r="A4208" i="1"/>
  <c r="C4208" i="1"/>
  <c r="E4208" i="1"/>
  <c r="F4208" i="1"/>
  <c r="G511" i="1"/>
  <c r="H511" i="1"/>
  <c r="D511" i="1"/>
  <c r="A511" i="1"/>
  <c r="C511" i="1"/>
  <c r="E511" i="1"/>
  <c r="F511" i="1"/>
  <c r="G4227" i="1"/>
  <c r="H4227" i="1"/>
  <c r="D4227" i="1"/>
  <c r="A4227" i="1"/>
  <c r="C4227" i="1"/>
  <c r="E4227" i="1"/>
  <c r="F4227" i="1"/>
  <c r="G513" i="1"/>
  <c r="H513" i="1"/>
  <c r="D513" i="1"/>
  <c r="A513" i="1"/>
  <c r="C513" i="1"/>
  <c r="E513" i="1"/>
  <c r="F513" i="1"/>
  <c r="G517" i="1"/>
  <c r="H517" i="1"/>
  <c r="D517" i="1"/>
  <c r="A517" i="1"/>
  <c r="C517" i="1"/>
  <c r="E517" i="1"/>
  <c r="F517" i="1"/>
  <c r="G4252" i="1"/>
  <c r="H4252" i="1"/>
  <c r="D4252" i="1"/>
  <c r="A4252" i="1"/>
  <c r="C4252" i="1"/>
  <c r="E4252" i="1"/>
  <c r="F4252" i="1"/>
  <c r="G151" i="1"/>
  <c r="H151" i="1"/>
  <c r="D151" i="1"/>
  <c r="A151" i="1"/>
  <c r="C151" i="1"/>
  <c r="E151" i="1"/>
  <c r="F151" i="1"/>
  <c r="G1321" i="1"/>
  <c r="H1321" i="1"/>
  <c r="D1321" i="1"/>
  <c r="A1321" i="1"/>
  <c r="C1321" i="1"/>
  <c r="E1321" i="1"/>
  <c r="F1321" i="1"/>
  <c r="G4259" i="1"/>
  <c r="H4259" i="1"/>
  <c r="D4259" i="1"/>
  <c r="A4259" i="1"/>
  <c r="C4259" i="1"/>
  <c r="E4259" i="1"/>
  <c r="F4259" i="1"/>
  <c r="G1322" i="1"/>
  <c r="H1322" i="1"/>
  <c r="D1322" i="1"/>
  <c r="A1322" i="1"/>
  <c r="C1322" i="1"/>
  <c r="E1322" i="1"/>
  <c r="F1322" i="1"/>
  <c r="G4261" i="1"/>
  <c r="H4261" i="1"/>
  <c r="D4261" i="1"/>
  <c r="A4261" i="1"/>
  <c r="C4261" i="1"/>
  <c r="E4261" i="1"/>
  <c r="F4261" i="1"/>
  <c r="G1872" i="1"/>
  <c r="H1872" i="1"/>
  <c r="D1872" i="1"/>
  <c r="A1872" i="1"/>
  <c r="C1872" i="1"/>
  <c r="E1872" i="1"/>
  <c r="F1872" i="1"/>
  <c r="G4263" i="1"/>
  <c r="H4263" i="1"/>
  <c r="D4263" i="1"/>
  <c r="A4263" i="1"/>
  <c r="C4263" i="1"/>
  <c r="E4263" i="1"/>
  <c r="F4263" i="1"/>
  <c r="G1875" i="1"/>
  <c r="H1875" i="1"/>
  <c r="D1875" i="1"/>
  <c r="A1875" i="1"/>
  <c r="C1875" i="1"/>
  <c r="E1875" i="1"/>
  <c r="F1875" i="1"/>
  <c r="G523" i="1"/>
  <c r="H523" i="1"/>
  <c r="D523" i="1"/>
  <c r="A523" i="1"/>
  <c r="C523" i="1"/>
  <c r="E523" i="1"/>
  <c r="F523" i="1"/>
  <c r="G1877" i="1"/>
  <c r="H1877" i="1"/>
  <c r="D1877" i="1"/>
  <c r="A1877" i="1"/>
  <c r="C1877" i="1"/>
  <c r="E1877" i="1"/>
  <c r="F1877" i="1"/>
  <c r="G4289" i="1"/>
  <c r="H4289" i="1"/>
  <c r="D4289" i="1"/>
  <c r="A4289" i="1"/>
  <c r="C4289" i="1"/>
  <c r="E4289" i="1"/>
  <c r="F4289" i="1"/>
  <c r="G1878" i="1"/>
  <c r="H1878" i="1"/>
  <c r="D1878" i="1"/>
  <c r="A1878" i="1"/>
  <c r="C1878" i="1"/>
  <c r="E1878" i="1"/>
  <c r="F1878" i="1"/>
  <c r="G1880" i="1"/>
  <c r="H1880" i="1"/>
  <c r="D1880" i="1"/>
  <c r="A1880" i="1"/>
  <c r="C1880" i="1"/>
  <c r="E1880" i="1"/>
  <c r="F1880" i="1"/>
  <c r="G4293" i="1"/>
  <c r="H4293" i="1"/>
  <c r="D4293" i="1"/>
  <c r="A4293" i="1"/>
  <c r="C4293" i="1"/>
  <c r="E4293" i="1"/>
  <c r="F4293" i="1"/>
  <c r="G1879" i="1"/>
  <c r="H1879" i="1"/>
  <c r="D1879" i="1"/>
  <c r="A1879" i="1"/>
  <c r="C1879" i="1"/>
  <c r="E1879" i="1"/>
  <c r="F1879" i="1"/>
  <c r="G1871" i="1"/>
  <c r="H1871" i="1"/>
  <c r="D1871" i="1"/>
  <c r="A1871" i="1"/>
  <c r="C1871" i="1"/>
  <c r="E1871" i="1"/>
  <c r="F1871" i="1"/>
  <c r="G1890" i="1"/>
  <c r="H1890" i="1"/>
  <c r="D1890" i="1"/>
  <c r="A1890" i="1"/>
  <c r="C1890" i="1"/>
  <c r="E1890" i="1"/>
  <c r="F1890" i="1"/>
  <c r="G4299" i="1"/>
  <c r="H4299" i="1"/>
  <c r="D4299" i="1"/>
  <c r="A4299" i="1"/>
  <c r="C4299" i="1"/>
  <c r="E4299" i="1"/>
  <c r="F4299" i="1"/>
  <c r="G1893" i="1"/>
  <c r="H1893" i="1"/>
  <c r="D1893" i="1"/>
  <c r="A1893" i="1"/>
  <c r="C1893" i="1"/>
  <c r="E1893" i="1"/>
  <c r="F1893" i="1"/>
  <c r="G4270" i="1"/>
  <c r="H4270" i="1"/>
  <c r="D4270" i="1"/>
  <c r="A4270" i="1"/>
  <c r="C4270" i="1"/>
  <c r="E4270" i="1"/>
  <c r="F4270" i="1"/>
  <c r="G4328" i="1"/>
  <c r="H4328" i="1"/>
  <c r="D4328" i="1"/>
  <c r="A4328" i="1"/>
  <c r="C4328" i="1"/>
  <c r="E4328" i="1"/>
  <c r="F4328" i="1"/>
  <c r="G1902" i="1"/>
  <c r="H1902" i="1"/>
  <c r="D1902" i="1"/>
  <c r="A1902" i="1"/>
  <c r="C1902" i="1"/>
  <c r="E1902" i="1"/>
  <c r="F1902" i="1"/>
  <c r="G1904" i="1"/>
  <c r="H1904" i="1"/>
  <c r="D1904" i="1"/>
  <c r="A1904" i="1"/>
  <c r="C1904" i="1"/>
  <c r="E1904" i="1"/>
  <c r="F1904" i="1"/>
  <c r="G1952" i="1"/>
  <c r="H1952" i="1"/>
  <c r="D1952" i="1"/>
  <c r="A1952" i="1"/>
  <c r="C1952" i="1"/>
  <c r="E1952" i="1"/>
  <c r="F1952" i="1"/>
  <c r="G4334" i="1"/>
  <c r="H4334" i="1"/>
  <c r="D4334" i="1"/>
  <c r="A4334" i="1"/>
  <c r="C4334" i="1"/>
  <c r="E4334" i="1"/>
  <c r="F4334" i="1"/>
  <c r="G4338" i="1"/>
  <c r="H4338" i="1"/>
  <c r="D4338" i="1"/>
  <c r="A4338" i="1"/>
  <c r="C4338" i="1"/>
  <c r="E4338" i="1"/>
  <c r="F4338" i="1"/>
  <c r="G1910" i="1"/>
  <c r="H1910" i="1"/>
  <c r="D1910" i="1"/>
  <c r="A1910" i="1"/>
  <c r="C1910" i="1"/>
  <c r="E1910" i="1"/>
  <c r="F1910" i="1"/>
  <c r="G4339" i="1"/>
  <c r="H4339" i="1"/>
  <c r="D4339" i="1"/>
  <c r="A4339" i="1"/>
  <c r="C4339" i="1"/>
  <c r="E4339" i="1"/>
  <c r="F4339" i="1"/>
  <c r="G1946" i="1"/>
  <c r="H1946" i="1"/>
  <c r="D1946" i="1"/>
  <c r="A1946" i="1"/>
  <c r="C1946" i="1"/>
  <c r="E1946" i="1"/>
  <c r="F1946" i="1"/>
  <c r="G4343" i="1"/>
  <c r="H4343" i="1"/>
  <c r="D4343" i="1"/>
  <c r="A4343" i="1"/>
  <c r="C4343" i="1"/>
  <c r="E4343" i="1"/>
  <c r="F4343" i="1"/>
  <c r="G1928" i="1"/>
  <c r="H1928" i="1"/>
  <c r="D1928" i="1"/>
  <c r="A1928" i="1"/>
  <c r="C1928" i="1"/>
  <c r="E1928" i="1"/>
  <c r="F1928" i="1"/>
  <c r="G4347" i="1"/>
  <c r="H4347" i="1"/>
  <c r="D4347" i="1"/>
  <c r="A4347" i="1"/>
  <c r="C4347" i="1"/>
  <c r="E4347" i="1"/>
  <c r="F4347" i="1"/>
  <c r="G1926" i="1"/>
  <c r="H1926" i="1"/>
  <c r="D1926" i="1"/>
  <c r="A1926" i="1"/>
  <c r="C1926" i="1"/>
  <c r="E1926" i="1"/>
  <c r="F1926" i="1"/>
  <c r="G4350" i="1"/>
  <c r="H4350" i="1"/>
  <c r="D4350" i="1"/>
  <c r="A4350" i="1"/>
  <c r="C4350" i="1"/>
  <c r="E4350" i="1"/>
  <c r="F4350" i="1"/>
  <c r="G1929" i="1"/>
  <c r="H1929" i="1"/>
  <c r="D1929" i="1"/>
  <c r="A1929" i="1"/>
  <c r="C1929" i="1"/>
  <c r="E1929" i="1"/>
  <c r="F1929" i="1"/>
  <c r="G4359" i="1"/>
  <c r="H4359" i="1"/>
  <c r="D4359" i="1"/>
  <c r="A4359" i="1"/>
  <c r="C4359" i="1"/>
  <c r="E4359" i="1"/>
  <c r="F4359" i="1"/>
  <c r="G1933" i="1"/>
  <c r="H1933" i="1"/>
  <c r="D1933" i="1"/>
  <c r="A1933" i="1"/>
  <c r="C1933" i="1"/>
  <c r="E1933" i="1"/>
  <c r="F1933" i="1"/>
  <c r="G4365" i="1"/>
  <c r="H4365" i="1"/>
  <c r="D4365" i="1"/>
  <c r="A4365" i="1"/>
  <c r="C4365" i="1"/>
  <c r="E4365" i="1"/>
  <c r="F4365" i="1"/>
  <c r="G1936" i="1"/>
  <c r="H1936" i="1"/>
  <c r="D1936" i="1"/>
  <c r="A1936" i="1"/>
  <c r="C1936" i="1"/>
  <c r="E1936" i="1"/>
  <c r="F1936" i="1"/>
  <c r="G4366" i="1"/>
  <c r="H4366" i="1"/>
  <c r="D4366" i="1"/>
  <c r="A4366" i="1"/>
  <c r="C4366" i="1"/>
  <c r="E4366" i="1"/>
  <c r="F4366" i="1"/>
  <c r="G1935" i="1"/>
  <c r="H1935" i="1"/>
  <c r="D1935" i="1"/>
  <c r="A1935" i="1"/>
  <c r="C1935" i="1"/>
  <c r="E1935" i="1"/>
  <c r="F1935" i="1"/>
  <c r="G4370" i="1"/>
  <c r="H4370" i="1"/>
  <c r="D4370" i="1"/>
  <c r="A4370" i="1"/>
  <c r="C4370" i="1"/>
  <c r="E4370" i="1"/>
  <c r="F4370" i="1"/>
  <c r="G1965" i="1"/>
  <c r="H1965" i="1"/>
  <c r="D1965" i="1"/>
  <c r="A1965" i="1"/>
  <c r="C1965" i="1"/>
  <c r="E1965" i="1"/>
  <c r="F1965" i="1"/>
  <c r="G4371" i="1"/>
  <c r="H4371" i="1"/>
  <c r="D4371" i="1"/>
  <c r="A4371" i="1"/>
  <c r="C4371" i="1"/>
  <c r="E4371" i="1"/>
  <c r="F4371" i="1"/>
  <c r="G1966" i="1"/>
  <c r="H1966" i="1"/>
  <c r="D1966" i="1"/>
  <c r="A1966" i="1"/>
  <c r="C1966" i="1"/>
  <c r="E1966" i="1"/>
  <c r="F1966" i="1"/>
  <c r="G4373" i="1"/>
  <c r="H4373" i="1"/>
  <c r="D4373" i="1"/>
  <c r="A4373" i="1"/>
  <c r="C4373" i="1"/>
  <c r="E4373" i="1"/>
  <c r="F4373" i="1"/>
  <c r="G1455" i="1"/>
  <c r="H1455" i="1"/>
  <c r="D1455" i="1"/>
  <c r="A1455" i="1"/>
  <c r="C1455" i="1"/>
  <c r="E1455" i="1"/>
  <c r="F1455" i="1"/>
  <c r="G1938" i="1"/>
  <c r="H1938" i="1"/>
  <c r="D1938" i="1"/>
  <c r="A1938" i="1"/>
  <c r="C1938" i="1"/>
  <c r="E1938" i="1"/>
  <c r="F1938" i="1"/>
  <c r="G1302" i="1"/>
  <c r="H1302" i="1"/>
  <c r="D1302" i="1"/>
  <c r="A1302" i="1"/>
  <c r="C1302" i="1"/>
  <c r="E1302" i="1"/>
  <c r="F1302" i="1"/>
  <c r="G1459" i="1"/>
  <c r="H1459" i="1"/>
  <c r="D1459" i="1"/>
  <c r="A1459" i="1"/>
  <c r="C1459" i="1"/>
  <c r="E1459" i="1"/>
  <c r="F1459" i="1"/>
  <c r="G1941" i="1"/>
  <c r="H1941" i="1"/>
  <c r="D1941" i="1"/>
  <c r="A1941" i="1"/>
  <c r="C1941" i="1"/>
  <c r="E1941" i="1"/>
  <c r="F1941" i="1"/>
  <c r="G2216" i="1"/>
  <c r="H2216" i="1"/>
  <c r="D2216" i="1"/>
  <c r="A2216" i="1"/>
  <c r="C2216" i="1"/>
  <c r="E2216" i="1"/>
  <c r="F2216" i="1"/>
  <c r="G1943" i="1"/>
  <c r="H1943" i="1"/>
  <c r="D1943" i="1"/>
  <c r="A1943" i="1"/>
  <c r="C1943" i="1"/>
  <c r="E1943" i="1"/>
  <c r="F1943" i="1"/>
  <c r="G2397" i="1"/>
  <c r="H2397" i="1"/>
  <c r="D2397" i="1"/>
  <c r="A2397" i="1"/>
  <c r="C2397" i="1"/>
  <c r="E2397" i="1"/>
  <c r="F2397" i="1"/>
  <c r="G1947" i="1"/>
  <c r="H1947" i="1"/>
  <c r="D1947" i="1"/>
  <c r="A1947" i="1"/>
  <c r="C1947" i="1"/>
  <c r="E1947" i="1"/>
  <c r="F1947" i="1"/>
  <c r="G2394" i="1"/>
  <c r="H2394" i="1"/>
  <c r="D2394" i="1"/>
  <c r="A2394" i="1"/>
  <c r="C2394" i="1"/>
  <c r="E2394" i="1"/>
  <c r="F2394" i="1"/>
  <c r="G1974" i="1"/>
  <c r="H1974" i="1"/>
  <c r="D1974" i="1"/>
  <c r="A1974" i="1"/>
  <c r="C1974" i="1"/>
  <c r="E1974" i="1"/>
  <c r="F1974" i="1"/>
  <c r="G2646" i="1"/>
  <c r="H2646" i="1"/>
  <c r="D2646" i="1"/>
  <c r="A2646" i="1"/>
  <c r="C2646" i="1"/>
  <c r="E2646" i="1"/>
  <c r="F2646" i="1"/>
  <c r="G1951" i="1"/>
  <c r="H1951" i="1"/>
  <c r="D1951" i="1"/>
  <c r="A1951" i="1"/>
  <c r="C1951" i="1"/>
  <c r="E1951" i="1"/>
  <c r="F1951" i="1"/>
  <c r="G3295" i="1"/>
  <c r="H3295" i="1"/>
  <c r="D3295" i="1"/>
  <c r="A3295" i="1"/>
  <c r="C3295" i="1"/>
  <c r="E3295" i="1"/>
  <c r="F3295" i="1"/>
  <c r="G1975" i="1"/>
  <c r="H1975" i="1"/>
  <c r="D1975" i="1"/>
  <c r="A1975" i="1"/>
  <c r="C1975" i="1"/>
  <c r="E1975" i="1"/>
  <c r="F1975" i="1"/>
  <c r="G1963" i="1"/>
  <c r="H1963" i="1"/>
  <c r="D1963" i="1"/>
  <c r="A1963" i="1"/>
  <c r="C1963" i="1"/>
  <c r="E1963" i="1"/>
  <c r="F1963" i="1"/>
  <c r="G1980" i="1"/>
  <c r="H1980" i="1"/>
  <c r="D1980" i="1"/>
  <c r="A1980" i="1"/>
  <c r="C1980" i="1"/>
  <c r="E1980" i="1"/>
  <c r="F1980" i="1"/>
  <c r="G1507" i="1"/>
  <c r="H1507" i="1"/>
  <c r="D1507" i="1"/>
  <c r="A1507" i="1"/>
  <c r="C1507" i="1"/>
  <c r="E1507" i="1"/>
  <c r="F1507" i="1"/>
  <c r="G2361" i="1"/>
  <c r="H2361" i="1"/>
  <c r="D2361" i="1"/>
  <c r="A2361" i="1"/>
  <c r="C2361" i="1"/>
  <c r="E2361" i="1"/>
  <c r="F2361" i="1"/>
  <c r="G2206" i="1"/>
  <c r="H2206" i="1"/>
  <c r="D2206" i="1"/>
  <c r="A2206" i="1"/>
  <c r="C2206" i="1"/>
  <c r="E2206" i="1"/>
  <c r="F2206" i="1"/>
  <c r="G1992" i="1"/>
  <c r="H1992" i="1"/>
  <c r="D1992" i="1"/>
  <c r="A1992" i="1"/>
  <c r="C1992" i="1"/>
  <c r="E1992" i="1"/>
  <c r="F1992" i="1"/>
  <c r="G2231" i="1"/>
  <c r="H2231" i="1"/>
  <c r="D2231" i="1"/>
  <c r="A2231" i="1"/>
  <c r="C2231" i="1"/>
  <c r="E2231" i="1"/>
  <c r="F2231" i="1"/>
  <c r="G1995" i="1"/>
  <c r="H1995" i="1"/>
  <c r="D1995" i="1"/>
  <c r="A1995" i="1"/>
  <c r="C1995" i="1"/>
  <c r="E1995" i="1"/>
  <c r="F1995" i="1"/>
  <c r="G2236" i="1"/>
  <c r="H2236" i="1"/>
  <c r="D2236" i="1"/>
  <c r="A2236" i="1"/>
  <c r="C2236" i="1"/>
  <c r="E2236" i="1"/>
  <c r="F2236" i="1"/>
  <c r="G1994" i="1"/>
  <c r="H1994" i="1"/>
  <c r="D1994" i="1"/>
  <c r="A1994" i="1"/>
  <c r="C1994" i="1"/>
  <c r="E1994" i="1"/>
  <c r="F1994" i="1"/>
  <c r="G2237" i="1"/>
  <c r="H2237" i="1"/>
  <c r="D2237" i="1"/>
  <c r="A2237" i="1"/>
  <c r="C2237" i="1"/>
  <c r="E2237" i="1"/>
  <c r="F2237" i="1"/>
  <c r="G1993" i="1"/>
  <c r="H1993" i="1"/>
  <c r="D1993" i="1"/>
  <c r="A1993" i="1"/>
  <c r="C1993" i="1"/>
  <c r="E1993" i="1"/>
  <c r="F1993" i="1"/>
  <c r="G1345" i="1"/>
  <c r="H1345" i="1"/>
  <c r="D1345" i="1"/>
  <c r="A1345" i="1"/>
  <c r="C1345" i="1"/>
  <c r="E1345" i="1"/>
  <c r="F1345" i="1"/>
  <c r="G1353" i="1"/>
  <c r="H1353" i="1"/>
  <c r="D1353" i="1"/>
  <c r="A1353" i="1"/>
  <c r="C1353" i="1"/>
  <c r="E1353" i="1"/>
  <c r="F1353" i="1"/>
  <c r="G1997" i="1"/>
  <c r="H1997" i="1"/>
  <c r="D1997" i="1"/>
  <c r="A1997" i="1"/>
  <c r="C1997" i="1"/>
  <c r="E1997" i="1"/>
  <c r="F1997" i="1"/>
  <c r="G1421" i="1"/>
  <c r="H1421" i="1"/>
  <c r="D1421" i="1"/>
  <c r="A1421" i="1"/>
  <c r="C1421" i="1"/>
  <c r="E1421" i="1"/>
  <c r="F1421" i="1"/>
  <c r="G1998" i="1"/>
  <c r="H1998" i="1"/>
  <c r="D1998" i="1"/>
  <c r="A1998" i="1"/>
  <c r="C1998" i="1"/>
  <c r="E1998" i="1"/>
  <c r="F1998" i="1"/>
  <c r="G1442" i="1"/>
  <c r="H1442" i="1"/>
  <c r="D1442" i="1"/>
  <c r="A1442" i="1"/>
  <c r="C1442" i="1"/>
  <c r="E1442" i="1"/>
  <c r="F1442" i="1"/>
  <c r="G2000" i="1"/>
  <c r="H2000" i="1"/>
  <c r="D2000" i="1"/>
  <c r="A2000" i="1"/>
  <c r="C2000" i="1"/>
  <c r="E2000" i="1"/>
  <c r="F2000" i="1"/>
  <c r="G1811" i="1"/>
  <c r="H1811" i="1"/>
  <c r="D1811" i="1"/>
  <c r="A1811" i="1"/>
  <c r="C1811" i="1"/>
  <c r="E1811" i="1"/>
  <c r="F1811" i="1"/>
  <c r="G2001" i="1"/>
  <c r="H2001" i="1"/>
  <c r="D2001" i="1"/>
  <c r="A2001" i="1"/>
  <c r="C2001" i="1"/>
  <c r="E2001" i="1"/>
  <c r="F2001" i="1"/>
  <c r="G487" i="1"/>
  <c r="H487" i="1"/>
  <c r="D487" i="1"/>
  <c r="A487" i="1"/>
  <c r="C487" i="1"/>
  <c r="E487" i="1"/>
  <c r="F487" i="1"/>
  <c r="G2003" i="1"/>
  <c r="H2003" i="1"/>
  <c r="D2003" i="1"/>
  <c r="A2003" i="1"/>
  <c r="C2003" i="1"/>
  <c r="E2003" i="1"/>
  <c r="F2003" i="1"/>
  <c r="G871" i="1"/>
  <c r="H871" i="1"/>
  <c r="D871" i="1"/>
  <c r="A871" i="1"/>
  <c r="C871" i="1"/>
  <c r="E871" i="1"/>
  <c r="F871" i="1"/>
  <c r="G1999" i="1"/>
  <c r="H1999" i="1"/>
  <c r="D1999" i="1"/>
  <c r="A1999" i="1"/>
  <c r="C1999" i="1"/>
  <c r="E1999" i="1"/>
  <c r="F1999" i="1"/>
  <c r="G1460" i="1"/>
  <c r="H1460" i="1"/>
  <c r="D1460" i="1"/>
  <c r="A1460" i="1"/>
  <c r="C1460" i="1"/>
  <c r="E1460" i="1"/>
  <c r="F1460" i="1"/>
  <c r="G2011" i="1"/>
  <c r="H2011" i="1"/>
  <c r="D2011" i="1"/>
  <c r="A2011" i="1"/>
  <c r="C2011" i="1"/>
  <c r="E2011" i="1"/>
  <c r="F2011" i="1"/>
  <c r="G1279" i="1"/>
  <c r="H1279" i="1"/>
  <c r="D1279" i="1"/>
  <c r="A1279" i="1"/>
  <c r="C1279" i="1"/>
  <c r="E1279" i="1"/>
  <c r="F1279" i="1"/>
  <c r="G2014" i="1"/>
  <c r="H2014" i="1"/>
  <c r="D2014" i="1"/>
  <c r="A2014" i="1"/>
  <c r="C2014" i="1"/>
  <c r="E2014" i="1"/>
  <c r="F2014" i="1"/>
  <c r="G1278" i="1"/>
  <c r="H1278" i="1"/>
  <c r="D1278" i="1"/>
  <c r="A1278" i="1"/>
  <c r="C1278" i="1"/>
  <c r="E1278" i="1"/>
  <c r="F1278" i="1"/>
  <c r="G2015" i="1"/>
  <c r="H2015" i="1"/>
  <c r="D2015" i="1"/>
  <c r="A2015" i="1"/>
  <c r="C2015" i="1"/>
  <c r="E2015" i="1"/>
  <c r="F2015" i="1"/>
  <c r="G1014" i="1"/>
  <c r="H1014" i="1"/>
  <c r="D1014" i="1"/>
  <c r="A1014" i="1"/>
  <c r="C1014" i="1"/>
  <c r="E1014" i="1"/>
  <c r="F1014" i="1"/>
  <c r="G2022" i="1"/>
  <c r="H2022" i="1"/>
  <c r="D2022" i="1"/>
  <c r="A2022" i="1"/>
  <c r="C2022" i="1"/>
  <c r="E2022" i="1"/>
  <c r="F2022" i="1"/>
  <c r="G1314" i="1"/>
  <c r="H1314" i="1"/>
  <c r="D1314" i="1"/>
  <c r="A1314" i="1"/>
  <c r="C1314" i="1"/>
  <c r="E1314" i="1"/>
  <c r="F1314" i="1"/>
  <c r="G1422" i="1"/>
  <c r="H1422" i="1"/>
  <c r="D1422" i="1"/>
  <c r="A1422" i="1"/>
  <c r="C1422" i="1"/>
  <c r="E1422" i="1"/>
  <c r="F1422" i="1"/>
  <c r="G2018" i="1"/>
  <c r="H2018" i="1"/>
  <c r="D2018" i="1"/>
  <c r="A2018" i="1"/>
  <c r="C2018" i="1"/>
  <c r="E2018" i="1"/>
  <c r="F2018" i="1"/>
  <c r="G1438" i="1"/>
  <c r="H1438" i="1"/>
  <c r="D1438" i="1"/>
  <c r="A1438" i="1"/>
  <c r="C1438" i="1"/>
  <c r="E1438" i="1"/>
  <c r="F1438" i="1"/>
  <c r="G2024" i="1"/>
  <c r="H2024" i="1"/>
  <c r="D2024" i="1"/>
  <c r="A2024" i="1"/>
  <c r="C2024" i="1"/>
  <c r="E2024" i="1"/>
  <c r="F2024" i="1"/>
  <c r="G1144" i="1"/>
  <c r="H1144" i="1"/>
  <c r="D1144" i="1"/>
  <c r="A1144" i="1"/>
  <c r="C1144" i="1"/>
  <c r="E1144" i="1"/>
  <c r="F1144" i="1"/>
  <c r="G1171" i="1"/>
  <c r="H1171" i="1"/>
  <c r="D1171" i="1"/>
  <c r="A1171" i="1"/>
  <c r="C1171" i="1"/>
  <c r="E1171" i="1"/>
  <c r="F1171" i="1"/>
  <c r="G2019" i="1"/>
  <c r="H2019" i="1"/>
  <c r="D2019" i="1"/>
  <c r="A2019" i="1"/>
  <c r="C2019" i="1"/>
  <c r="E2019" i="1"/>
  <c r="F2019" i="1"/>
  <c r="G716" i="1"/>
  <c r="H716" i="1"/>
  <c r="D716" i="1"/>
  <c r="A716" i="1"/>
  <c r="C716" i="1"/>
  <c r="E716" i="1"/>
  <c r="F716" i="1"/>
  <c r="G2026" i="1"/>
  <c r="H2026" i="1"/>
  <c r="D2026" i="1"/>
  <c r="A2026" i="1"/>
  <c r="C2026" i="1"/>
  <c r="E2026" i="1"/>
  <c r="F2026" i="1"/>
  <c r="G1198" i="1"/>
  <c r="H1198" i="1"/>
  <c r="D1198" i="1"/>
  <c r="A1198" i="1"/>
  <c r="C1198" i="1"/>
  <c r="E1198" i="1"/>
  <c r="F1198" i="1"/>
  <c r="G2027" i="1"/>
  <c r="H2027" i="1"/>
  <c r="D2027" i="1"/>
  <c r="A2027" i="1"/>
  <c r="C2027" i="1"/>
  <c r="E2027" i="1"/>
  <c r="F2027" i="1"/>
  <c r="G1722" i="1"/>
  <c r="H1722" i="1"/>
  <c r="D1722" i="1"/>
  <c r="A1722" i="1"/>
  <c r="C1722" i="1"/>
  <c r="E1722" i="1"/>
  <c r="F1722" i="1"/>
  <c r="G1787" i="1"/>
  <c r="H1787" i="1"/>
  <c r="D1787" i="1"/>
  <c r="A1787" i="1"/>
  <c r="C1787" i="1"/>
  <c r="E1787" i="1"/>
  <c r="F1787" i="1"/>
  <c r="G2031" i="1"/>
  <c r="H2031" i="1"/>
  <c r="D2031" i="1"/>
  <c r="A2031" i="1"/>
  <c r="C2031" i="1"/>
  <c r="E2031" i="1"/>
  <c r="F2031" i="1"/>
  <c r="G4599" i="1"/>
  <c r="H4599" i="1"/>
  <c r="D4599" i="1"/>
  <c r="A4599" i="1"/>
  <c r="C4599" i="1"/>
  <c r="E4599" i="1"/>
  <c r="F4599" i="1"/>
  <c r="G2032" i="1"/>
  <c r="H2032" i="1"/>
  <c r="D2032" i="1"/>
  <c r="A2032" i="1"/>
  <c r="C2032" i="1"/>
  <c r="E2032" i="1"/>
  <c r="F2032" i="1"/>
  <c r="G1627" i="1"/>
  <c r="H1627" i="1"/>
  <c r="D1627" i="1"/>
  <c r="A1627" i="1"/>
  <c r="C1627" i="1"/>
  <c r="E1627" i="1"/>
  <c r="F1627" i="1"/>
  <c r="G2034" i="1"/>
  <c r="H2034" i="1"/>
  <c r="D2034" i="1"/>
  <c r="A2034" i="1"/>
  <c r="C2034" i="1"/>
  <c r="E2034" i="1"/>
  <c r="F2034" i="1"/>
  <c r="G1486" i="1"/>
  <c r="H1486" i="1"/>
  <c r="D1486" i="1"/>
  <c r="A1486" i="1"/>
  <c r="C1486" i="1"/>
  <c r="E1486" i="1"/>
  <c r="F1486" i="1"/>
  <c r="G2044" i="1"/>
  <c r="H2044" i="1"/>
  <c r="D2044" i="1"/>
  <c r="A2044" i="1"/>
  <c r="C2044" i="1"/>
  <c r="E2044" i="1"/>
  <c r="F2044" i="1"/>
  <c r="G1477" i="1"/>
  <c r="H1477" i="1"/>
  <c r="D1477" i="1"/>
  <c r="A1477" i="1"/>
  <c r="C1477" i="1"/>
  <c r="E1477" i="1"/>
  <c r="F1477" i="1"/>
  <c r="G2046" i="1"/>
  <c r="H2046" i="1"/>
  <c r="D2046" i="1"/>
  <c r="A2046" i="1"/>
  <c r="C2046" i="1"/>
  <c r="E2046" i="1"/>
  <c r="F2046" i="1"/>
  <c r="G1756" i="1"/>
  <c r="H1756" i="1"/>
  <c r="D1756" i="1"/>
  <c r="A1756" i="1"/>
  <c r="C1756" i="1"/>
  <c r="E1756" i="1"/>
  <c r="F1756" i="1"/>
  <c r="G2049" i="1"/>
  <c r="H2049" i="1"/>
  <c r="D2049" i="1"/>
  <c r="A2049" i="1"/>
  <c r="C2049" i="1"/>
  <c r="E2049" i="1"/>
  <c r="F2049" i="1"/>
  <c r="G3045" i="1"/>
  <c r="H3045" i="1"/>
  <c r="D3045" i="1"/>
  <c r="A3045" i="1"/>
  <c r="C3045" i="1"/>
  <c r="E3045" i="1"/>
  <c r="F3045" i="1"/>
  <c r="G2050" i="1"/>
  <c r="H2050" i="1"/>
  <c r="D2050" i="1"/>
  <c r="A2050" i="1"/>
  <c r="C2050" i="1"/>
  <c r="E2050" i="1"/>
  <c r="F2050" i="1"/>
  <c r="G1273" i="1"/>
  <c r="H1273" i="1"/>
  <c r="D1273" i="1"/>
  <c r="A1273" i="1"/>
  <c r="C1273" i="1"/>
  <c r="E1273" i="1"/>
  <c r="F1273" i="1"/>
  <c r="G2054" i="1"/>
  <c r="H2054" i="1"/>
  <c r="D2054" i="1"/>
  <c r="A2054" i="1"/>
  <c r="C2054" i="1"/>
  <c r="E2054" i="1"/>
  <c r="F2054" i="1"/>
  <c r="G1542" i="1"/>
  <c r="H1542" i="1"/>
  <c r="D1542" i="1"/>
  <c r="A1542" i="1"/>
  <c r="C1542" i="1"/>
  <c r="E1542" i="1"/>
  <c r="F1542" i="1"/>
  <c r="G2055" i="1"/>
  <c r="H2055" i="1"/>
  <c r="D2055" i="1"/>
  <c r="A2055" i="1"/>
  <c r="C2055" i="1"/>
  <c r="E2055" i="1"/>
  <c r="F2055" i="1"/>
  <c r="G1510" i="1"/>
  <c r="H1510" i="1"/>
  <c r="D1510" i="1"/>
  <c r="A1510" i="1"/>
  <c r="C1510" i="1"/>
  <c r="E1510" i="1"/>
  <c r="F1510" i="1"/>
  <c r="G2057" i="1"/>
  <c r="H2057" i="1"/>
  <c r="D2057" i="1"/>
  <c r="A2057" i="1"/>
  <c r="C2057" i="1"/>
  <c r="E2057" i="1"/>
  <c r="F2057" i="1"/>
  <c r="G1697" i="1"/>
  <c r="H1697" i="1"/>
  <c r="D1697" i="1"/>
  <c r="A1697" i="1"/>
  <c r="C1697" i="1"/>
  <c r="E1697" i="1"/>
  <c r="F1697" i="1"/>
  <c r="G2061" i="1"/>
  <c r="H2061" i="1"/>
  <c r="D2061" i="1"/>
  <c r="A2061" i="1"/>
  <c r="C2061" i="1"/>
  <c r="E2061" i="1"/>
  <c r="F2061" i="1"/>
  <c r="G2296" i="1"/>
  <c r="H2296" i="1"/>
  <c r="D2296" i="1"/>
  <c r="A2296" i="1"/>
  <c r="C2296" i="1"/>
  <c r="E2296" i="1"/>
  <c r="F2296" i="1"/>
  <c r="G2063" i="1"/>
  <c r="H2063" i="1"/>
  <c r="D2063" i="1"/>
  <c r="A2063" i="1"/>
  <c r="C2063" i="1"/>
  <c r="E2063" i="1"/>
  <c r="F2063" i="1"/>
  <c r="G2064" i="1"/>
  <c r="H2064" i="1"/>
  <c r="D2064" i="1"/>
  <c r="A2064" i="1"/>
  <c r="C2064" i="1"/>
  <c r="E2064" i="1"/>
  <c r="F2064" i="1"/>
  <c r="G2758" i="1"/>
  <c r="H2758" i="1"/>
  <c r="D2758" i="1"/>
  <c r="A2758" i="1"/>
  <c r="C2758" i="1"/>
  <c r="E2758" i="1"/>
  <c r="F2758" i="1"/>
  <c r="G2069" i="1"/>
  <c r="H2069" i="1"/>
  <c r="D2069" i="1"/>
  <c r="A2069" i="1"/>
  <c r="C2069" i="1"/>
  <c r="E2069" i="1"/>
  <c r="F2069" i="1"/>
  <c r="G2093" i="1"/>
  <c r="H2093" i="1"/>
  <c r="D2093" i="1"/>
  <c r="A2093" i="1"/>
  <c r="C2093" i="1"/>
  <c r="E2093" i="1"/>
  <c r="F2093" i="1"/>
  <c r="G2070" i="1"/>
  <c r="H2070" i="1"/>
  <c r="D2070" i="1"/>
  <c r="A2070" i="1"/>
  <c r="C2070" i="1"/>
  <c r="E2070" i="1"/>
  <c r="F2070" i="1"/>
  <c r="G3280" i="1"/>
  <c r="H3280" i="1"/>
  <c r="D3280" i="1"/>
  <c r="A3280" i="1"/>
  <c r="C3280" i="1"/>
  <c r="E3280" i="1"/>
  <c r="F3280" i="1"/>
  <c r="G479" i="1"/>
  <c r="H479" i="1"/>
  <c r="D479" i="1"/>
  <c r="A479" i="1"/>
  <c r="C479" i="1"/>
  <c r="E479" i="1"/>
  <c r="F479" i="1"/>
  <c r="G2675" i="1"/>
  <c r="H2675" i="1"/>
  <c r="D2675" i="1"/>
  <c r="A2675" i="1"/>
  <c r="C2675" i="1"/>
  <c r="E2675" i="1"/>
  <c r="F2675" i="1"/>
  <c r="G21" i="1"/>
  <c r="H21" i="1"/>
  <c r="D21" i="1"/>
  <c r="A21" i="1"/>
  <c r="C21" i="1"/>
  <c r="E21" i="1"/>
  <c r="F21" i="1"/>
  <c r="G155" i="1"/>
  <c r="H155" i="1"/>
  <c r="D155" i="1"/>
  <c r="A155" i="1"/>
  <c r="C155" i="1"/>
  <c r="E155" i="1"/>
  <c r="F155" i="1"/>
  <c r="G292" i="1"/>
  <c r="H292" i="1"/>
  <c r="D292" i="1"/>
  <c r="A292" i="1"/>
  <c r="C292" i="1"/>
  <c r="E292" i="1"/>
  <c r="F292" i="1"/>
  <c r="G361" i="1"/>
  <c r="H361" i="1"/>
  <c r="D361" i="1"/>
  <c r="A361" i="1"/>
  <c r="C361" i="1"/>
  <c r="E361" i="1"/>
  <c r="F361" i="1"/>
  <c r="G521" i="1"/>
  <c r="H521" i="1"/>
  <c r="D521" i="1"/>
  <c r="A521" i="1"/>
  <c r="C521" i="1"/>
  <c r="E521" i="1"/>
  <c r="F521" i="1"/>
  <c r="G525" i="1"/>
  <c r="H525" i="1"/>
  <c r="D525" i="1"/>
  <c r="A525" i="1"/>
  <c r="C525" i="1"/>
  <c r="E525" i="1"/>
  <c r="F525" i="1"/>
  <c r="G1092" i="1"/>
  <c r="H1092" i="1"/>
  <c r="D1092" i="1"/>
  <c r="A1092" i="1"/>
  <c r="C1092" i="1"/>
  <c r="E1092" i="1"/>
  <c r="F1092" i="1"/>
  <c r="G1133" i="1"/>
  <c r="H1133" i="1"/>
  <c r="D1133" i="1"/>
  <c r="A1133" i="1"/>
  <c r="C1133" i="1"/>
  <c r="E1133" i="1"/>
  <c r="F1133" i="1"/>
  <c r="G1225" i="1"/>
  <c r="H1225" i="1"/>
  <c r="D1225" i="1"/>
  <c r="A1225" i="1"/>
  <c r="C1225" i="1"/>
  <c r="E1225" i="1"/>
  <c r="F1225" i="1"/>
  <c r="G610" i="1"/>
  <c r="H610" i="1"/>
  <c r="D610" i="1"/>
  <c r="A610" i="1"/>
  <c r="C610" i="1"/>
  <c r="E610" i="1"/>
  <c r="F610" i="1"/>
  <c r="G699" i="1"/>
  <c r="H699" i="1"/>
  <c r="D699" i="1"/>
  <c r="A699" i="1"/>
  <c r="C699" i="1"/>
  <c r="E699" i="1"/>
  <c r="F699" i="1"/>
  <c r="G875" i="1"/>
  <c r="H875" i="1"/>
  <c r="D875" i="1"/>
  <c r="A875" i="1"/>
  <c r="C875" i="1"/>
  <c r="E875" i="1"/>
  <c r="F875" i="1"/>
  <c r="G888" i="1"/>
  <c r="H888" i="1"/>
  <c r="D888" i="1"/>
  <c r="A888" i="1"/>
  <c r="C888" i="1"/>
  <c r="E888" i="1"/>
  <c r="F888" i="1"/>
  <c r="G923" i="1"/>
  <c r="H923" i="1"/>
  <c r="D923" i="1"/>
  <c r="A923" i="1"/>
  <c r="C923" i="1"/>
  <c r="E923" i="1"/>
  <c r="F923" i="1"/>
  <c r="G928" i="1"/>
  <c r="H928" i="1"/>
  <c r="D928" i="1"/>
  <c r="A928" i="1"/>
  <c r="C928" i="1"/>
  <c r="E928" i="1"/>
  <c r="F928" i="1"/>
  <c r="G930" i="1"/>
  <c r="H930" i="1"/>
  <c r="D930" i="1"/>
  <c r="A930" i="1"/>
  <c r="C930" i="1"/>
  <c r="E930" i="1"/>
  <c r="F930" i="1"/>
  <c r="G1520" i="1"/>
  <c r="H1520" i="1"/>
  <c r="D1520" i="1"/>
  <c r="A1520" i="1"/>
  <c r="C1520" i="1"/>
  <c r="E1520" i="1"/>
  <c r="F1520" i="1"/>
  <c r="G966" i="1"/>
  <c r="H966" i="1"/>
  <c r="D966" i="1"/>
  <c r="A966" i="1"/>
  <c r="C966" i="1"/>
  <c r="E966" i="1"/>
  <c r="F966" i="1"/>
  <c r="G976" i="1"/>
  <c r="H976" i="1"/>
  <c r="D976" i="1"/>
  <c r="A976" i="1"/>
  <c r="C976" i="1"/>
  <c r="E976" i="1"/>
  <c r="F976" i="1"/>
  <c r="G1761" i="1"/>
  <c r="H1761" i="1"/>
  <c r="D1761" i="1"/>
  <c r="A1761" i="1"/>
  <c r="C1761" i="1"/>
  <c r="E1761" i="1"/>
  <c r="F1761" i="1"/>
  <c r="G1891" i="1"/>
  <c r="H1891" i="1"/>
  <c r="D1891" i="1"/>
  <c r="A1891" i="1"/>
  <c r="C1891" i="1"/>
  <c r="E1891" i="1"/>
  <c r="F1891" i="1"/>
  <c r="G1906" i="1"/>
  <c r="H1906" i="1"/>
  <c r="D1906" i="1"/>
  <c r="A1906" i="1"/>
  <c r="C1906" i="1"/>
  <c r="E1906" i="1"/>
  <c r="F1906" i="1"/>
  <c r="G1972" i="1"/>
  <c r="H1972" i="1"/>
  <c r="D1972" i="1"/>
  <c r="A1972" i="1"/>
  <c r="C1972" i="1"/>
  <c r="E1972" i="1"/>
  <c r="F1972" i="1"/>
  <c r="G1969" i="1"/>
  <c r="H1969" i="1"/>
  <c r="D1969" i="1"/>
  <c r="A1969" i="1"/>
  <c r="C1969" i="1"/>
  <c r="E1969" i="1"/>
  <c r="F1969" i="1"/>
  <c r="G2005" i="1"/>
  <c r="H2005" i="1"/>
  <c r="D2005" i="1"/>
  <c r="A2005" i="1"/>
  <c r="C2005" i="1"/>
  <c r="E2005" i="1"/>
  <c r="F2005" i="1"/>
  <c r="G2033" i="1"/>
  <c r="H2033" i="1"/>
  <c r="D2033" i="1"/>
  <c r="A2033" i="1"/>
  <c r="C2033" i="1"/>
  <c r="E2033" i="1"/>
  <c r="F2033" i="1"/>
  <c r="G2074" i="1"/>
  <c r="H2074" i="1"/>
  <c r="D2074" i="1"/>
  <c r="A2074" i="1"/>
  <c r="C2074" i="1"/>
  <c r="E2074" i="1"/>
  <c r="F2074" i="1"/>
  <c r="G2194" i="1"/>
  <c r="H2194" i="1"/>
  <c r="D2194" i="1"/>
  <c r="A2194" i="1"/>
  <c r="C2194" i="1"/>
  <c r="E2194" i="1"/>
  <c r="F2194" i="1"/>
  <c r="G2175" i="1"/>
  <c r="H2175" i="1"/>
  <c r="D2175" i="1"/>
  <c r="A2175" i="1"/>
  <c r="C2175" i="1"/>
  <c r="E2175" i="1"/>
  <c r="F2175" i="1"/>
  <c r="G2176" i="1"/>
  <c r="H2176" i="1"/>
  <c r="D2176" i="1"/>
  <c r="A2176" i="1"/>
  <c r="C2176" i="1"/>
  <c r="E2176" i="1"/>
  <c r="F2176" i="1"/>
  <c r="G2244" i="1"/>
  <c r="H2244" i="1"/>
  <c r="D2244" i="1"/>
  <c r="A2244" i="1"/>
  <c r="C2244" i="1"/>
  <c r="E2244" i="1"/>
  <c r="F2244" i="1"/>
  <c r="G2298" i="1"/>
  <c r="H2298" i="1"/>
  <c r="D2298" i="1"/>
  <c r="A2298" i="1"/>
  <c r="C2298" i="1"/>
  <c r="E2298" i="1"/>
  <c r="F2298" i="1"/>
  <c r="G2300" i="1"/>
  <c r="H2300" i="1"/>
  <c r="D2300" i="1"/>
  <c r="A2300" i="1"/>
  <c r="C2300" i="1"/>
  <c r="E2300" i="1"/>
  <c r="F2300" i="1"/>
  <c r="G2329" i="1"/>
  <c r="H2329" i="1"/>
  <c r="D2329" i="1"/>
  <c r="A2329" i="1"/>
  <c r="C2329" i="1"/>
  <c r="E2329" i="1"/>
  <c r="F2329" i="1"/>
  <c r="G2380" i="1"/>
  <c r="H2380" i="1"/>
  <c r="D2380" i="1"/>
  <c r="A2380" i="1"/>
  <c r="C2380" i="1"/>
  <c r="E2380" i="1"/>
  <c r="F2380" i="1"/>
  <c r="G2595" i="1"/>
  <c r="H2595" i="1"/>
  <c r="D2595" i="1"/>
  <c r="A2595" i="1"/>
  <c r="C2595" i="1"/>
  <c r="E2595" i="1"/>
  <c r="F2595" i="1"/>
  <c r="G2692" i="1"/>
  <c r="H2692" i="1"/>
  <c r="D2692" i="1"/>
  <c r="A2692" i="1"/>
  <c r="C2692" i="1"/>
  <c r="E2692" i="1"/>
  <c r="F2692" i="1"/>
  <c r="G2759" i="1"/>
  <c r="H2759" i="1"/>
  <c r="D2759" i="1"/>
  <c r="A2759" i="1"/>
  <c r="C2759" i="1"/>
  <c r="E2759" i="1"/>
  <c r="F2759" i="1"/>
  <c r="G2869" i="1"/>
  <c r="H2869" i="1"/>
  <c r="D2869" i="1"/>
  <c r="A2869" i="1"/>
  <c r="C2869" i="1"/>
  <c r="E2869" i="1"/>
  <c r="F2869" i="1"/>
  <c r="G2915" i="1"/>
  <c r="H2915" i="1"/>
  <c r="D2915" i="1"/>
  <c r="A2915" i="1"/>
  <c r="C2915" i="1"/>
  <c r="E2915" i="1"/>
  <c r="F2915" i="1"/>
  <c r="G2925" i="1"/>
  <c r="H2925" i="1"/>
  <c r="D2925" i="1"/>
  <c r="A2925" i="1"/>
  <c r="C2925" i="1"/>
  <c r="E2925" i="1"/>
  <c r="F2925" i="1"/>
  <c r="G1260" i="1"/>
  <c r="H1260" i="1"/>
  <c r="D1260" i="1"/>
  <c r="A1260" i="1"/>
  <c r="C1260" i="1"/>
  <c r="E1260" i="1"/>
  <c r="F1260" i="1"/>
  <c r="G3126" i="1"/>
  <c r="H3126" i="1"/>
  <c r="D3126" i="1"/>
  <c r="A3126" i="1"/>
  <c r="C3126" i="1"/>
  <c r="E3126" i="1"/>
  <c r="F3126" i="1"/>
  <c r="G3138" i="1"/>
  <c r="H3138" i="1"/>
  <c r="D3138" i="1"/>
  <c r="A3138" i="1"/>
  <c r="C3138" i="1"/>
  <c r="E3138" i="1"/>
  <c r="F3138" i="1"/>
  <c r="G4199" i="1"/>
  <c r="H4199" i="1"/>
  <c r="D4199" i="1"/>
  <c r="A4199" i="1"/>
  <c r="C4199" i="1"/>
  <c r="E4199" i="1"/>
  <c r="F4199" i="1"/>
  <c r="G3348" i="1"/>
  <c r="H3348" i="1"/>
  <c r="D3348" i="1"/>
  <c r="A3348" i="1"/>
  <c r="C3348" i="1"/>
  <c r="E3348" i="1"/>
  <c r="F3348" i="1"/>
  <c r="G3397" i="1"/>
  <c r="H3397" i="1"/>
  <c r="D3397" i="1"/>
  <c r="A3397" i="1"/>
  <c r="C3397" i="1"/>
  <c r="E3397" i="1"/>
  <c r="F3397" i="1"/>
  <c r="G3401" i="1"/>
  <c r="H3401" i="1"/>
  <c r="D3401" i="1"/>
  <c r="A3401" i="1"/>
  <c r="C3401" i="1"/>
  <c r="E3401" i="1"/>
  <c r="F3401" i="1"/>
  <c r="G3536" i="1"/>
  <c r="H3536" i="1"/>
  <c r="D3536" i="1"/>
  <c r="A3536" i="1"/>
  <c r="C3536" i="1"/>
  <c r="E3536" i="1"/>
  <c r="F3536" i="1"/>
  <c r="G3642" i="1"/>
  <c r="H3642" i="1"/>
  <c r="D3642" i="1"/>
  <c r="A3642" i="1"/>
  <c r="C3642" i="1"/>
  <c r="E3642" i="1"/>
  <c r="F3642" i="1"/>
  <c r="G3863" i="1"/>
  <c r="H3863" i="1"/>
  <c r="D3863" i="1"/>
  <c r="A3863" i="1"/>
  <c r="C3863" i="1"/>
  <c r="E3863" i="1"/>
  <c r="F3863" i="1"/>
  <c r="G4076" i="1"/>
  <c r="H4076" i="1"/>
  <c r="D4076" i="1"/>
  <c r="A4076" i="1"/>
  <c r="C4076" i="1"/>
  <c r="E4076" i="1"/>
  <c r="F4076" i="1"/>
  <c r="G4180" i="1"/>
  <c r="H4180" i="1"/>
  <c r="D4180" i="1"/>
  <c r="A4180" i="1"/>
  <c r="C4180" i="1"/>
  <c r="E4180" i="1"/>
  <c r="F4180" i="1"/>
  <c r="G4193" i="1"/>
  <c r="H4193" i="1"/>
  <c r="D4193" i="1"/>
  <c r="A4193" i="1"/>
  <c r="C4193" i="1"/>
  <c r="E4193" i="1"/>
  <c r="F4193" i="1"/>
  <c r="G4257" i="1"/>
  <c r="H4257" i="1"/>
  <c r="D4257" i="1"/>
  <c r="A4257" i="1"/>
  <c r="C4257" i="1"/>
  <c r="E4257" i="1"/>
  <c r="F4257" i="1"/>
  <c r="G613" i="1"/>
  <c r="H613" i="1"/>
  <c r="D613" i="1"/>
  <c r="A613" i="1"/>
  <c r="C613" i="1"/>
  <c r="E613" i="1"/>
  <c r="F613" i="1"/>
  <c r="G4452" i="1"/>
  <c r="H4452" i="1"/>
  <c r="D4452" i="1"/>
  <c r="A4452" i="1"/>
  <c r="C4452" i="1"/>
  <c r="E4452" i="1"/>
  <c r="F4452" i="1"/>
  <c r="G4481" i="1"/>
  <c r="H4481" i="1"/>
  <c r="D4481" i="1"/>
  <c r="A4481" i="1"/>
  <c r="C4481" i="1"/>
  <c r="E4481" i="1"/>
  <c r="F4481" i="1"/>
  <c r="G4492" i="1"/>
  <c r="H4492" i="1"/>
  <c r="D4492" i="1"/>
  <c r="A4492" i="1"/>
  <c r="C4492" i="1"/>
  <c r="E4492" i="1"/>
  <c r="F4492" i="1"/>
  <c r="G4705" i="1"/>
  <c r="H4705" i="1"/>
  <c r="D4705" i="1"/>
  <c r="A4705" i="1"/>
  <c r="C4705" i="1"/>
  <c r="E4705" i="1"/>
  <c r="F4705" i="1"/>
  <c r="G4827" i="1"/>
  <c r="H4827" i="1"/>
  <c r="D4827" i="1"/>
  <c r="A4827" i="1"/>
  <c r="C4827" i="1"/>
  <c r="E4827" i="1"/>
  <c r="F4827" i="1"/>
  <c r="G4937" i="1"/>
  <c r="H4937" i="1"/>
  <c r="D4937" i="1"/>
  <c r="A4937" i="1"/>
  <c r="C4937" i="1"/>
  <c r="E4937" i="1"/>
  <c r="F4937" i="1"/>
  <c r="G4996" i="1"/>
  <c r="H4996" i="1"/>
  <c r="D4996" i="1"/>
  <c r="A4996" i="1"/>
  <c r="C4996" i="1"/>
  <c r="E4996" i="1"/>
  <c r="F4996" i="1"/>
  <c r="G5009" i="1"/>
  <c r="H5009" i="1"/>
  <c r="D5009" i="1"/>
  <c r="A5009" i="1"/>
  <c r="C5009" i="1"/>
  <c r="E5009" i="1"/>
  <c r="F5009" i="1"/>
  <c r="G5068" i="1"/>
  <c r="H5068" i="1"/>
  <c r="D5068" i="1"/>
  <c r="A5068" i="1"/>
  <c r="C5068" i="1"/>
  <c r="E5068" i="1"/>
  <c r="F5068" i="1"/>
  <c r="G1991" i="1"/>
  <c r="H1991" i="1"/>
  <c r="D1991" i="1"/>
  <c r="A1991" i="1"/>
  <c r="C1991" i="1"/>
  <c r="E1991" i="1"/>
  <c r="F1991" i="1"/>
  <c r="G278" i="1"/>
  <c r="H278" i="1"/>
  <c r="D278" i="1"/>
  <c r="A278" i="1"/>
  <c r="C278" i="1"/>
  <c r="E278" i="1"/>
  <c r="F278" i="1"/>
  <c r="G3457" i="1"/>
  <c r="H3457" i="1"/>
  <c r="D3457" i="1"/>
  <c r="A3457" i="1"/>
  <c r="C3457" i="1"/>
  <c r="E3457" i="1"/>
  <c r="F3457" i="1"/>
  <c r="G3494" i="1"/>
  <c r="H3494" i="1"/>
  <c r="D3494" i="1"/>
  <c r="A3494" i="1"/>
  <c r="C3494" i="1"/>
  <c r="E3494" i="1"/>
  <c r="F3494" i="1"/>
  <c r="G3237" i="1"/>
  <c r="H3237" i="1"/>
  <c r="D3237" i="1"/>
  <c r="A3237" i="1"/>
  <c r="C3237" i="1"/>
  <c r="E3237" i="1"/>
  <c r="F3237" i="1"/>
  <c r="G3234" i="1"/>
  <c r="H3234" i="1"/>
  <c r="D3234" i="1"/>
  <c r="A3234" i="1"/>
  <c r="C3234" i="1"/>
  <c r="E3234" i="1"/>
  <c r="F3234" i="1"/>
  <c r="G15" i="1"/>
  <c r="H15" i="1"/>
  <c r="D15" i="1"/>
  <c r="A15" i="1"/>
  <c r="C15" i="1"/>
  <c r="E15" i="1"/>
  <c r="F15" i="1"/>
  <c r="G83" i="1"/>
  <c r="H83" i="1"/>
  <c r="D83" i="1"/>
  <c r="A83" i="1"/>
  <c r="C83" i="1"/>
  <c r="E83" i="1"/>
  <c r="F83" i="1"/>
  <c r="G95" i="1"/>
  <c r="H95" i="1"/>
  <c r="D95" i="1"/>
  <c r="A95" i="1"/>
  <c r="C95" i="1"/>
  <c r="E95" i="1"/>
  <c r="F95" i="1"/>
  <c r="G90" i="1"/>
  <c r="H90" i="1"/>
  <c r="D90" i="1"/>
  <c r="A90" i="1"/>
  <c r="C90" i="1"/>
  <c r="E90" i="1"/>
  <c r="F90" i="1"/>
  <c r="G126" i="1"/>
  <c r="H126" i="1"/>
  <c r="D126" i="1"/>
  <c r="A126" i="1"/>
  <c r="C126" i="1"/>
  <c r="E126" i="1"/>
  <c r="F126" i="1"/>
  <c r="G160" i="1"/>
  <c r="H160" i="1"/>
  <c r="D160" i="1"/>
  <c r="A160" i="1"/>
  <c r="C160" i="1"/>
  <c r="E160" i="1"/>
  <c r="F160" i="1"/>
  <c r="G185" i="1"/>
  <c r="H185" i="1"/>
  <c r="D185" i="1"/>
  <c r="A185" i="1"/>
  <c r="C185" i="1"/>
  <c r="E185" i="1"/>
  <c r="F185" i="1"/>
  <c r="G238" i="1"/>
  <c r="H238" i="1"/>
  <c r="D238" i="1"/>
  <c r="A238" i="1"/>
  <c r="C238" i="1"/>
  <c r="E238" i="1"/>
  <c r="F238" i="1"/>
  <c r="G362" i="1"/>
  <c r="H362" i="1"/>
  <c r="D362" i="1"/>
  <c r="A362" i="1"/>
  <c r="C362" i="1"/>
  <c r="E362" i="1"/>
  <c r="F362" i="1"/>
  <c r="G353" i="1"/>
  <c r="H353" i="1"/>
  <c r="D353" i="1"/>
  <c r="A353" i="1"/>
  <c r="C353" i="1"/>
  <c r="E353" i="1"/>
  <c r="F353" i="1"/>
  <c r="G379" i="1"/>
  <c r="H379" i="1"/>
  <c r="D379" i="1"/>
  <c r="A379" i="1"/>
  <c r="C379" i="1"/>
  <c r="E379" i="1"/>
  <c r="F379" i="1"/>
  <c r="G382" i="1"/>
  <c r="H382" i="1"/>
  <c r="D382" i="1"/>
  <c r="A382" i="1"/>
  <c r="C382" i="1"/>
  <c r="E382" i="1"/>
  <c r="F382" i="1"/>
  <c r="G473" i="1"/>
  <c r="H473" i="1"/>
  <c r="D473" i="1"/>
  <c r="A473" i="1"/>
  <c r="C473" i="1"/>
  <c r="E473" i="1"/>
  <c r="F473" i="1"/>
  <c r="G1078" i="1"/>
  <c r="H1078" i="1"/>
  <c r="D1078" i="1"/>
  <c r="A1078" i="1"/>
  <c r="C1078" i="1"/>
  <c r="E1078" i="1"/>
  <c r="F1078" i="1"/>
  <c r="G1085" i="1"/>
  <c r="H1085" i="1"/>
  <c r="D1085" i="1"/>
  <c r="A1085" i="1"/>
  <c r="C1085" i="1"/>
  <c r="E1085" i="1"/>
  <c r="F1085" i="1"/>
  <c r="G1099" i="1"/>
  <c r="H1099" i="1"/>
  <c r="D1099" i="1"/>
  <c r="A1099" i="1"/>
  <c r="C1099" i="1"/>
  <c r="E1099" i="1"/>
  <c r="F1099" i="1"/>
  <c r="G1128" i="1"/>
  <c r="H1128" i="1"/>
  <c r="D1128" i="1"/>
  <c r="A1128" i="1"/>
  <c r="C1128" i="1"/>
  <c r="E1128" i="1"/>
  <c r="F1128" i="1"/>
  <c r="G1148" i="1"/>
  <c r="H1148" i="1"/>
  <c r="D1148" i="1"/>
  <c r="A1148" i="1"/>
  <c r="C1148" i="1"/>
  <c r="E1148" i="1"/>
  <c r="F1148" i="1"/>
  <c r="G1150" i="1"/>
  <c r="H1150" i="1"/>
  <c r="D1150" i="1"/>
  <c r="A1150" i="1"/>
  <c r="C1150" i="1"/>
  <c r="E1150" i="1"/>
  <c r="F1150" i="1"/>
  <c r="G540" i="1"/>
  <c r="H540" i="1"/>
  <c r="D540" i="1"/>
  <c r="A540" i="1"/>
  <c r="C540" i="1"/>
  <c r="E540" i="1"/>
  <c r="F540" i="1"/>
  <c r="G1160" i="1"/>
  <c r="H1160" i="1"/>
  <c r="D1160" i="1"/>
  <c r="A1160" i="1"/>
  <c r="C1160" i="1"/>
  <c r="E1160" i="1"/>
  <c r="F1160" i="1"/>
  <c r="G1213" i="1"/>
  <c r="H1213" i="1"/>
  <c r="D1213" i="1"/>
  <c r="A1213" i="1"/>
  <c r="C1213" i="1"/>
  <c r="E1213" i="1"/>
  <c r="F1213" i="1"/>
  <c r="G1233" i="1"/>
  <c r="H1233" i="1"/>
  <c r="D1233" i="1"/>
  <c r="A1233" i="1"/>
  <c r="C1233" i="1"/>
  <c r="E1233" i="1"/>
  <c r="F1233" i="1"/>
  <c r="G548" i="1"/>
  <c r="H548" i="1"/>
  <c r="D548" i="1"/>
  <c r="A548" i="1"/>
  <c r="C548" i="1"/>
  <c r="E548" i="1"/>
  <c r="F548" i="1"/>
  <c r="G1234" i="1"/>
  <c r="H1234" i="1"/>
  <c r="D1234" i="1"/>
  <c r="A1234" i="1"/>
  <c r="C1234" i="1"/>
  <c r="E1234" i="1"/>
  <c r="F1234" i="1"/>
  <c r="G1272" i="1"/>
  <c r="H1272" i="1"/>
  <c r="D1272" i="1"/>
  <c r="A1272" i="1"/>
  <c r="C1272" i="1"/>
  <c r="E1272" i="1"/>
  <c r="F1272" i="1"/>
  <c r="G637" i="1"/>
  <c r="H637" i="1"/>
  <c r="D637" i="1"/>
  <c r="A637" i="1"/>
  <c r="C637" i="1"/>
  <c r="E637" i="1"/>
  <c r="F637" i="1"/>
  <c r="G646" i="1"/>
  <c r="H646" i="1"/>
  <c r="D646" i="1"/>
  <c r="A646" i="1"/>
  <c r="C646" i="1"/>
  <c r="E646" i="1"/>
  <c r="F646" i="1"/>
  <c r="G662" i="1"/>
  <c r="H662" i="1"/>
  <c r="D662" i="1"/>
  <c r="A662" i="1"/>
  <c r="C662" i="1"/>
  <c r="E662" i="1"/>
  <c r="F662" i="1"/>
  <c r="G715" i="1"/>
  <c r="H715" i="1"/>
  <c r="D715" i="1"/>
  <c r="A715" i="1"/>
  <c r="C715" i="1"/>
  <c r="E715" i="1"/>
  <c r="F715" i="1"/>
  <c r="G857" i="1"/>
  <c r="H857" i="1"/>
  <c r="D857" i="1"/>
  <c r="A857" i="1"/>
  <c r="C857" i="1"/>
  <c r="E857" i="1"/>
  <c r="F857" i="1"/>
  <c r="G744" i="1"/>
  <c r="H744" i="1"/>
  <c r="D744" i="1"/>
  <c r="A744" i="1"/>
  <c r="C744" i="1"/>
  <c r="E744" i="1"/>
  <c r="F744" i="1"/>
  <c r="G748" i="1"/>
  <c r="H748" i="1"/>
  <c r="D748" i="1"/>
  <c r="A748" i="1"/>
  <c r="C748" i="1"/>
  <c r="E748" i="1"/>
  <c r="F748" i="1"/>
  <c r="G912" i="1"/>
  <c r="H912" i="1"/>
  <c r="D912" i="1"/>
  <c r="A912" i="1"/>
  <c r="C912" i="1"/>
  <c r="E912" i="1"/>
  <c r="F912" i="1"/>
  <c r="G926" i="1"/>
  <c r="H926" i="1"/>
  <c r="D926" i="1"/>
  <c r="A926" i="1"/>
  <c r="C926" i="1"/>
  <c r="E926" i="1"/>
  <c r="F926" i="1"/>
  <c r="G944" i="1"/>
  <c r="H944" i="1"/>
  <c r="D944" i="1"/>
  <c r="A944" i="1"/>
  <c r="C944" i="1"/>
  <c r="E944" i="1"/>
  <c r="F944" i="1"/>
  <c r="G951" i="1"/>
  <c r="H951" i="1"/>
  <c r="D951" i="1"/>
  <c r="A951" i="1"/>
  <c r="C951" i="1"/>
  <c r="E951" i="1"/>
  <c r="F951" i="1"/>
  <c r="G934" i="1"/>
  <c r="H934" i="1"/>
  <c r="D934" i="1"/>
  <c r="A934" i="1"/>
  <c r="C934" i="1"/>
  <c r="E934" i="1"/>
  <c r="F934" i="1"/>
  <c r="G335" i="1"/>
  <c r="H335" i="1"/>
  <c r="D335" i="1"/>
  <c r="A335" i="1"/>
  <c r="C335" i="1"/>
  <c r="E335" i="1"/>
  <c r="F335" i="1"/>
  <c r="G990" i="1"/>
  <c r="H990" i="1"/>
  <c r="D990" i="1"/>
  <c r="A990" i="1"/>
  <c r="C990" i="1"/>
  <c r="E990" i="1"/>
  <c r="F990" i="1"/>
  <c r="G1060" i="1"/>
  <c r="H1060" i="1"/>
  <c r="D1060" i="1"/>
  <c r="A1060" i="1"/>
  <c r="C1060" i="1"/>
  <c r="E1060" i="1"/>
  <c r="F1060" i="1"/>
  <c r="G407" i="1"/>
  <c r="H407" i="1"/>
  <c r="D407" i="1"/>
  <c r="A407" i="1"/>
  <c r="C407" i="1"/>
  <c r="E407" i="1"/>
  <c r="F407" i="1"/>
  <c r="G1595" i="1"/>
  <c r="H1595" i="1"/>
  <c r="D1595" i="1"/>
  <c r="A1595" i="1"/>
  <c r="C1595" i="1"/>
  <c r="E1595" i="1"/>
  <c r="F1595" i="1"/>
  <c r="G1599" i="1"/>
  <c r="H1599" i="1"/>
  <c r="D1599" i="1"/>
  <c r="A1599" i="1"/>
  <c r="C1599" i="1"/>
  <c r="E1599" i="1"/>
  <c r="F1599" i="1"/>
  <c r="G1604" i="1"/>
  <c r="H1604" i="1"/>
  <c r="D1604" i="1"/>
  <c r="A1604" i="1"/>
  <c r="C1604" i="1"/>
  <c r="E1604" i="1"/>
  <c r="F1604" i="1"/>
  <c r="G1623" i="1"/>
  <c r="H1623" i="1"/>
  <c r="D1623" i="1"/>
  <c r="A1623" i="1"/>
  <c r="C1623" i="1"/>
  <c r="E1623" i="1"/>
  <c r="F1623" i="1"/>
  <c r="G1645" i="1"/>
  <c r="H1645" i="1"/>
  <c r="D1645" i="1"/>
  <c r="A1645" i="1"/>
  <c r="C1645" i="1"/>
  <c r="E1645" i="1"/>
  <c r="F1645" i="1"/>
  <c r="G1688" i="1"/>
  <c r="H1688" i="1"/>
  <c r="D1688" i="1"/>
  <c r="A1688" i="1"/>
  <c r="C1688" i="1"/>
  <c r="E1688" i="1"/>
  <c r="F1688" i="1"/>
  <c r="G1784" i="1"/>
  <c r="H1784" i="1"/>
  <c r="D1784" i="1"/>
  <c r="A1784" i="1"/>
  <c r="C1784" i="1"/>
  <c r="E1784" i="1"/>
  <c r="F1784" i="1"/>
  <c r="G1848" i="1"/>
  <c r="H1848" i="1"/>
  <c r="D1848" i="1"/>
  <c r="A1848" i="1"/>
  <c r="C1848" i="1"/>
  <c r="E1848" i="1"/>
  <c r="F1848" i="1"/>
  <c r="G1876" i="1"/>
  <c r="H1876" i="1"/>
  <c r="D1876" i="1"/>
  <c r="A1876" i="1"/>
  <c r="C1876" i="1"/>
  <c r="E1876" i="1"/>
  <c r="F1876" i="1"/>
  <c r="G1830" i="1"/>
  <c r="H1830" i="1"/>
  <c r="D1830" i="1"/>
  <c r="A1830" i="1"/>
  <c r="C1830" i="1"/>
  <c r="E1830" i="1"/>
  <c r="F1830" i="1"/>
  <c r="G1959" i="1"/>
  <c r="H1959" i="1"/>
  <c r="D1959" i="1"/>
  <c r="A1959" i="1"/>
  <c r="C1959" i="1"/>
  <c r="E1959" i="1"/>
  <c r="F1959" i="1"/>
  <c r="G2090" i="1"/>
  <c r="H2090" i="1"/>
  <c r="D2090" i="1"/>
  <c r="A2090" i="1"/>
  <c r="C2090" i="1"/>
  <c r="E2090" i="1"/>
  <c r="F2090" i="1"/>
  <c r="G2100" i="1"/>
  <c r="H2100" i="1"/>
  <c r="D2100" i="1"/>
  <c r="A2100" i="1"/>
  <c r="C2100" i="1"/>
  <c r="E2100" i="1"/>
  <c r="F2100" i="1"/>
  <c r="G2140" i="1"/>
  <c r="H2140" i="1"/>
  <c r="D2140" i="1"/>
  <c r="A2140" i="1"/>
  <c r="C2140" i="1"/>
  <c r="E2140" i="1"/>
  <c r="F2140" i="1"/>
  <c r="G2202" i="1"/>
  <c r="H2202" i="1"/>
  <c r="D2202" i="1"/>
  <c r="A2202" i="1"/>
  <c r="C2202" i="1"/>
  <c r="E2202" i="1"/>
  <c r="F2202" i="1"/>
  <c r="G2091" i="1"/>
  <c r="H2091" i="1"/>
  <c r="D2091" i="1"/>
  <c r="A2091" i="1"/>
  <c r="C2091" i="1"/>
  <c r="E2091" i="1"/>
  <c r="F2091" i="1"/>
  <c r="G4841" i="1"/>
  <c r="H4841" i="1"/>
  <c r="D4841" i="1"/>
  <c r="A4841" i="1"/>
  <c r="C4841" i="1"/>
  <c r="E4841" i="1"/>
  <c r="F4841" i="1"/>
  <c r="G2316" i="1"/>
  <c r="H2316" i="1"/>
  <c r="D2316" i="1"/>
  <c r="A2316" i="1"/>
  <c r="C2316" i="1"/>
  <c r="E2316" i="1"/>
  <c r="F2316" i="1"/>
  <c r="G2555" i="1"/>
  <c r="H2555" i="1"/>
  <c r="D2555" i="1"/>
  <c r="A2555" i="1"/>
  <c r="C2555" i="1"/>
  <c r="E2555" i="1"/>
  <c r="F2555" i="1"/>
  <c r="G2341" i="1"/>
  <c r="H2341" i="1"/>
  <c r="D2341" i="1"/>
  <c r="A2341" i="1"/>
  <c r="C2341" i="1"/>
  <c r="E2341" i="1"/>
  <c r="F2341" i="1"/>
  <c r="G2557" i="1"/>
  <c r="H2557" i="1"/>
  <c r="D2557" i="1"/>
  <c r="A2557" i="1"/>
  <c r="C2557" i="1"/>
  <c r="E2557" i="1"/>
  <c r="F2557" i="1"/>
  <c r="G2220" i="1"/>
  <c r="H2220" i="1"/>
  <c r="D2220" i="1"/>
  <c r="A2220" i="1"/>
  <c r="C2220" i="1"/>
  <c r="E2220" i="1"/>
  <c r="F2220" i="1"/>
  <c r="G2657" i="1"/>
  <c r="H2657" i="1"/>
  <c r="D2657" i="1"/>
  <c r="A2657" i="1"/>
  <c r="C2657" i="1"/>
  <c r="E2657" i="1"/>
  <c r="F2657" i="1"/>
  <c r="G2686" i="1"/>
  <c r="H2686" i="1"/>
  <c r="D2686" i="1"/>
  <c r="A2686" i="1"/>
  <c r="C2686" i="1"/>
  <c r="E2686" i="1"/>
  <c r="F2686" i="1"/>
  <c r="G2705" i="1"/>
  <c r="H2705" i="1"/>
  <c r="D2705" i="1"/>
  <c r="A2705" i="1"/>
  <c r="C2705" i="1"/>
  <c r="E2705" i="1"/>
  <c r="F2705" i="1"/>
  <c r="G2719" i="1"/>
  <c r="H2719" i="1"/>
  <c r="D2719" i="1"/>
  <c r="A2719" i="1"/>
  <c r="C2719" i="1"/>
  <c r="E2719" i="1"/>
  <c r="F2719" i="1"/>
  <c r="G2682" i="1"/>
  <c r="H2682" i="1"/>
  <c r="D2682" i="1"/>
  <c r="A2682" i="1"/>
  <c r="C2682" i="1"/>
  <c r="E2682" i="1"/>
  <c r="F2682" i="1"/>
  <c r="G2736" i="1"/>
  <c r="H2736" i="1"/>
  <c r="D2736" i="1"/>
  <c r="A2736" i="1"/>
  <c r="C2736" i="1"/>
  <c r="E2736" i="1"/>
  <c r="F2736" i="1"/>
  <c r="G4866" i="1"/>
  <c r="H4866" i="1"/>
  <c r="D4866" i="1"/>
  <c r="A4866" i="1"/>
  <c r="C4866" i="1"/>
  <c r="E4866" i="1"/>
  <c r="F4866" i="1"/>
  <c r="G2849" i="1"/>
  <c r="H2849" i="1"/>
  <c r="D2849" i="1"/>
  <c r="A2849" i="1"/>
  <c r="C2849" i="1"/>
  <c r="E2849" i="1"/>
  <c r="F2849" i="1"/>
  <c r="G2850" i="1"/>
  <c r="H2850" i="1"/>
  <c r="D2850" i="1"/>
  <c r="A2850" i="1"/>
  <c r="C2850" i="1"/>
  <c r="E2850" i="1"/>
  <c r="F2850" i="1"/>
  <c r="G2856" i="1"/>
  <c r="H2856" i="1"/>
  <c r="D2856" i="1"/>
  <c r="A2856" i="1"/>
  <c r="C2856" i="1"/>
  <c r="E2856" i="1"/>
  <c r="F2856" i="1"/>
  <c r="G2889" i="1"/>
  <c r="H2889" i="1"/>
  <c r="D2889" i="1"/>
  <c r="A2889" i="1"/>
  <c r="C2889" i="1"/>
  <c r="E2889" i="1"/>
  <c r="F2889" i="1"/>
  <c r="G2152" i="1"/>
  <c r="H2152" i="1"/>
  <c r="D2152" i="1"/>
  <c r="A2152" i="1"/>
  <c r="C2152" i="1"/>
  <c r="E2152" i="1"/>
  <c r="F2152" i="1"/>
  <c r="G2983" i="1"/>
  <c r="H2983" i="1"/>
  <c r="D2983" i="1"/>
  <c r="A2983" i="1"/>
  <c r="C2983" i="1"/>
  <c r="E2983" i="1"/>
  <c r="F2983" i="1"/>
  <c r="G3071" i="1"/>
  <c r="H3071" i="1"/>
  <c r="D3071" i="1"/>
  <c r="A3071" i="1"/>
  <c r="C3071" i="1"/>
  <c r="E3071" i="1"/>
  <c r="F3071" i="1"/>
  <c r="G3083" i="1"/>
  <c r="H3083" i="1"/>
  <c r="D3083" i="1"/>
  <c r="A3083" i="1"/>
  <c r="C3083" i="1"/>
  <c r="E3083" i="1"/>
  <c r="F3083" i="1"/>
  <c r="G4022" i="1"/>
  <c r="H4022" i="1"/>
  <c r="D4022" i="1"/>
  <c r="A4022" i="1"/>
  <c r="C4022" i="1"/>
  <c r="E4022" i="1"/>
  <c r="F4022" i="1"/>
  <c r="G691" i="1"/>
  <c r="H691" i="1"/>
  <c r="D691" i="1"/>
  <c r="A691" i="1"/>
  <c r="C691" i="1"/>
  <c r="E691" i="1"/>
  <c r="F691" i="1"/>
  <c r="G3112" i="1"/>
  <c r="H3112" i="1"/>
  <c r="D3112" i="1"/>
  <c r="A3112" i="1"/>
  <c r="C3112" i="1"/>
  <c r="E3112" i="1"/>
  <c r="F3112" i="1"/>
  <c r="G3129" i="1"/>
  <c r="H3129" i="1"/>
  <c r="D3129" i="1"/>
  <c r="A3129" i="1"/>
  <c r="C3129" i="1"/>
  <c r="E3129" i="1"/>
  <c r="F3129" i="1"/>
  <c r="G3131" i="1"/>
  <c r="H3131" i="1"/>
  <c r="D3131" i="1"/>
  <c r="A3131" i="1"/>
  <c r="C3131" i="1"/>
  <c r="E3131" i="1"/>
  <c r="F3131" i="1"/>
  <c r="G3145" i="1"/>
  <c r="H3145" i="1"/>
  <c r="D3145" i="1"/>
  <c r="A3145" i="1"/>
  <c r="C3145" i="1"/>
  <c r="E3145" i="1"/>
  <c r="F3145" i="1"/>
  <c r="G4167" i="1"/>
  <c r="H4167" i="1"/>
  <c r="D4167" i="1"/>
  <c r="A4167" i="1"/>
  <c r="C4167" i="1"/>
  <c r="E4167" i="1"/>
  <c r="F4167" i="1"/>
  <c r="G3205" i="1"/>
  <c r="H3205" i="1"/>
  <c r="D3205" i="1"/>
  <c r="A3205" i="1"/>
  <c r="C3205" i="1"/>
  <c r="E3205" i="1"/>
  <c r="F3205" i="1"/>
  <c r="G3215" i="1"/>
  <c r="H3215" i="1"/>
  <c r="D3215" i="1"/>
  <c r="A3215" i="1"/>
  <c r="C3215" i="1"/>
  <c r="E3215" i="1"/>
  <c r="F3215" i="1"/>
  <c r="G3229" i="1"/>
  <c r="H3229" i="1"/>
  <c r="D3229" i="1"/>
  <c r="A3229" i="1"/>
  <c r="C3229" i="1"/>
  <c r="E3229" i="1"/>
  <c r="F3229" i="1"/>
  <c r="G2877" i="1"/>
  <c r="H2877" i="1"/>
  <c r="D2877" i="1"/>
  <c r="A2877" i="1"/>
  <c r="C2877" i="1"/>
  <c r="E2877" i="1"/>
  <c r="F2877" i="1"/>
  <c r="G3301" i="1"/>
  <c r="H3301" i="1"/>
  <c r="D3301" i="1"/>
  <c r="A3301" i="1"/>
  <c r="C3301" i="1"/>
  <c r="E3301" i="1"/>
  <c r="F3301" i="1"/>
  <c r="G3350" i="1"/>
  <c r="H3350" i="1"/>
  <c r="D3350" i="1"/>
  <c r="A3350" i="1"/>
  <c r="C3350" i="1"/>
  <c r="E3350" i="1"/>
  <c r="F3350" i="1"/>
  <c r="G3328" i="1"/>
  <c r="H3328" i="1"/>
  <c r="D3328" i="1"/>
  <c r="A3328" i="1"/>
  <c r="C3328" i="1"/>
  <c r="E3328" i="1"/>
  <c r="F3328" i="1"/>
  <c r="G3354" i="1"/>
  <c r="H3354" i="1"/>
  <c r="D3354" i="1"/>
  <c r="A3354" i="1"/>
  <c r="C3354" i="1"/>
  <c r="E3354" i="1"/>
  <c r="F3354" i="1"/>
  <c r="G3377" i="1"/>
  <c r="H3377" i="1"/>
  <c r="D3377" i="1"/>
  <c r="A3377" i="1"/>
  <c r="C3377" i="1"/>
  <c r="E3377" i="1"/>
  <c r="F3377" i="1"/>
  <c r="G3383" i="1"/>
  <c r="H3383" i="1"/>
  <c r="D3383" i="1"/>
  <c r="A3383" i="1"/>
  <c r="C3383" i="1"/>
  <c r="E3383" i="1"/>
  <c r="F3383" i="1"/>
  <c r="G3385" i="1"/>
  <c r="H3385" i="1"/>
  <c r="D3385" i="1"/>
  <c r="A3385" i="1"/>
  <c r="C3385" i="1"/>
  <c r="E3385" i="1"/>
  <c r="F3385" i="1"/>
  <c r="G3386" i="1"/>
  <c r="H3386" i="1"/>
  <c r="D3386" i="1"/>
  <c r="A3386" i="1"/>
  <c r="C3386" i="1"/>
  <c r="E3386" i="1"/>
  <c r="F3386" i="1"/>
  <c r="G3433" i="1"/>
  <c r="H3433" i="1"/>
  <c r="D3433" i="1"/>
  <c r="A3433" i="1"/>
  <c r="C3433" i="1"/>
  <c r="E3433" i="1"/>
  <c r="F3433" i="1"/>
  <c r="G3531" i="1"/>
  <c r="H3531" i="1"/>
  <c r="D3531" i="1"/>
  <c r="A3531" i="1"/>
  <c r="C3531" i="1"/>
  <c r="E3531" i="1"/>
  <c r="F3531" i="1"/>
  <c r="G3624" i="1"/>
  <c r="H3624" i="1"/>
  <c r="D3624" i="1"/>
  <c r="A3624" i="1"/>
  <c r="C3624" i="1"/>
  <c r="E3624" i="1"/>
  <c r="F3624" i="1"/>
  <c r="G3639" i="1"/>
  <c r="H3639" i="1"/>
  <c r="D3639" i="1"/>
  <c r="A3639" i="1"/>
  <c r="C3639" i="1"/>
  <c r="E3639" i="1"/>
  <c r="F3639" i="1"/>
  <c r="G3650" i="1"/>
  <c r="H3650" i="1"/>
  <c r="D3650" i="1"/>
  <c r="A3650" i="1"/>
  <c r="C3650" i="1"/>
  <c r="E3650" i="1"/>
  <c r="F3650" i="1"/>
  <c r="G3750" i="1"/>
  <c r="H3750" i="1"/>
  <c r="D3750" i="1"/>
  <c r="A3750" i="1"/>
  <c r="C3750" i="1"/>
  <c r="E3750" i="1"/>
  <c r="F3750" i="1"/>
  <c r="G3747" i="1"/>
  <c r="H3747" i="1"/>
  <c r="D3747" i="1"/>
  <c r="A3747" i="1"/>
  <c r="C3747" i="1"/>
  <c r="E3747" i="1"/>
  <c r="F3747" i="1"/>
  <c r="G2025" i="1"/>
  <c r="H2025" i="1"/>
  <c r="D2025" i="1"/>
  <c r="A2025" i="1"/>
  <c r="C2025" i="1"/>
  <c r="E2025" i="1"/>
  <c r="F2025" i="1"/>
  <c r="G3838" i="1"/>
  <c r="H3838" i="1"/>
  <c r="D3838" i="1"/>
  <c r="A3838" i="1"/>
  <c r="C3838" i="1"/>
  <c r="E3838" i="1"/>
  <c r="F3838" i="1"/>
  <c r="G3844" i="1"/>
  <c r="H3844" i="1"/>
  <c r="D3844" i="1"/>
  <c r="A3844" i="1"/>
  <c r="C3844" i="1"/>
  <c r="E3844" i="1"/>
  <c r="F3844" i="1"/>
  <c r="G3875" i="1"/>
  <c r="H3875" i="1"/>
  <c r="D3875" i="1"/>
  <c r="A3875" i="1"/>
  <c r="C3875" i="1"/>
  <c r="E3875" i="1"/>
  <c r="F3875" i="1"/>
  <c r="G3889" i="1"/>
  <c r="H3889" i="1"/>
  <c r="D3889" i="1"/>
  <c r="A3889" i="1"/>
  <c r="C3889" i="1"/>
  <c r="E3889" i="1"/>
  <c r="F3889" i="1"/>
  <c r="G3913" i="1"/>
  <c r="H3913" i="1"/>
  <c r="D3913" i="1"/>
  <c r="A3913" i="1"/>
  <c r="C3913" i="1"/>
  <c r="E3913" i="1"/>
  <c r="F3913" i="1"/>
  <c r="G3920" i="1"/>
  <c r="H3920" i="1"/>
  <c r="D3920" i="1"/>
  <c r="A3920" i="1"/>
  <c r="C3920" i="1"/>
  <c r="E3920" i="1"/>
  <c r="F3920" i="1"/>
  <c r="G3921" i="1"/>
  <c r="H3921" i="1"/>
  <c r="D3921" i="1"/>
  <c r="A3921" i="1"/>
  <c r="C3921" i="1"/>
  <c r="E3921" i="1"/>
  <c r="F3921" i="1"/>
  <c r="G3796" i="1"/>
  <c r="H3796" i="1"/>
  <c r="D3796" i="1"/>
  <c r="A3796" i="1"/>
  <c r="C3796" i="1"/>
  <c r="E3796" i="1"/>
  <c r="F3796" i="1"/>
  <c r="G4036" i="1"/>
  <c r="H4036" i="1"/>
  <c r="D4036" i="1"/>
  <c r="A4036" i="1"/>
  <c r="C4036" i="1"/>
  <c r="E4036" i="1"/>
  <c r="F4036" i="1"/>
  <c r="G4071" i="1"/>
  <c r="H4071" i="1"/>
  <c r="D4071" i="1"/>
  <c r="A4071" i="1"/>
  <c r="C4071" i="1"/>
  <c r="E4071" i="1"/>
  <c r="F4071" i="1"/>
  <c r="G4085" i="1"/>
  <c r="H4085" i="1"/>
  <c r="D4085" i="1"/>
  <c r="A4085" i="1"/>
  <c r="C4085" i="1"/>
  <c r="E4085" i="1"/>
  <c r="F4085" i="1"/>
  <c r="G2139" i="1"/>
  <c r="H2139" i="1"/>
  <c r="D2139" i="1"/>
  <c r="A2139" i="1"/>
  <c r="C2139" i="1"/>
  <c r="E2139" i="1"/>
  <c r="F2139" i="1"/>
  <c r="G4159" i="1"/>
  <c r="H4159" i="1"/>
  <c r="D4159" i="1"/>
  <c r="A4159" i="1"/>
  <c r="C4159" i="1"/>
  <c r="E4159" i="1"/>
  <c r="F4159" i="1"/>
  <c r="G4174" i="1"/>
  <c r="H4174" i="1"/>
  <c r="D4174" i="1"/>
  <c r="A4174" i="1"/>
  <c r="C4174" i="1"/>
  <c r="E4174" i="1"/>
  <c r="F4174" i="1"/>
  <c r="G4179" i="1"/>
  <c r="H4179" i="1"/>
  <c r="D4179" i="1"/>
  <c r="A4179" i="1"/>
  <c r="C4179" i="1"/>
  <c r="E4179" i="1"/>
  <c r="F4179" i="1"/>
  <c r="G4187" i="1"/>
  <c r="H4187" i="1"/>
  <c r="D4187" i="1"/>
  <c r="A4187" i="1"/>
  <c r="C4187" i="1"/>
  <c r="E4187" i="1"/>
  <c r="F4187" i="1"/>
  <c r="G4229" i="1"/>
  <c r="H4229" i="1"/>
  <c r="D4229" i="1"/>
  <c r="A4229" i="1"/>
  <c r="C4229" i="1"/>
  <c r="E4229" i="1"/>
  <c r="F4229" i="1"/>
  <c r="G2647" i="1"/>
  <c r="H2647" i="1"/>
  <c r="D2647" i="1"/>
  <c r="A2647" i="1"/>
  <c r="C2647" i="1"/>
  <c r="E2647" i="1"/>
  <c r="F2647" i="1"/>
  <c r="G4283" i="1"/>
  <c r="H4283" i="1"/>
  <c r="D4283" i="1"/>
  <c r="A4283" i="1"/>
  <c r="C4283" i="1"/>
  <c r="E4283" i="1"/>
  <c r="F4283" i="1"/>
  <c r="G4300" i="1"/>
  <c r="H4300" i="1"/>
  <c r="D4300" i="1"/>
  <c r="A4300" i="1"/>
  <c r="C4300" i="1"/>
  <c r="E4300" i="1"/>
  <c r="F4300" i="1"/>
  <c r="G4310" i="1"/>
  <c r="H4310" i="1"/>
  <c r="D4310" i="1"/>
  <c r="A4310" i="1"/>
  <c r="C4310" i="1"/>
  <c r="E4310" i="1"/>
  <c r="F4310" i="1"/>
  <c r="G4869" i="1"/>
  <c r="H4869" i="1"/>
  <c r="D4869" i="1"/>
  <c r="A4869" i="1"/>
  <c r="C4869" i="1"/>
  <c r="E4869" i="1"/>
  <c r="F4869" i="1"/>
  <c r="G4425" i="1"/>
  <c r="H4425" i="1"/>
  <c r="D4425" i="1"/>
  <c r="A4425" i="1"/>
  <c r="C4425" i="1"/>
  <c r="E4425" i="1"/>
  <c r="F4425" i="1"/>
  <c r="G4879" i="1"/>
  <c r="H4879" i="1"/>
  <c r="D4879" i="1"/>
  <c r="A4879" i="1"/>
  <c r="C4879" i="1"/>
  <c r="E4879" i="1"/>
  <c r="F4879" i="1"/>
  <c r="G4911" i="1"/>
  <c r="H4911" i="1"/>
  <c r="D4911" i="1"/>
  <c r="A4911" i="1"/>
  <c r="C4911" i="1"/>
  <c r="E4911" i="1"/>
  <c r="F4911" i="1"/>
  <c r="G4570" i="1"/>
  <c r="H4570" i="1"/>
  <c r="D4570" i="1"/>
  <c r="A4570" i="1"/>
  <c r="C4570" i="1"/>
  <c r="E4570" i="1"/>
  <c r="F4570" i="1"/>
  <c r="G4577" i="1"/>
  <c r="H4577" i="1"/>
  <c r="D4577" i="1"/>
  <c r="A4577" i="1"/>
  <c r="C4577" i="1"/>
  <c r="E4577" i="1"/>
  <c r="F4577" i="1"/>
  <c r="G4586" i="1"/>
  <c r="H4586" i="1"/>
  <c r="D4586" i="1"/>
  <c r="A4586" i="1"/>
  <c r="C4586" i="1"/>
  <c r="E4586" i="1"/>
  <c r="F4586" i="1"/>
  <c r="G4626" i="1"/>
  <c r="H4626" i="1"/>
  <c r="D4626" i="1"/>
  <c r="A4626" i="1"/>
  <c r="C4626" i="1"/>
  <c r="E4626" i="1"/>
  <c r="F4626" i="1"/>
  <c r="G4637" i="1"/>
  <c r="H4637" i="1"/>
  <c r="D4637" i="1"/>
  <c r="A4637" i="1"/>
  <c r="C4637" i="1"/>
  <c r="E4637" i="1"/>
  <c r="F4637" i="1"/>
  <c r="G4650" i="1"/>
  <c r="H4650" i="1"/>
  <c r="D4650" i="1"/>
  <c r="A4650" i="1"/>
  <c r="C4650" i="1"/>
  <c r="E4650" i="1"/>
  <c r="F4650" i="1"/>
  <c r="G4719" i="1"/>
  <c r="H4719" i="1"/>
  <c r="D4719" i="1"/>
  <c r="A4719" i="1"/>
  <c r="C4719" i="1"/>
  <c r="E4719" i="1"/>
  <c r="F4719" i="1"/>
  <c r="G4730" i="1"/>
  <c r="H4730" i="1"/>
  <c r="D4730" i="1"/>
  <c r="A4730" i="1"/>
  <c r="C4730" i="1"/>
  <c r="E4730" i="1"/>
  <c r="F4730" i="1"/>
  <c r="G4777" i="1"/>
  <c r="H4777" i="1"/>
  <c r="D4777" i="1"/>
  <c r="A4777" i="1"/>
  <c r="C4777" i="1"/>
  <c r="E4777" i="1"/>
  <c r="F4777" i="1"/>
  <c r="G4806" i="1"/>
  <c r="H4806" i="1"/>
  <c r="D4806" i="1"/>
  <c r="A4806" i="1"/>
  <c r="C4806" i="1"/>
  <c r="E4806" i="1"/>
  <c r="F4806" i="1"/>
  <c r="G4921" i="1"/>
  <c r="H4921" i="1"/>
  <c r="D4921" i="1"/>
  <c r="A4921" i="1"/>
  <c r="C4921" i="1"/>
  <c r="E4921" i="1"/>
  <c r="F4921" i="1"/>
  <c r="G4976" i="1"/>
  <c r="H4976" i="1"/>
  <c r="D4976" i="1"/>
  <c r="A4976" i="1"/>
  <c r="C4976" i="1"/>
  <c r="E4976" i="1"/>
  <c r="F4976" i="1"/>
  <c r="G4975" i="1"/>
  <c r="H4975" i="1"/>
  <c r="D4975" i="1"/>
  <c r="A4975" i="1"/>
  <c r="C4975" i="1"/>
  <c r="E4975" i="1"/>
  <c r="F4975" i="1"/>
  <c r="G1089" i="1"/>
  <c r="H1089" i="1"/>
  <c r="D1089" i="1"/>
  <c r="A1089" i="1"/>
  <c r="C1089" i="1"/>
  <c r="E1089" i="1"/>
  <c r="F1089" i="1"/>
  <c r="G4985" i="1"/>
  <c r="H4985" i="1"/>
  <c r="D4985" i="1"/>
  <c r="A4985" i="1"/>
  <c r="C4985" i="1"/>
  <c r="E4985" i="1"/>
  <c r="F4985" i="1"/>
  <c r="G4986" i="1"/>
  <c r="H4986" i="1"/>
  <c r="D4986" i="1"/>
  <c r="A4986" i="1"/>
  <c r="C4986" i="1"/>
  <c r="E4986" i="1"/>
  <c r="F4986" i="1"/>
  <c r="G5004" i="1"/>
  <c r="H5004" i="1"/>
  <c r="D5004" i="1"/>
  <c r="A5004" i="1"/>
  <c r="C5004" i="1"/>
  <c r="E5004" i="1"/>
  <c r="F5004" i="1"/>
  <c r="G5007" i="1"/>
  <c r="H5007" i="1"/>
  <c r="D5007" i="1"/>
  <c r="A5007" i="1"/>
  <c r="C5007" i="1"/>
  <c r="E5007" i="1"/>
  <c r="F5007" i="1"/>
  <c r="G5012" i="1"/>
  <c r="H5012" i="1"/>
  <c r="D5012" i="1"/>
  <c r="A5012" i="1"/>
  <c r="C5012" i="1"/>
  <c r="E5012" i="1"/>
  <c r="F5012" i="1"/>
  <c r="G5015" i="1"/>
  <c r="H5015" i="1"/>
  <c r="D5015" i="1"/>
  <c r="A5015" i="1"/>
  <c r="C5015" i="1"/>
  <c r="E5015" i="1"/>
  <c r="F5015" i="1"/>
  <c r="G426" i="1"/>
  <c r="H426" i="1"/>
  <c r="D426" i="1"/>
  <c r="A426" i="1"/>
  <c r="C426" i="1"/>
  <c r="E426" i="1"/>
  <c r="F426" i="1"/>
  <c r="G5034" i="1"/>
  <c r="H5034" i="1"/>
  <c r="D5034" i="1"/>
  <c r="A5034" i="1"/>
  <c r="C5034" i="1"/>
  <c r="E5034" i="1"/>
  <c r="F5034" i="1"/>
  <c r="G4883" i="1"/>
  <c r="H4883" i="1"/>
  <c r="D4883" i="1"/>
  <c r="A4883" i="1"/>
  <c r="C4883" i="1"/>
  <c r="E4883" i="1"/>
  <c r="F4883" i="1"/>
  <c r="G262" i="1"/>
  <c r="H262" i="1"/>
  <c r="D262" i="1"/>
  <c r="A262" i="1"/>
  <c r="C262" i="1"/>
  <c r="E262" i="1"/>
  <c r="F262" i="1"/>
  <c r="G2553" i="1"/>
  <c r="H2553" i="1"/>
  <c r="D2553" i="1"/>
  <c r="A2553" i="1"/>
  <c r="C2553" i="1"/>
  <c r="E2553" i="1"/>
  <c r="F2553" i="1"/>
  <c r="G2353" i="1"/>
  <c r="H2353" i="1"/>
  <c r="D2353" i="1"/>
  <c r="A2353" i="1"/>
  <c r="C2353" i="1"/>
  <c r="E2353" i="1"/>
  <c r="F2353" i="1"/>
  <c r="G4072" i="1"/>
  <c r="H4072" i="1"/>
  <c r="D4072" i="1"/>
  <c r="A4072" i="1"/>
  <c r="C4072" i="1"/>
  <c r="E4072" i="1"/>
  <c r="F4072" i="1"/>
  <c r="G1493" i="1"/>
  <c r="H1493" i="1"/>
  <c r="D1493" i="1"/>
  <c r="A1493" i="1"/>
  <c r="C1493" i="1"/>
  <c r="E1493" i="1"/>
  <c r="F1493" i="1"/>
  <c r="G925" i="1"/>
  <c r="H925" i="1"/>
  <c r="D925" i="1"/>
  <c r="A925" i="1"/>
  <c r="C925" i="1"/>
  <c r="E925" i="1"/>
  <c r="F925" i="1"/>
  <c r="G268" i="1"/>
  <c r="H268" i="1"/>
  <c r="D268" i="1"/>
  <c r="A268" i="1"/>
  <c r="C268" i="1"/>
  <c r="E268" i="1"/>
  <c r="F268" i="1"/>
  <c r="G4966" i="1"/>
  <c r="H4966" i="1"/>
  <c r="D4966" i="1"/>
  <c r="A4966" i="1"/>
  <c r="C4966" i="1"/>
  <c r="E4966" i="1"/>
  <c r="F4966" i="1"/>
  <c r="G4237" i="1"/>
  <c r="H4237" i="1"/>
  <c r="D4237" i="1"/>
  <c r="A4237" i="1"/>
  <c r="C4237" i="1"/>
  <c r="E4237" i="1"/>
  <c r="F4237" i="1"/>
  <c r="G3793" i="1"/>
  <c r="H3793" i="1"/>
  <c r="D3793" i="1"/>
  <c r="A3793" i="1"/>
  <c r="C3793" i="1"/>
  <c r="E3793" i="1"/>
  <c r="F3793" i="1"/>
  <c r="G1766" i="1"/>
  <c r="H1766" i="1"/>
  <c r="D1766" i="1"/>
  <c r="A1766" i="1"/>
  <c r="C1766" i="1"/>
  <c r="E1766" i="1"/>
  <c r="F1766" i="1"/>
  <c r="G4678" i="1"/>
  <c r="H4678" i="1"/>
  <c r="D4678" i="1"/>
  <c r="A4678" i="1"/>
  <c r="C4678" i="1"/>
  <c r="E4678" i="1"/>
  <c r="F4678" i="1"/>
  <c r="G2933" i="1"/>
  <c r="H2933" i="1"/>
  <c r="D2933" i="1"/>
  <c r="A2933" i="1"/>
  <c r="C2933" i="1"/>
  <c r="E2933" i="1"/>
  <c r="F2933" i="1"/>
  <c r="G3985" i="1"/>
  <c r="H3985" i="1"/>
  <c r="D3985" i="1"/>
  <c r="A3985" i="1"/>
  <c r="C3985" i="1"/>
  <c r="E3985" i="1"/>
  <c r="F3985" i="1"/>
  <c r="G1632" i="1"/>
  <c r="H1632" i="1"/>
  <c r="D1632" i="1"/>
  <c r="A1632" i="1"/>
  <c r="C1632" i="1"/>
  <c r="E1632" i="1"/>
  <c r="F1632" i="1"/>
  <c r="G1637" i="1"/>
  <c r="H1637" i="1"/>
  <c r="D1637" i="1"/>
  <c r="A1637" i="1"/>
  <c r="C1637" i="1"/>
  <c r="E1637" i="1"/>
  <c r="F1637" i="1"/>
  <c r="G4280" i="1"/>
  <c r="H4280" i="1"/>
  <c r="D4280" i="1"/>
  <c r="A4280" i="1"/>
  <c r="C4280" i="1"/>
  <c r="E4280" i="1"/>
  <c r="F4280" i="1"/>
  <c r="G3956" i="1"/>
  <c r="H3956" i="1"/>
  <c r="D3956" i="1"/>
  <c r="A3956" i="1"/>
  <c r="C3956" i="1"/>
  <c r="E3956" i="1"/>
  <c r="F3956" i="1"/>
  <c r="G4789" i="1"/>
  <c r="H4789" i="1"/>
  <c r="D4789" i="1"/>
  <c r="A4789" i="1"/>
  <c r="C4789" i="1"/>
  <c r="E4789" i="1"/>
  <c r="F4789" i="1"/>
  <c r="G3664" i="1"/>
  <c r="H3664" i="1"/>
  <c r="D3664" i="1"/>
  <c r="A3664" i="1"/>
  <c r="C3664" i="1"/>
  <c r="E3664" i="1"/>
  <c r="F3664" i="1"/>
  <c r="G5092" i="1"/>
  <c r="H5092" i="1"/>
  <c r="D5092" i="1"/>
  <c r="A5092" i="1"/>
  <c r="C5092" i="1"/>
  <c r="E5092" i="1"/>
  <c r="F5092" i="1"/>
  <c r="G3669" i="1"/>
  <c r="H3669" i="1"/>
  <c r="D3669" i="1"/>
  <c r="A3669" i="1"/>
  <c r="C3669" i="1"/>
  <c r="E3669" i="1"/>
  <c r="F3669" i="1"/>
  <c r="G4455" i="1"/>
  <c r="H4455" i="1"/>
  <c r="D4455" i="1"/>
  <c r="A4455" i="1"/>
  <c r="C4455" i="1"/>
  <c r="E4455" i="1"/>
  <c r="F4455" i="1"/>
  <c r="G2996" i="1"/>
  <c r="H2996" i="1"/>
  <c r="D2996" i="1"/>
  <c r="A2996" i="1"/>
  <c r="C2996" i="1"/>
  <c r="E2996" i="1"/>
  <c r="F2996" i="1"/>
  <c r="G3707" i="1"/>
  <c r="H3707" i="1"/>
  <c r="D3707" i="1"/>
  <c r="A3707" i="1"/>
  <c r="C3707" i="1"/>
  <c r="E3707" i="1"/>
  <c r="F3707" i="1"/>
  <c r="G241" i="1"/>
  <c r="H241" i="1"/>
  <c r="D241" i="1"/>
  <c r="A241" i="1"/>
  <c r="C241" i="1"/>
  <c r="E241" i="1"/>
  <c r="F241" i="1"/>
  <c r="G1479" i="1"/>
  <c r="H1479" i="1"/>
  <c r="D1479" i="1"/>
  <c r="A1479" i="1"/>
  <c r="C1479" i="1"/>
  <c r="E1479" i="1"/>
  <c r="F1479" i="1"/>
  <c r="G1511" i="1"/>
  <c r="H1511" i="1"/>
  <c r="D1511" i="1"/>
  <c r="A1511" i="1"/>
  <c r="C1511" i="1"/>
  <c r="E1511" i="1"/>
  <c r="F1511" i="1"/>
  <c r="G680" i="1"/>
  <c r="H680" i="1"/>
  <c r="D680" i="1"/>
  <c r="A680" i="1"/>
  <c r="C680" i="1"/>
  <c r="E680" i="1"/>
  <c r="F680" i="1"/>
  <c r="G3601" i="1"/>
  <c r="H3601" i="1"/>
  <c r="D3601" i="1"/>
  <c r="A3601" i="1"/>
  <c r="C3601" i="1"/>
  <c r="E3601" i="1"/>
  <c r="F3601" i="1"/>
  <c r="G2142" i="1"/>
  <c r="H2142" i="1"/>
  <c r="D2142" i="1"/>
  <c r="A2142" i="1"/>
  <c r="C2142" i="1"/>
  <c r="E2142" i="1"/>
  <c r="F2142" i="1"/>
  <c r="G4225" i="1"/>
  <c r="H4225" i="1"/>
  <c r="D4225" i="1"/>
  <c r="A4225" i="1"/>
  <c r="C4225" i="1"/>
  <c r="E4225" i="1"/>
  <c r="F4225" i="1"/>
  <c r="G3605" i="1"/>
  <c r="H3605" i="1"/>
  <c r="D3605" i="1"/>
  <c r="A3605" i="1"/>
  <c r="C3605" i="1"/>
  <c r="E3605" i="1"/>
  <c r="F3605" i="1"/>
  <c r="G3528" i="1"/>
  <c r="H3528" i="1"/>
  <c r="D3528" i="1"/>
  <c r="A3528" i="1"/>
  <c r="C3528" i="1"/>
  <c r="E3528" i="1"/>
  <c r="F3528" i="1"/>
  <c r="G3429" i="1"/>
  <c r="H3429" i="1"/>
  <c r="D3429" i="1"/>
  <c r="A3429" i="1"/>
  <c r="C3429" i="1"/>
  <c r="E3429" i="1"/>
  <c r="F3429" i="1"/>
  <c r="G286" i="1"/>
  <c r="H286" i="1"/>
  <c r="D286" i="1"/>
  <c r="A286" i="1"/>
  <c r="C286" i="1"/>
  <c r="E286" i="1"/>
  <c r="F286" i="1"/>
  <c r="G4415" i="1"/>
  <c r="H4415" i="1"/>
  <c r="D4415" i="1"/>
  <c r="A4415" i="1"/>
  <c r="C4415" i="1"/>
  <c r="E4415" i="1"/>
  <c r="F4415" i="1"/>
  <c r="G1509" i="1"/>
  <c r="H1509" i="1"/>
  <c r="D1509" i="1"/>
  <c r="A1509" i="1"/>
  <c r="C1509" i="1"/>
  <c r="E1509" i="1"/>
  <c r="F1509" i="1"/>
  <c r="G3028" i="1"/>
  <c r="H3028" i="1"/>
  <c r="D3028" i="1"/>
  <c r="A3028" i="1"/>
  <c r="C3028" i="1"/>
  <c r="E3028" i="1"/>
  <c r="F3028" i="1"/>
  <c r="G3760" i="1"/>
  <c r="H3760" i="1"/>
  <c r="D3760" i="1"/>
  <c r="A3760" i="1"/>
  <c r="C3760" i="1"/>
  <c r="E3760" i="1"/>
  <c r="F3760" i="1"/>
  <c r="G950" i="1"/>
  <c r="H950" i="1"/>
  <c r="D950" i="1"/>
  <c r="A950" i="1"/>
  <c r="C950" i="1"/>
  <c r="E950" i="1"/>
  <c r="F950" i="1"/>
  <c r="G4169" i="1"/>
  <c r="H4169" i="1"/>
  <c r="D4169" i="1"/>
  <c r="A4169" i="1"/>
  <c r="C4169" i="1"/>
  <c r="E4169" i="1"/>
  <c r="F4169" i="1"/>
  <c r="G3080" i="1"/>
  <c r="H3080" i="1"/>
  <c r="D3080" i="1"/>
  <c r="A3080" i="1"/>
  <c r="C3080" i="1"/>
  <c r="E3080" i="1"/>
  <c r="F3080" i="1"/>
  <c r="G3168" i="1"/>
  <c r="H3168" i="1"/>
  <c r="D3168" i="1"/>
  <c r="A3168" i="1"/>
  <c r="C3168" i="1"/>
  <c r="E3168" i="1"/>
  <c r="F3168" i="1"/>
  <c r="G318" i="1"/>
  <c r="H318" i="1"/>
  <c r="D318" i="1"/>
  <c r="A318" i="1"/>
  <c r="C318" i="1"/>
  <c r="E318" i="1"/>
  <c r="F318" i="1"/>
  <c r="G3884" i="1"/>
  <c r="H3884" i="1"/>
  <c r="D3884" i="1"/>
  <c r="A3884" i="1"/>
  <c r="C3884" i="1"/>
  <c r="E3884" i="1"/>
  <c r="F3884" i="1"/>
  <c r="G3557" i="1"/>
  <c r="H3557" i="1"/>
  <c r="D3557" i="1"/>
  <c r="A3557" i="1"/>
  <c r="C3557" i="1"/>
  <c r="E3557" i="1"/>
  <c r="F3557" i="1"/>
  <c r="G3647" i="1"/>
  <c r="H3647" i="1"/>
  <c r="D3647" i="1"/>
  <c r="A3647" i="1"/>
  <c r="C3647" i="1"/>
  <c r="E3647" i="1"/>
  <c r="F3647" i="1"/>
  <c r="G2878" i="1"/>
  <c r="H2878" i="1"/>
  <c r="D2878" i="1"/>
  <c r="A2878" i="1"/>
  <c r="C2878" i="1"/>
  <c r="E2878" i="1"/>
  <c r="F2878" i="1"/>
  <c r="G3785" i="1"/>
  <c r="H3785" i="1"/>
  <c r="D3785" i="1"/>
  <c r="A3785" i="1"/>
  <c r="C3785" i="1"/>
  <c r="E3785" i="1"/>
  <c r="F3785" i="1"/>
  <c r="G4420" i="1"/>
  <c r="H4420" i="1"/>
  <c r="D4420" i="1"/>
  <c r="A4420" i="1"/>
  <c r="C4420" i="1"/>
  <c r="E4420" i="1"/>
  <c r="F4420" i="1"/>
  <c r="G3503" i="1"/>
  <c r="H3503" i="1"/>
  <c r="D3503" i="1"/>
  <c r="A3503" i="1"/>
  <c r="C3503" i="1"/>
  <c r="E3503" i="1"/>
  <c r="F3503" i="1"/>
  <c r="G2927" i="1"/>
  <c r="H2927" i="1"/>
  <c r="D2927" i="1"/>
  <c r="A2927" i="1"/>
  <c r="C2927" i="1"/>
  <c r="E2927" i="1"/>
  <c r="F2927" i="1"/>
  <c r="G1956" i="1"/>
  <c r="H1956" i="1"/>
  <c r="D1956" i="1"/>
  <c r="A1956" i="1"/>
  <c r="C1956" i="1"/>
  <c r="E1956" i="1"/>
  <c r="F1956" i="1"/>
  <c r="G400" i="1"/>
  <c r="H400" i="1"/>
  <c r="D400" i="1"/>
  <c r="A400" i="1"/>
  <c r="C400" i="1"/>
  <c r="E400" i="1"/>
  <c r="F400" i="1"/>
  <c r="G1130" i="1"/>
  <c r="H1130" i="1"/>
  <c r="D1130" i="1"/>
  <c r="A1130" i="1"/>
  <c r="C1130" i="1"/>
  <c r="E1130" i="1"/>
  <c r="F1130" i="1"/>
  <c r="G1821" i="1"/>
  <c r="H1821" i="1"/>
  <c r="D1821" i="1"/>
  <c r="A1821" i="1"/>
  <c r="C1821" i="1"/>
  <c r="E1821" i="1"/>
  <c r="F1821" i="1"/>
  <c r="G221" i="1"/>
  <c r="H221" i="1"/>
  <c r="D221" i="1"/>
  <c r="A221" i="1"/>
  <c r="C221" i="1"/>
  <c r="E221" i="1"/>
  <c r="F221" i="1"/>
  <c r="G1393" i="1"/>
  <c r="H1393" i="1"/>
  <c r="D1393" i="1"/>
  <c r="A1393" i="1"/>
  <c r="C1393" i="1"/>
  <c r="E1393" i="1"/>
  <c r="F1393" i="1"/>
  <c r="G5050" i="1"/>
  <c r="H5050" i="1"/>
  <c r="D5050" i="1"/>
  <c r="A5050" i="1"/>
  <c r="C5050" i="1"/>
  <c r="E5050" i="1"/>
  <c r="F5050" i="1"/>
  <c r="G2151" i="1"/>
  <c r="H2151" i="1"/>
  <c r="D2151" i="1"/>
  <c r="A2151" i="1"/>
  <c r="C2151" i="1"/>
  <c r="E2151" i="1"/>
  <c r="F2151" i="1"/>
  <c r="G4984" i="1"/>
  <c r="H4984" i="1"/>
  <c r="D4984" i="1"/>
  <c r="A4984" i="1"/>
  <c r="C4984" i="1"/>
  <c r="E4984" i="1"/>
  <c r="F4984" i="1"/>
  <c r="G240" i="1"/>
  <c r="H240" i="1"/>
  <c r="D240" i="1"/>
  <c r="A240" i="1"/>
  <c r="C240" i="1"/>
  <c r="E240" i="1"/>
  <c r="F240" i="1"/>
  <c r="G1661" i="1"/>
  <c r="H1661" i="1"/>
  <c r="D1661" i="1"/>
  <c r="A1661" i="1"/>
  <c r="C1661" i="1"/>
  <c r="E1661" i="1"/>
  <c r="F1661" i="1"/>
  <c r="G1491" i="1"/>
  <c r="H1491" i="1"/>
  <c r="D1491" i="1"/>
  <c r="A1491" i="1"/>
  <c r="C1491" i="1"/>
  <c r="E1491" i="1"/>
  <c r="F1491" i="1"/>
  <c r="G4633" i="1"/>
  <c r="H4633" i="1"/>
  <c r="D4633" i="1"/>
  <c r="A4633" i="1"/>
  <c r="C4633" i="1"/>
  <c r="E4633" i="1"/>
  <c r="F4633" i="1"/>
  <c r="G2374" i="1"/>
  <c r="H2374" i="1"/>
  <c r="D2374" i="1"/>
  <c r="A2374" i="1"/>
  <c r="C2374" i="1"/>
  <c r="E2374" i="1"/>
  <c r="F2374" i="1"/>
  <c r="G649" i="1"/>
  <c r="H649" i="1"/>
  <c r="D649" i="1"/>
  <c r="A649" i="1"/>
  <c r="C649" i="1"/>
  <c r="E649" i="1"/>
  <c r="F649" i="1"/>
  <c r="G609" i="1"/>
  <c r="H609" i="1"/>
  <c r="D609" i="1"/>
  <c r="A609" i="1"/>
  <c r="C609" i="1"/>
  <c r="E609" i="1"/>
  <c r="F609" i="1"/>
  <c r="G437" i="1"/>
  <c r="H437" i="1"/>
  <c r="D437" i="1"/>
  <c r="A437" i="1"/>
  <c r="C437" i="1"/>
  <c r="E437" i="1"/>
  <c r="F437" i="1"/>
  <c r="G830" i="1"/>
  <c r="H830" i="1"/>
  <c r="D830" i="1"/>
  <c r="A830" i="1"/>
  <c r="C830" i="1"/>
  <c r="E830" i="1"/>
  <c r="F830" i="1"/>
  <c r="G815" i="1"/>
  <c r="H815" i="1"/>
  <c r="D815" i="1"/>
  <c r="A815" i="1"/>
  <c r="C815" i="1"/>
  <c r="E815" i="1"/>
  <c r="F815" i="1"/>
  <c r="G831" i="1"/>
  <c r="H831" i="1"/>
  <c r="D831" i="1"/>
  <c r="A831" i="1"/>
  <c r="C831" i="1"/>
  <c r="E831" i="1"/>
  <c r="F831" i="1"/>
  <c r="G838" i="1"/>
  <c r="H838" i="1"/>
  <c r="D838" i="1"/>
  <c r="A838" i="1"/>
  <c r="C838" i="1"/>
  <c r="E838" i="1"/>
  <c r="F838" i="1"/>
  <c r="G819" i="1"/>
  <c r="H819" i="1"/>
  <c r="D819" i="1"/>
  <c r="A819" i="1"/>
  <c r="C819" i="1"/>
  <c r="E819" i="1"/>
  <c r="F819" i="1"/>
  <c r="G825" i="1"/>
  <c r="H825" i="1"/>
  <c r="D825" i="1"/>
  <c r="A825" i="1"/>
  <c r="C825" i="1"/>
  <c r="E825" i="1"/>
  <c r="F825" i="1"/>
  <c r="G842" i="1"/>
  <c r="H842" i="1"/>
  <c r="D842" i="1"/>
  <c r="A842" i="1"/>
  <c r="C842" i="1"/>
  <c r="E842" i="1"/>
  <c r="F842" i="1"/>
  <c r="G844" i="1"/>
  <c r="H844" i="1"/>
  <c r="D844" i="1"/>
  <c r="A844" i="1"/>
  <c r="C844" i="1"/>
  <c r="E844" i="1"/>
  <c r="F844" i="1"/>
  <c r="G852" i="1"/>
  <c r="H852" i="1"/>
  <c r="D852" i="1"/>
  <c r="A852" i="1"/>
  <c r="C852" i="1"/>
  <c r="E852" i="1"/>
  <c r="F852" i="1"/>
  <c r="G851" i="1"/>
  <c r="H851" i="1"/>
  <c r="D851" i="1"/>
  <c r="A851" i="1"/>
  <c r="C851" i="1"/>
  <c r="E851" i="1"/>
  <c r="F851" i="1"/>
  <c r="G862" i="1"/>
  <c r="H862" i="1"/>
  <c r="D862" i="1"/>
  <c r="A862" i="1"/>
  <c r="C862" i="1"/>
  <c r="E862" i="1"/>
  <c r="F862" i="1"/>
  <c r="G3095" i="1"/>
  <c r="H3095" i="1"/>
  <c r="D3095" i="1"/>
  <c r="A3095" i="1"/>
  <c r="C3095" i="1"/>
  <c r="E3095" i="1"/>
  <c r="F3095" i="1"/>
  <c r="G703" i="1"/>
  <c r="H703" i="1"/>
  <c r="D703" i="1"/>
  <c r="A703" i="1"/>
  <c r="C703" i="1"/>
  <c r="E703" i="1"/>
  <c r="F703" i="1"/>
  <c r="G705" i="1"/>
  <c r="H705" i="1"/>
  <c r="D705" i="1"/>
  <c r="A705" i="1"/>
  <c r="C705" i="1"/>
  <c r="E705" i="1"/>
  <c r="F705" i="1"/>
  <c r="G3096" i="1"/>
  <c r="H3096" i="1"/>
  <c r="D3096" i="1"/>
  <c r="A3096" i="1"/>
  <c r="C3096" i="1"/>
  <c r="E3096" i="1"/>
  <c r="F3096" i="1"/>
  <c r="G4548" i="1"/>
  <c r="H4548" i="1"/>
  <c r="D4548" i="1"/>
  <c r="A4548" i="1"/>
  <c r="C4548" i="1"/>
  <c r="E4548" i="1"/>
  <c r="F4548" i="1"/>
  <c r="G4128" i="1"/>
  <c r="H4128" i="1"/>
  <c r="D4128" i="1"/>
  <c r="A4128" i="1"/>
  <c r="C4128" i="1"/>
  <c r="E4128" i="1"/>
  <c r="F4128" i="1"/>
  <c r="G4130" i="1"/>
  <c r="H4130" i="1"/>
  <c r="D4130" i="1"/>
  <c r="A4130" i="1"/>
  <c r="C4130" i="1"/>
  <c r="E4130" i="1"/>
  <c r="F4130" i="1"/>
  <c r="G4136" i="1"/>
  <c r="H4136" i="1"/>
  <c r="D4136" i="1"/>
  <c r="A4136" i="1"/>
  <c r="C4136" i="1"/>
  <c r="E4136" i="1"/>
  <c r="F4136" i="1"/>
  <c r="G4126" i="1"/>
  <c r="H4126" i="1"/>
  <c r="D4126" i="1"/>
  <c r="A4126" i="1"/>
  <c r="C4126" i="1"/>
  <c r="E4126" i="1"/>
  <c r="F4126" i="1"/>
  <c r="G4122" i="1"/>
  <c r="H4122" i="1"/>
  <c r="D4122" i="1"/>
  <c r="A4122" i="1"/>
  <c r="C4122" i="1"/>
  <c r="E4122" i="1"/>
  <c r="F4122" i="1"/>
  <c r="G3687" i="1"/>
  <c r="H3687" i="1"/>
  <c r="D3687" i="1"/>
  <c r="A3687" i="1"/>
  <c r="C3687" i="1"/>
  <c r="E3687" i="1"/>
  <c r="F3687" i="1"/>
  <c r="G2722" i="1"/>
  <c r="H2722" i="1"/>
  <c r="D2722" i="1"/>
  <c r="A2722" i="1"/>
  <c r="C2722" i="1"/>
  <c r="E2722" i="1"/>
  <c r="F2722" i="1"/>
  <c r="G2230" i="1"/>
  <c r="H2230" i="1"/>
  <c r="D2230" i="1"/>
  <c r="A2230" i="1"/>
  <c r="C2230" i="1"/>
  <c r="E2230" i="1"/>
  <c r="F2230" i="1"/>
  <c r="G1921" i="1"/>
  <c r="H1921" i="1"/>
  <c r="D1921" i="1"/>
  <c r="A1921" i="1"/>
  <c r="C1921" i="1"/>
  <c r="E1921" i="1"/>
  <c r="F1921" i="1"/>
  <c r="G3067" i="1"/>
  <c r="H3067" i="1"/>
  <c r="D3067" i="1"/>
  <c r="A3067" i="1"/>
  <c r="C3067" i="1"/>
  <c r="E3067" i="1"/>
  <c r="F3067" i="1"/>
  <c r="G4007" i="1"/>
  <c r="H4007" i="1"/>
  <c r="D4007" i="1"/>
  <c r="A4007" i="1"/>
  <c r="C4007" i="1"/>
  <c r="E4007" i="1"/>
  <c r="F4007" i="1"/>
  <c r="G4767" i="1"/>
  <c r="H4767" i="1"/>
  <c r="D4767" i="1"/>
  <c r="A4767" i="1"/>
  <c r="C4767" i="1"/>
  <c r="E4767" i="1"/>
  <c r="F4767" i="1"/>
  <c r="G2420" i="1"/>
  <c r="H2420" i="1"/>
  <c r="D2420" i="1"/>
  <c r="A2420" i="1"/>
  <c r="C2420" i="1"/>
  <c r="E2420" i="1"/>
  <c r="F2420" i="1"/>
  <c r="G1934" i="1"/>
  <c r="H1934" i="1"/>
  <c r="D1934" i="1"/>
  <c r="A1934" i="1"/>
  <c r="C1934" i="1"/>
  <c r="E1934" i="1"/>
  <c r="F1934" i="1"/>
  <c r="G4123" i="1"/>
  <c r="H4123" i="1"/>
  <c r="D4123" i="1"/>
  <c r="A4123" i="1"/>
  <c r="C4123" i="1"/>
  <c r="E4123" i="1"/>
  <c r="F4123" i="1"/>
  <c r="G4120" i="1"/>
  <c r="H4120" i="1"/>
  <c r="D4120" i="1"/>
  <c r="A4120" i="1"/>
  <c r="C4120" i="1"/>
  <c r="E4120" i="1"/>
  <c r="F4120" i="1"/>
  <c r="G3021" i="1"/>
  <c r="H3021" i="1"/>
  <c r="D3021" i="1"/>
  <c r="A3021" i="1"/>
  <c r="C3021" i="1"/>
  <c r="E3021" i="1"/>
  <c r="F3021" i="1"/>
  <c r="G3030" i="1"/>
  <c r="H3030" i="1"/>
  <c r="D3030" i="1"/>
  <c r="A3030" i="1"/>
  <c r="C3030" i="1"/>
  <c r="E3030" i="1"/>
  <c r="F3030" i="1"/>
  <c r="G3031" i="1"/>
  <c r="H3031" i="1"/>
  <c r="D3031" i="1"/>
  <c r="A3031" i="1"/>
  <c r="C3031" i="1"/>
  <c r="E3031" i="1"/>
  <c r="F3031" i="1"/>
  <c r="G4945" i="1"/>
  <c r="H4945" i="1"/>
  <c r="D4945" i="1"/>
  <c r="A4945" i="1"/>
  <c r="C4945" i="1"/>
  <c r="E4945" i="1"/>
  <c r="F4945" i="1"/>
  <c r="G1414" i="1"/>
  <c r="H1414" i="1"/>
  <c r="D1414" i="1"/>
  <c r="A1414" i="1"/>
  <c r="C1414" i="1"/>
  <c r="E1414" i="1"/>
  <c r="F1414" i="1"/>
  <c r="G94" i="1"/>
  <c r="H94" i="1"/>
  <c r="D94" i="1"/>
  <c r="A94" i="1"/>
  <c r="C94" i="1"/>
  <c r="E94" i="1"/>
  <c r="F94" i="1"/>
  <c r="G96" i="1"/>
  <c r="H96" i="1"/>
  <c r="D96" i="1"/>
  <c r="A96" i="1"/>
  <c r="C96" i="1"/>
  <c r="E96" i="1"/>
  <c r="F96" i="1"/>
  <c r="G144" i="1"/>
  <c r="H144" i="1"/>
  <c r="D144" i="1"/>
  <c r="A144" i="1"/>
  <c r="C144" i="1"/>
  <c r="E144" i="1"/>
  <c r="F144" i="1"/>
  <c r="G274" i="1"/>
  <c r="H274" i="1"/>
  <c r="D274" i="1"/>
  <c r="A274" i="1"/>
  <c r="C274" i="1"/>
  <c r="E274" i="1"/>
  <c r="F274" i="1"/>
  <c r="G436" i="1"/>
  <c r="H436" i="1"/>
  <c r="D436" i="1"/>
  <c r="A436" i="1"/>
  <c r="C436" i="1"/>
  <c r="E436" i="1"/>
  <c r="F436" i="1"/>
  <c r="G1100" i="1"/>
  <c r="H1100" i="1"/>
  <c r="D1100" i="1"/>
  <c r="A1100" i="1"/>
  <c r="C1100" i="1"/>
  <c r="E1100" i="1"/>
  <c r="F1100" i="1"/>
  <c r="G1119" i="1"/>
  <c r="H1119" i="1"/>
  <c r="D1119" i="1"/>
  <c r="A1119" i="1"/>
  <c r="C1119" i="1"/>
  <c r="E1119" i="1"/>
  <c r="F1119" i="1"/>
  <c r="G1161" i="1"/>
  <c r="H1161" i="1"/>
  <c r="D1161" i="1"/>
  <c r="A1161" i="1"/>
  <c r="C1161" i="1"/>
  <c r="E1161" i="1"/>
  <c r="F1161" i="1"/>
  <c r="G1162" i="1"/>
  <c r="H1162" i="1"/>
  <c r="D1162" i="1"/>
  <c r="A1162" i="1"/>
  <c r="C1162" i="1"/>
  <c r="E1162" i="1"/>
  <c r="F1162" i="1"/>
  <c r="G1190" i="1"/>
  <c r="H1190" i="1"/>
  <c r="D1190" i="1"/>
  <c r="A1190" i="1"/>
  <c r="C1190" i="1"/>
  <c r="E1190" i="1"/>
  <c r="F1190" i="1"/>
  <c r="G3792" i="1"/>
  <c r="H3792" i="1"/>
  <c r="D3792" i="1"/>
  <c r="A3792" i="1"/>
  <c r="C3792" i="1"/>
  <c r="E3792" i="1"/>
  <c r="F3792" i="1"/>
  <c r="G1245" i="1"/>
  <c r="H1245" i="1"/>
  <c r="D1245" i="1"/>
  <c r="A1245" i="1"/>
  <c r="C1245" i="1"/>
  <c r="E1245" i="1"/>
  <c r="F1245" i="1"/>
  <c r="G1280" i="1"/>
  <c r="H1280" i="1"/>
  <c r="D1280" i="1"/>
  <c r="A1280" i="1"/>
  <c r="C1280" i="1"/>
  <c r="E1280" i="1"/>
  <c r="F1280" i="1"/>
  <c r="G640" i="1"/>
  <c r="H640" i="1"/>
  <c r="D640" i="1"/>
  <c r="A640" i="1"/>
  <c r="C640" i="1"/>
  <c r="E640" i="1"/>
  <c r="F640" i="1"/>
  <c r="G1503" i="1"/>
  <c r="H1503" i="1"/>
  <c r="D1503" i="1"/>
  <c r="A1503" i="1"/>
  <c r="C1503" i="1"/>
  <c r="E1503" i="1"/>
  <c r="F1503" i="1"/>
  <c r="G759" i="1"/>
  <c r="H759" i="1"/>
  <c r="D759" i="1"/>
  <c r="A759" i="1"/>
  <c r="C759" i="1"/>
  <c r="E759" i="1"/>
  <c r="F759" i="1"/>
  <c r="G975" i="1"/>
  <c r="H975" i="1"/>
  <c r="D975" i="1"/>
  <c r="A975" i="1"/>
  <c r="C975" i="1"/>
  <c r="E975" i="1"/>
  <c r="F975" i="1"/>
  <c r="G5067" i="1"/>
  <c r="H5067" i="1"/>
  <c r="D5067" i="1"/>
  <c r="A5067" i="1"/>
  <c r="C5067" i="1"/>
  <c r="E5067" i="1"/>
  <c r="F5067" i="1"/>
  <c r="G1571" i="1"/>
  <c r="H1571" i="1"/>
  <c r="D1571" i="1"/>
  <c r="A1571" i="1"/>
  <c r="C1571" i="1"/>
  <c r="E1571" i="1"/>
  <c r="F1571" i="1"/>
  <c r="G1634" i="1"/>
  <c r="H1634" i="1"/>
  <c r="D1634" i="1"/>
  <c r="A1634" i="1"/>
  <c r="C1634" i="1"/>
  <c r="E1634" i="1"/>
  <c r="F1634" i="1"/>
  <c r="G1653" i="1"/>
  <c r="H1653" i="1"/>
  <c r="D1653" i="1"/>
  <c r="A1653" i="1"/>
  <c r="C1653" i="1"/>
  <c r="E1653" i="1"/>
  <c r="F1653" i="1"/>
  <c r="G1695" i="1"/>
  <c r="H1695" i="1"/>
  <c r="D1695" i="1"/>
  <c r="A1695" i="1"/>
  <c r="C1695" i="1"/>
  <c r="E1695" i="1"/>
  <c r="F1695" i="1"/>
  <c r="G1711" i="1"/>
  <c r="H1711" i="1"/>
  <c r="D1711" i="1"/>
  <c r="A1711" i="1"/>
  <c r="C1711" i="1"/>
  <c r="E1711" i="1"/>
  <c r="F1711" i="1"/>
  <c r="G1812" i="1"/>
  <c r="H1812" i="1"/>
  <c r="D1812" i="1"/>
  <c r="A1812" i="1"/>
  <c r="C1812" i="1"/>
  <c r="E1812" i="1"/>
  <c r="F1812" i="1"/>
  <c r="G2077" i="1"/>
  <c r="H2077" i="1"/>
  <c r="D2077" i="1"/>
  <c r="A2077" i="1"/>
  <c r="C2077" i="1"/>
  <c r="E2077" i="1"/>
  <c r="F2077" i="1"/>
  <c r="G2219" i="1"/>
  <c r="H2219" i="1"/>
  <c r="D2219" i="1"/>
  <c r="A2219" i="1"/>
  <c r="C2219" i="1"/>
  <c r="E2219" i="1"/>
  <c r="F2219" i="1"/>
  <c r="G2172" i="1"/>
  <c r="H2172" i="1"/>
  <c r="D2172" i="1"/>
  <c r="A2172" i="1"/>
  <c r="C2172" i="1"/>
  <c r="E2172" i="1"/>
  <c r="F2172" i="1"/>
  <c r="G2535" i="1"/>
  <c r="H2535" i="1"/>
  <c r="D2535" i="1"/>
  <c r="A2535" i="1"/>
  <c r="C2535" i="1"/>
  <c r="E2535" i="1"/>
  <c r="F2535" i="1"/>
  <c r="G4253" i="1"/>
  <c r="H4253" i="1"/>
  <c r="D4253" i="1"/>
  <c r="A4253" i="1"/>
  <c r="C4253" i="1"/>
  <c r="E4253" i="1"/>
  <c r="F4253" i="1"/>
  <c r="G4578" i="1"/>
  <c r="H4578" i="1"/>
  <c r="D4578" i="1"/>
  <c r="A4578" i="1"/>
  <c r="C4578" i="1"/>
  <c r="E4578" i="1"/>
  <c r="F4578" i="1"/>
  <c r="G4771" i="1"/>
  <c r="H4771" i="1"/>
  <c r="D4771" i="1"/>
  <c r="A4771" i="1"/>
  <c r="C4771" i="1"/>
  <c r="E4771" i="1"/>
  <c r="F4771" i="1"/>
  <c r="G302" i="1"/>
  <c r="H302" i="1"/>
  <c r="D302" i="1"/>
  <c r="A302" i="1"/>
  <c r="C302" i="1"/>
  <c r="E302" i="1"/>
  <c r="F302" i="1"/>
  <c r="G1502" i="1"/>
  <c r="H1502" i="1"/>
  <c r="D1502" i="1"/>
  <c r="A1502" i="1"/>
  <c r="C1502" i="1"/>
  <c r="E1502" i="1"/>
  <c r="F1502" i="1"/>
  <c r="G3658" i="1"/>
  <c r="H3658" i="1"/>
  <c r="D3658" i="1"/>
  <c r="A3658" i="1"/>
  <c r="C3658" i="1"/>
  <c r="E3658" i="1"/>
  <c r="F3658" i="1"/>
  <c r="G4766" i="1"/>
  <c r="H4766" i="1"/>
  <c r="D4766" i="1"/>
  <c r="A4766" i="1"/>
  <c r="C4766" i="1"/>
  <c r="E4766" i="1"/>
  <c r="F4766" i="1"/>
  <c r="G3034" i="1"/>
  <c r="H3034" i="1"/>
  <c r="D3034" i="1"/>
  <c r="A3034" i="1"/>
  <c r="C3034" i="1"/>
  <c r="E3034" i="1"/>
  <c r="F3034" i="1"/>
  <c r="G396" i="1"/>
  <c r="H396" i="1"/>
  <c r="D396" i="1"/>
  <c r="A396" i="1"/>
  <c r="C396" i="1"/>
  <c r="E396" i="1"/>
  <c r="F396" i="1"/>
  <c r="G3271" i="1"/>
  <c r="H3271" i="1"/>
  <c r="D3271" i="1"/>
  <c r="A3271" i="1"/>
  <c r="C3271" i="1"/>
  <c r="E3271" i="1"/>
  <c r="F3271" i="1"/>
  <c r="G1103" i="1"/>
  <c r="H1103" i="1"/>
  <c r="D1103" i="1"/>
  <c r="A1103" i="1"/>
  <c r="C1103" i="1"/>
  <c r="E1103" i="1"/>
  <c r="F1103" i="1"/>
  <c r="G3514" i="1"/>
  <c r="H3514" i="1"/>
  <c r="D3514" i="1"/>
  <c r="A3514" i="1"/>
  <c r="C3514" i="1"/>
  <c r="E3514" i="1"/>
  <c r="F3514" i="1"/>
  <c r="G2858" i="1"/>
  <c r="H2858" i="1"/>
  <c r="D2858" i="1"/>
  <c r="A2858" i="1"/>
  <c r="C2858" i="1"/>
  <c r="E2858" i="1"/>
  <c r="F2858" i="1"/>
  <c r="G4031" i="1"/>
  <c r="H4031" i="1"/>
  <c r="D4031" i="1"/>
  <c r="A4031" i="1"/>
  <c r="C4031" i="1"/>
  <c r="E4031" i="1"/>
  <c r="F4031" i="1"/>
  <c r="G4574" i="1"/>
  <c r="H4574" i="1"/>
  <c r="D4574" i="1"/>
  <c r="A4574" i="1"/>
  <c r="C4574" i="1"/>
  <c r="E4574" i="1"/>
  <c r="F4574" i="1"/>
  <c r="G2354" i="1"/>
  <c r="H2354" i="1"/>
  <c r="D2354" i="1"/>
  <c r="A2354" i="1"/>
  <c r="C2354" i="1"/>
  <c r="E2354" i="1"/>
  <c r="F2354" i="1"/>
  <c r="G3356" i="1"/>
  <c r="H3356" i="1"/>
  <c r="D3356" i="1"/>
  <c r="A3356" i="1"/>
  <c r="C3356" i="1"/>
  <c r="E3356" i="1"/>
  <c r="F3356" i="1"/>
  <c r="G4867" i="1"/>
  <c r="H4867" i="1"/>
  <c r="D4867" i="1"/>
  <c r="A4867" i="1"/>
  <c r="C4867" i="1"/>
  <c r="E4867" i="1"/>
  <c r="F4867" i="1"/>
  <c r="G1987" i="1"/>
  <c r="H1987" i="1"/>
  <c r="D1987" i="1"/>
  <c r="A1987" i="1"/>
  <c r="C1987" i="1"/>
  <c r="E1987" i="1"/>
  <c r="F1987" i="1"/>
  <c r="G2721" i="1"/>
  <c r="H2721" i="1"/>
  <c r="D2721" i="1"/>
  <c r="A2721" i="1"/>
  <c r="C2721" i="1"/>
  <c r="E2721" i="1"/>
  <c r="F2721" i="1"/>
  <c r="G2879" i="1"/>
  <c r="H2879" i="1"/>
  <c r="D2879" i="1"/>
  <c r="A2879" i="1"/>
  <c r="C2879" i="1"/>
  <c r="E2879" i="1"/>
  <c r="F2879" i="1"/>
  <c r="G288" i="1"/>
  <c r="H288" i="1"/>
  <c r="D288" i="1"/>
  <c r="A288" i="1"/>
  <c r="C288" i="1"/>
  <c r="E288" i="1"/>
  <c r="F288" i="1"/>
  <c r="G1289" i="1"/>
  <c r="H1289" i="1"/>
  <c r="D1289" i="1"/>
  <c r="A1289" i="1"/>
  <c r="C1289" i="1"/>
  <c r="E1289" i="1"/>
  <c r="F1289" i="1"/>
  <c r="G248" i="1"/>
  <c r="H248" i="1"/>
  <c r="D248" i="1"/>
  <c r="A248" i="1"/>
  <c r="C248" i="1"/>
  <c r="E248" i="1"/>
  <c r="F248" i="1"/>
  <c r="G168" i="1"/>
  <c r="H168" i="1"/>
  <c r="D168" i="1"/>
  <c r="A168" i="1"/>
  <c r="C168" i="1"/>
  <c r="E168" i="1"/>
  <c r="F168" i="1"/>
  <c r="G4360" i="1"/>
  <c r="H4360" i="1"/>
  <c r="D4360" i="1"/>
  <c r="A4360" i="1"/>
  <c r="C4360" i="1"/>
  <c r="E4360" i="1"/>
  <c r="F4360" i="1"/>
  <c r="G2299" i="1"/>
  <c r="H2299" i="1"/>
  <c r="D2299" i="1"/>
  <c r="A2299" i="1"/>
  <c r="C2299" i="1"/>
  <c r="E2299" i="1"/>
  <c r="F2299" i="1"/>
  <c r="G1600" i="1"/>
  <c r="H1600" i="1"/>
  <c r="D1600" i="1"/>
  <c r="A1600" i="1"/>
  <c r="C1600" i="1"/>
  <c r="E1600" i="1"/>
  <c r="F1600" i="1"/>
  <c r="G4662" i="1"/>
  <c r="H4662" i="1"/>
  <c r="D4662" i="1"/>
  <c r="A4662" i="1"/>
  <c r="C4662" i="1"/>
  <c r="E4662" i="1"/>
  <c r="F4662" i="1"/>
  <c r="G4161" i="1"/>
  <c r="H4161" i="1"/>
  <c r="D4161" i="1"/>
  <c r="A4161" i="1"/>
  <c r="C4161" i="1"/>
  <c r="E4161" i="1"/>
  <c r="F4161" i="1"/>
  <c r="G2638" i="1"/>
  <c r="H2638" i="1"/>
  <c r="D2638" i="1"/>
  <c r="A2638" i="1"/>
  <c r="C2638" i="1"/>
  <c r="E2638" i="1"/>
  <c r="F2638" i="1"/>
  <c r="G2321" i="1"/>
  <c r="H2321" i="1"/>
  <c r="D2321" i="1"/>
  <c r="A2321" i="1"/>
  <c r="C2321" i="1"/>
  <c r="E2321" i="1"/>
  <c r="F2321" i="1"/>
  <c r="G4191" i="1"/>
  <c r="H4191" i="1"/>
  <c r="D4191" i="1"/>
  <c r="A4191" i="1"/>
  <c r="C4191" i="1"/>
  <c r="E4191" i="1"/>
  <c r="F4191" i="1"/>
  <c r="G4614" i="1"/>
  <c r="H4614" i="1"/>
  <c r="D4614" i="1"/>
  <c r="A4614" i="1"/>
  <c r="C4614" i="1"/>
  <c r="E4614" i="1"/>
  <c r="F4614" i="1"/>
  <c r="G4386" i="1"/>
  <c r="H4386" i="1"/>
  <c r="D4386" i="1"/>
  <c r="A4386" i="1"/>
  <c r="C4386" i="1"/>
  <c r="E4386" i="1"/>
  <c r="F4386" i="1"/>
  <c r="G3708" i="1"/>
  <c r="H3708" i="1"/>
  <c r="D3708" i="1"/>
  <c r="A3708" i="1"/>
  <c r="C3708" i="1"/>
  <c r="E3708" i="1"/>
  <c r="F3708" i="1"/>
  <c r="G1545" i="1"/>
  <c r="H1545" i="1"/>
  <c r="D1545" i="1"/>
  <c r="A1545" i="1"/>
  <c r="C1545" i="1"/>
  <c r="E1545" i="1"/>
  <c r="F1545" i="1"/>
  <c r="G3826" i="1"/>
  <c r="H3826" i="1"/>
  <c r="D3826" i="1"/>
  <c r="A3826" i="1"/>
  <c r="C3826" i="1"/>
  <c r="E3826" i="1"/>
  <c r="F3826" i="1"/>
  <c r="G1091" i="1"/>
  <c r="H1091" i="1"/>
  <c r="D1091" i="1"/>
  <c r="A1091" i="1"/>
  <c r="C1091" i="1"/>
  <c r="E1091" i="1"/>
  <c r="F1091" i="1"/>
  <c r="G1719" i="1"/>
  <c r="H1719" i="1"/>
  <c r="D1719" i="1"/>
  <c r="A1719" i="1"/>
  <c r="C1719" i="1"/>
  <c r="E1719" i="1"/>
  <c r="F1719" i="1"/>
  <c r="G478" i="1"/>
  <c r="H478" i="1"/>
  <c r="D478" i="1"/>
  <c r="A478" i="1"/>
  <c r="C478" i="1"/>
  <c r="E478" i="1"/>
  <c r="F478" i="1"/>
  <c r="G3338" i="1"/>
  <c r="H3338" i="1"/>
  <c r="D3338" i="1"/>
  <c r="A3338" i="1"/>
  <c r="C3338" i="1"/>
  <c r="E3338" i="1"/>
  <c r="F3338" i="1"/>
  <c r="G940" i="1"/>
  <c r="H940" i="1"/>
  <c r="D940" i="1"/>
  <c r="A940" i="1"/>
  <c r="C940" i="1"/>
  <c r="E940" i="1"/>
  <c r="F940" i="1"/>
  <c r="G3891" i="1"/>
  <c r="H3891" i="1"/>
  <c r="D3891" i="1"/>
  <c r="A3891" i="1"/>
  <c r="C3891" i="1"/>
  <c r="E3891" i="1"/>
  <c r="F3891" i="1"/>
  <c r="G3180" i="1"/>
  <c r="H3180" i="1"/>
  <c r="D3180" i="1"/>
  <c r="A3180" i="1"/>
  <c r="C3180" i="1"/>
  <c r="E3180" i="1"/>
  <c r="F3180" i="1"/>
  <c r="G2187" i="1"/>
  <c r="H2187" i="1"/>
  <c r="D2187" i="1"/>
  <c r="A2187" i="1"/>
  <c r="C2187" i="1"/>
  <c r="E2187" i="1"/>
  <c r="F2187" i="1"/>
  <c r="G2847" i="1"/>
  <c r="H2847" i="1"/>
  <c r="D2847" i="1"/>
  <c r="A2847" i="1"/>
  <c r="C2847" i="1"/>
  <c r="E2847" i="1"/>
  <c r="F2847" i="1"/>
  <c r="G1044" i="1"/>
  <c r="H1044" i="1"/>
  <c r="D1044" i="1"/>
  <c r="A1044" i="1"/>
  <c r="C1044" i="1"/>
  <c r="E1044" i="1"/>
  <c r="F1044" i="1"/>
  <c r="G2479" i="1"/>
  <c r="H2479" i="1"/>
  <c r="D2479" i="1"/>
  <c r="A2479" i="1"/>
  <c r="C2479" i="1"/>
  <c r="E2479" i="1"/>
  <c r="F2479" i="1"/>
  <c r="G4573" i="1"/>
  <c r="H4573" i="1"/>
  <c r="D4573" i="1"/>
  <c r="A4573" i="1"/>
  <c r="C4573" i="1"/>
  <c r="E4573" i="1"/>
  <c r="F4573" i="1"/>
  <c r="G464" i="1"/>
  <c r="H464" i="1"/>
  <c r="D464" i="1"/>
  <c r="A464" i="1"/>
  <c r="C464" i="1"/>
  <c r="E464" i="1"/>
  <c r="F464" i="1"/>
  <c r="G767" i="1"/>
  <c r="H767" i="1"/>
  <c r="D767" i="1"/>
  <c r="A767" i="1"/>
  <c r="C767" i="1"/>
  <c r="E767" i="1"/>
  <c r="F767" i="1"/>
  <c r="G779" i="1"/>
  <c r="H779" i="1"/>
  <c r="D779" i="1"/>
  <c r="A779" i="1"/>
  <c r="C779" i="1"/>
  <c r="E779" i="1"/>
  <c r="F779" i="1"/>
  <c r="G987" i="1"/>
  <c r="H987" i="1"/>
  <c r="D987" i="1"/>
  <c r="A987" i="1"/>
  <c r="C987" i="1"/>
  <c r="E987" i="1"/>
  <c r="F987" i="1"/>
  <c r="G471" i="1"/>
  <c r="H471" i="1"/>
  <c r="D471" i="1"/>
  <c r="A471" i="1"/>
  <c r="C471" i="1"/>
  <c r="E471" i="1"/>
  <c r="F471" i="1"/>
  <c r="G707" i="1"/>
  <c r="H707" i="1"/>
  <c r="D707" i="1"/>
  <c r="A707" i="1"/>
  <c r="C707" i="1"/>
  <c r="E707" i="1"/>
  <c r="F707" i="1"/>
  <c r="G2695" i="1"/>
  <c r="H2695" i="1"/>
  <c r="D2695" i="1"/>
  <c r="A2695" i="1"/>
  <c r="C2695" i="1"/>
  <c r="E2695" i="1"/>
  <c r="F2695" i="1"/>
  <c r="G3545" i="1"/>
  <c r="H3545" i="1"/>
  <c r="D3545" i="1"/>
  <c r="A3545" i="1"/>
  <c r="C3545" i="1"/>
  <c r="E3545" i="1"/>
  <c r="F3545" i="1"/>
  <c r="G2539" i="1"/>
  <c r="H2539" i="1"/>
  <c r="D2539" i="1"/>
  <c r="A2539" i="1"/>
  <c r="C2539" i="1"/>
  <c r="E2539" i="1"/>
  <c r="F2539" i="1"/>
  <c r="G623" i="1"/>
  <c r="H623" i="1"/>
  <c r="D623" i="1"/>
  <c r="A623" i="1"/>
  <c r="C623" i="1"/>
  <c r="E623" i="1"/>
  <c r="F623" i="1"/>
  <c r="G4277" i="1"/>
  <c r="H4277" i="1"/>
  <c r="D4277" i="1"/>
  <c r="A4277" i="1"/>
  <c r="C4277" i="1"/>
  <c r="E4277" i="1"/>
  <c r="F4277" i="1"/>
  <c r="G955" i="1"/>
  <c r="H955" i="1"/>
  <c r="D955" i="1"/>
  <c r="A955" i="1"/>
  <c r="C955" i="1"/>
  <c r="E955" i="1"/>
  <c r="F955" i="1"/>
  <c r="G1000" i="1"/>
  <c r="H1000" i="1"/>
  <c r="D1000" i="1"/>
  <c r="A1000" i="1"/>
  <c r="C1000" i="1"/>
  <c r="E1000" i="1"/>
  <c r="F1000" i="1"/>
  <c r="G2162" i="1"/>
  <c r="H2162" i="1"/>
  <c r="D2162" i="1"/>
  <c r="A2162" i="1"/>
  <c r="C2162" i="1"/>
  <c r="E2162" i="1"/>
  <c r="F2162" i="1"/>
  <c r="G2105" i="1"/>
  <c r="H2105" i="1"/>
  <c r="D2105" i="1"/>
  <c r="A2105" i="1"/>
  <c r="C2105" i="1"/>
  <c r="E2105" i="1"/>
  <c r="F2105" i="1"/>
  <c r="G2182" i="1"/>
  <c r="H2182" i="1"/>
  <c r="D2182" i="1"/>
  <c r="A2182" i="1"/>
  <c r="C2182" i="1"/>
  <c r="E2182" i="1"/>
  <c r="F2182" i="1"/>
  <c r="G2169" i="1"/>
  <c r="H2169" i="1"/>
  <c r="D2169" i="1"/>
  <c r="A2169" i="1"/>
  <c r="C2169" i="1"/>
  <c r="E2169" i="1"/>
  <c r="F2169" i="1"/>
  <c r="G2576" i="1"/>
  <c r="H2576" i="1"/>
  <c r="D2576" i="1"/>
  <c r="A2576" i="1"/>
  <c r="C2576" i="1"/>
  <c r="E2576" i="1"/>
  <c r="F2576" i="1"/>
  <c r="G2190" i="1"/>
  <c r="H2190" i="1"/>
  <c r="D2190" i="1"/>
  <c r="A2190" i="1"/>
  <c r="C2190" i="1"/>
  <c r="E2190" i="1"/>
  <c r="F2190" i="1"/>
  <c r="G3580" i="1"/>
  <c r="H3580" i="1"/>
  <c r="D3580" i="1"/>
  <c r="A3580" i="1"/>
  <c r="C3580" i="1"/>
  <c r="E3580" i="1"/>
  <c r="F3580" i="1"/>
  <c r="G2122" i="1"/>
  <c r="H2122" i="1"/>
  <c r="D2122" i="1"/>
  <c r="A2122" i="1"/>
  <c r="C2122" i="1"/>
  <c r="E2122" i="1"/>
  <c r="F2122" i="1"/>
  <c r="G4715" i="1"/>
  <c r="H4715" i="1"/>
  <c r="D4715" i="1"/>
  <c r="A4715" i="1"/>
  <c r="C4715" i="1"/>
  <c r="E4715" i="1"/>
  <c r="F4715" i="1"/>
  <c r="G2146" i="1"/>
  <c r="H2146" i="1"/>
  <c r="D2146" i="1"/>
  <c r="A2146" i="1"/>
  <c r="C2146" i="1"/>
  <c r="E2146" i="1"/>
  <c r="F2146" i="1"/>
  <c r="G2610" i="1"/>
  <c r="H2610" i="1"/>
  <c r="D2610" i="1"/>
  <c r="A2610" i="1"/>
  <c r="C2610" i="1"/>
  <c r="E2610" i="1"/>
  <c r="F2610" i="1"/>
  <c r="G3582" i="1"/>
  <c r="H3582" i="1"/>
  <c r="D3582" i="1"/>
  <c r="A3582" i="1"/>
  <c r="C3582" i="1"/>
  <c r="E3582" i="1"/>
  <c r="F3582" i="1"/>
  <c r="G3768" i="1"/>
  <c r="H3768" i="1"/>
  <c r="D3768" i="1"/>
  <c r="A3768" i="1"/>
  <c r="C3768" i="1"/>
  <c r="E3768" i="1"/>
  <c r="F3768" i="1"/>
  <c r="G3757" i="1"/>
  <c r="H3757" i="1"/>
  <c r="D3757" i="1"/>
  <c r="A3757" i="1"/>
  <c r="C3757" i="1"/>
  <c r="E3757" i="1"/>
  <c r="F3757" i="1"/>
  <c r="G3790" i="1"/>
  <c r="H3790" i="1"/>
  <c r="D3790" i="1"/>
  <c r="A3790" i="1"/>
  <c r="C3790" i="1"/>
  <c r="E3790" i="1"/>
  <c r="F3790" i="1"/>
  <c r="G3593" i="1"/>
  <c r="H3593" i="1"/>
  <c r="D3593" i="1"/>
  <c r="A3593" i="1"/>
  <c r="C3593" i="1"/>
  <c r="E3593" i="1"/>
  <c r="F3593" i="1"/>
  <c r="G3597" i="1"/>
  <c r="H3597" i="1"/>
  <c r="D3597" i="1"/>
  <c r="A3597" i="1"/>
  <c r="C3597" i="1"/>
  <c r="E3597" i="1"/>
  <c r="F3597" i="1"/>
  <c r="G3506" i="1"/>
  <c r="H3506" i="1"/>
  <c r="D3506" i="1"/>
  <c r="A3506" i="1"/>
  <c r="C3506" i="1"/>
  <c r="E3506" i="1"/>
  <c r="F3506" i="1"/>
  <c r="G1678" i="1"/>
  <c r="H1678" i="1"/>
  <c r="D1678" i="1"/>
  <c r="A1678" i="1"/>
  <c r="C1678" i="1"/>
  <c r="E1678" i="1"/>
  <c r="F1678" i="1"/>
  <c r="G1672" i="1"/>
  <c r="H1672" i="1"/>
  <c r="D1672" i="1"/>
  <c r="A1672" i="1"/>
  <c r="C1672" i="1"/>
  <c r="E1672" i="1"/>
  <c r="F1672" i="1"/>
  <c r="G1686" i="1"/>
  <c r="H1686" i="1"/>
  <c r="D1686" i="1"/>
  <c r="A1686" i="1"/>
  <c r="C1686" i="1"/>
  <c r="E1686" i="1"/>
  <c r="F1686" i="1"/>
  <c r="G235" i="1"/>
  <c r="H235" i="1"/>
  <c r="D235" i="1"/>
  <c r="A235" i="1"/>
  <c r="C235" i="1"/>
  <c r="E235" i="1"/>
  <c r="F235" i="1"/>
  <c r="G3278" i="1"/>
  <c r="H3278" i="1"/>
  <c r="D3278" i="1"/>
  <c r="A3278" i="1"/>
  <c r="C3278" i="1"/>
  <c r="E3278" i="1"/>
  <c r="F3278" i="1"/>
  <c r="G3425" i="1"/>
  <c r="H3425" i="1"/>
  <c r="D3425" i="1"/>
  <c r="A3425" i="1"/>
  <c r="C3425" i="1"/>
  <c r="E3425" i="1"/>
  <c r="F3425" i="1"/>
  <c r="G3435" i="1"/>
  <c r="H3435" i="1"/>
  <c r="D3435" i="1"/>
  <c r="A3435" i="1"/>
  <c r="C3435" i="1"/>
  <c r="E3435" i="1"/>
  <c r="F3435" i="1"/>
  <c r="G3508" i="1"/>
  <c r="H3508" i="1"/>
  <c r="D3508" i="1"/>
  <c r="A3508" i="1"/>
  <c r="C3508" i="1"/>
  <c r="E3508" i="1"/>
  <c r="F3508" i="1"/>
  <c r="G3505" i="1"/>
  <c r="H3505" i="1"/>
  <c r="D3505" i="1"/>
  <c r="A3505" i="1"/>
  <c r="C3505" i="1"/>
  <c r="E3505" i="1"/>
  <c r="F3505" i="1"/>
  <c r="G3520" i="1"/>
  <c r="H3520" i="1"/>
  <c r="D3520" i="1"/>
  <c r="A3520" i="1"/>
  <c r="C3520" i="1"/>
  <c r="E3520" i="1"/>
  <c r="F3520" i="1"/>
  <c r="G3521" i="1"/>
  <c r="H3521" i="1"/>
  <c r="D3521" i="1"/>
  <c r="A3521" i="1"/>
  <c r="C3521" i="1"/>
  <c r="E3521" i="1"/>
  <c r="F3521" i="1"/>
  <c r="G3999" i="1"/>
  <c r="H3999" i="1"/>
  <c r="D3999" i="1"/>
  <c r="A3999" i="1"/>
  <c r="C3999" i="1"/>
  <c r="E3999" i="1"/>
  <c r="F3999" i="1"/>
  <c r="G4314" i="1"/>
  <c r="H4314" i="1"/>
  <c r="D4314" i="1"/>
  <c r="A4314" i="1"/>
  <c r="C4314" i="1"/>
  <c r="E4314" i="1"/>
  <c r="F4314" i="1"/>
  <c r="G4321" i="1"/>
  <c r="H4321" i="1"/>
  <c r="D4321" i="1"/>
  <c r="A4321" i="1"/>
  <c r="C4321" i="1"/>
  <c r="E4321" i="1"/>
  <c r="F4321" i="1"/>
  <c r="G995" i="1"/>
  <c r="H995" i="1"/>
  <c r="D995" i="1"/>
  <c r="A995" i="1"/>
  <c r="C995" i="1"/>
  <c r="E995" i="1"/>
  <c r="F995" i="1"/>
  <c r="G1752" i="1"/>
  <c r="H1752" i="1"/>
  <c r="D1752" i="1"/>
  <c r="A1752" i="1"/>
  <c r="C1752" i="1"/>
  <c r="E1752" i="1"/>
  <c r="F1752" i="1"/>
  <c r="G3326" i="1"/>
  <c r="H3326" i="1"/>
  <c r="D3326" i="1"/>
  <c r="A3326" i="1"/>
  <c r="C3326" i="1"/>
  <c r="E3326" i="1"/>
  <c r="F3326" i="1"/>
  <c r="G3330" i="1"/>
  <c r="H3330" i="1"/>
  <c r="D3330" i="1"/>
  <c r="A3330" i="1"/>
  <c r="C3330" i="1"/>
  <c r="E3330" i="1"/>
  <c r="F3330" i="1"/>
  <c r="G1530" i="1"/>
  <c r="H1530" i="1"/>
  <c r="D1530" i="1"/>
  <c r="A1530" i="1"/>
  <c r="C1530" i="1"/>
  <c r="E1530" i="1"/>
  <c r="F1530" i="1"/>
  <c r="G1768" i="1"/>
  <c r="H1768" i="1"/>
  <c r="D1768" i="1"/>
  <c r="A1768" i="1"/>
  <c r="C1768" i="1"/>
  <c r="E1768" i="1"/>
  <c r="F1768" i="1"/>
  <c r="G4846" i="1"/>
  <c r="H4846" i="1"/>
  <c r="D4846" i="1"/>
  <c r="A4846" i="1"/>
  <c r="C4846" i="1"/>
  <c r="E4846" i="1"/>
  <c r="F4846" i="1"/>
  <c r="G4849" i="1"/>
  <c r="H4849" i="1"/>
  <c r="D4849" i="1"/>
  <c r="A4849" i="1"/>
  <c r="C4849" i="1"/>
  <c r="E4849" i="1"/>
  <c r="F4849" i="1"/>
  <c r="G1949" i="1"/>
  <c r="H1949" i="1"/>
  <c r="D1949" i="1"/>
  <c r="A1949" i="1"/>
  <c r="C1949" i="1"/>
  <c r="E1949" i="1"/>
  <c r="F1949" i="1"/>
  <c r="G3982" i="1"/>
  <c r="H3982" i="1"/>
  <c r="D3982" i="1"/>
  <c r="A3982" i="1"/>
  <c r="C3982" i="1"/>
  <c r="E3982" i="1"/>
  <c r="F3982" i="1"/>
  <c r="G1799" i="1"/>
  <c r="H1799" i="1"/>
  <c r="D1799" i="1"/>
  <c r="A1799" i="1"/>
  <c r="C1799" i="1"/>
  <c r="E1799" i="1"/>
  <c r="F1799" i="1"/>
  <c r="G1740" i="1"/>
  <c r="H1740" i="1"/>
  <c r="D1740" i="1"/>
  <c r="A1740" i="1"/>
  <c r="C1740" i="1"/>
  <c r="E1740" i="1"/>
  <c r="F1740" i="1"/>
  <c r="G2066" i="1"/>
  <c r="H2066" i="1"/>
  <c r="D2066" i="1"/>
  <c r="A2066" i="1"/>
  <c r="C2066" i="1"/>
  <c r="E2066" i="1"/>
  <c r="F2066" i="1"/>
  <c r="G4377" i="1"/>
  <c r="H4377" i="1"/>
  <c r="D4377" i="1"/>
  <c r="A4377" i="1"/>
  <c r="C4377" i="1"/>
  <c r="E4377" i="1"/>
  <c r="F4377" i="1"/>
  <c r="G1733" i="1"/>
  <c r="H1733" i="1"/>
  <c r="D1733" i="1"/>
  <c r="A1733" i="1"/>
  <c r="C1733" i="1"/>
  <c r="E1733" i="1"/>
  <c r="F1733" i="1"/>
  <c r="G4065" i="1"/>
  <c r="H4065" i="1"/>
  <c r="D4065" i="1"/>
  <c r="A4065" i="1"/>
  <c r="C4065" i="1"/>
  <c r="E4065" i="1"/>
  <c r="F4065" i="1"/>
  <c r="G411" i="1"/>
  <c r="H411" i="1"/>
  <c r="D411" i="1"/>
  <c r="A411" i="1"/>
  <c r="C411" i="1"/>
  <c r="E411" i="1"/>
  <c r="F411" i="1"/>
  <c r="G4214" i="1"/>
  <c r="H4214" i="1"/>
  <c r="D4214" i="1"/>
  <c r="A4214" i="1"/>
  <c r="C4214" i="1"/>
  <c r="E4214" i="1"/>
  <c r="F4214" i="1"/>
  <c r="G366" i="1"/>
  <c r="H366" i="1"/>
  <c r="D366" i="1"/>
  <c r="A366" i="1"/>
  <c r="C366" i="1"/>
  <c r="E366" i="1"/>
  <c r="F366" i="1"/>
  <c r="G4907" i="1"/>
  <c r="H4907" i="1"/>
  <c r="D4907" i="1"/>
  <c r="A4907" i="1"/>
  <c r="C4907" i="1"/>
  <c r="E4907" i="1"/>
  <c r="F4907" i="1"/>
  <c r="G298" i="1"/>
  <c r="H298" i="1"/>
  <c r="D298" i="1"/>
  <c r="A298" i="1"/>
  <c r="C298" i="1"/>
  <c r="E298" i="1"/>
  <c r="F298" i="1"/>
  <c r="G1500" i="1"/>
  <c r="H1500" i="1"/>
  <c r="D1500" i="1"/>
  <c r="A1500" i="1"/>
  <c r="C1500" i="1"/>
  <c r="E1500" i="1"/>
  <c r="F1500" i="1"/>
  <c r="G3613" i="1"/>
  <c r="H3613" i="1"/>
  <c r="D3613" i="1"/>
  <c r="A3613" i="1"/>
  <c r="C3613" i="1"/>
  <c r="E3613" i="1"/>
  <c r="F3613" i="1"/>
  <c r="G3618" i="1"/>
  <c r="H3618" i="1"/>
  <c r="D3618" i="1"/>
  <c r="A3618" i="1"/>
  <c r="C3618" i="1"/>
  <c r="E3618" i="1"/>
  <c r="F3618" i="1"/>
  <c r="G2213" i="1"/>
  <c r="H2213" i="1"/>
  <c r="D2213" i="1"/>
  <c r="A2213" i="1"/>
  <c r="C2213" i="1"/>
  <c r="E2213" i="1"/>
  <c r="F2213" i="1"/>
  <c r="G2214" i="1"/>
  <c r="H2214" i="1"/>
  <c r="D2214" i="1"/>
  <c r="A2214" i="1"/>
  <c r="C2214" i="1"/>
  <c r="E2214" i="1"/>
  <c r="F2214" i="1"/>
  <c r="G2208" i="1"/>
  <c r="H2208" i="1"/>
  <c r="D2208" i="1"/>
  <c r="A2208" i="1"/>
  <c r="C2208" i="1"/>
  <c r="E2208" i="1"/>
  <c r="F2208" i="1"/>
  <c r="G2212" i="1"/>
  <c r="H2212" i="1"/>
  <c r="D2212" i="1"/>
  <c r="A2212" i="1"/>
  <c r="C2212" i="1"/>
  <c r="E2212" i="1"/>
  <c r="F2212" i="1"/>
  <c r="G2225" i="1"/>
  <c r="H2225" i="1"/>
  <c r="D2225" i="1"/>
  <c r="A2225" i="1"/>
  <c r="C2225" i="1"/>
  <c r="E2225" i="1"/>
  <c r="F2225" i="1"/>
  <c r="G2228" i="1"/>
  <c r="H2228" i="1"/>
  <c r="D2228" i="1"/>
  <c r="A2228" i="1"/>
  <c r="C2228" i="1"/>
  <c r="E2228" i="1"/>
  <c r="F2228" i="1"/>
  <c r="G256" i="1"/>
  <c r="H256" i="1"/>
  <c r="D256" i="1"/>
  <c r="A256" i="1"/>
  <c r="C256" i="1"/>
  <c r="E256" i="1"/>
  <c r="F256" i="1"/>
  <c r="G1147" i="1"/>
  <c r="H1147" i="1"/>
  <c r="D1147" i="1"/>
  <c r="A1147" i="1"/>
  <c r="C1147" i="1"/>
  <c r="E1147" i="1"/>
  <c r="F1147" i="1"/>
  <c r="G4326" i="1"/>
  <c r="H4326" i="1"/>
  <c r="D4326" i="1"/>
  <c r="A4326" i="1"/>
  <c r="C4326" i="1"/>
  <c r="E4326" i="1"/>
  <c r="F4326" i="1"/>
  <c r="G1298" i="1"/>
  <c r="H1298" i="1"/>
  <c r="D1298" i="1"/>
  <c r="A1298" i="1"/>
  <c r="C1298" i="1"/>
  <c r="E1298" i="1"/>
  <c r="F1298" i="1"/>
  <c r="G1856" i="1"/>
  <c r="H1856" i="1"/>
  <c r="D1856" i="1"/>
  <c r="A1856" i="1"/>
  <c r="C1856" i="1"/>
  <c r="E1856" i="1"/>
  <c r="F1856" i="1"/>
  <c r="G882" i="1"/>
  <c r="H882" i="1"/>
  <c r="D882" i="1"/>
  <c r="A882" i="1"/>
  <c r="C882" i="1"/>
  <c r="E882" i="1"/>
  <c r="F882" i="1"/>
  <c r="G693" i="1"/>
  <c r="H693" i="1"/>
  <c r="D693" i="1"/>
  <c r="A693" i="1"/>
  <c r="C693" i="1"/>
  <c r="E693" i="1"/>
  <c r="F693" i="1"/>
  <c r="G2826" i="1"/>
  <c r="H2826" i="1"/>
  <c r="D2826" i="1"/>
  <c r="A2826" i="1"/>
  <c r="C2826" i="1"/>
  <c r="E2826" i="1"/>
  <c r="F2826" i="1"/>
  <c r="G3022" i="1"/>
  <c r="H3022" i="1"/>
  <c r="D3022" i="1"/>
  <c r="A3022" i="1"/>
  <c r="C3022" i="1"/>
  <c r="E3022" i="1"/>
  <c r="F3022" i="1"/>
  <c r="G4538" i="1"/>
  <c r="H4538" i="1"/>
  <c r="D4538" i="1"/>
  <c r="A4538" i="1"/>
  <c r="C4538" i="1"/>
  <c r="E4538" i="1"/>
  <c r="F4538" i="1"/>
  <c r="G1040" i="1"/>
  <c r="H1040" i="1"/>
  <c r="D1040" i="1"/>
  <c r="A1040" i="1"/>
  <c r="C1040" i="1"/>
  <c r="E1040" i="1"/>
  <c r="F1040" i="1"/>
  <c r="G1807" i="1"/>
  <c r="H1807" i="1"/>
  <c r="D1807" i="1"/>
  <c r="A1807" i="1"/>
  <c r="C1807" i="1"/>
  <c r="E1807" i="1"/>
  <c r="F1807" i="1"/>
  <c r="G3298" i="1"/>
  <c r="H3298" i="1"/>
  <c r="D3298" i="1"/>
  <c r="A3298" i="1"/>
  <c r="C3298" i="1"/>
  <c r="E3298" i="1"/>
  <c r="F3298" i="1"/>
  <c r="G2156" i="1"/>
  <c r="H2156" i="1"/>
  <c r="D2156" i="1"/>
  <c r="A2156" i="1"/>
  <c r="C2156" i="1"/>
  <c r="E2156" i="1"/>
  <c r="F2156" i="1"/>
  <c r="G2128" i="1"/>
  <c r="H2128" i="1"/>
  <c r="D2128" i="1"/>
  <c r="A2128" i="1"/>
  <c r="C2128" i="1"/>
  <c r="E2128" i="1"/>
  <c r="F2128" i="1"/>
  <c r="G947" i="1"/>
  <c r="H947" i="1"/>
  <c r="D947" i="1"/>
  <c r="A947" i="1"/>
  <c r="C947" i="1"/>
  <c r="E947" i="1"/>
  <c r="F947" i="1"/>
  <c r="G658" i="1"/>
  <c r="H658" i="1"/>
  <c r="D658" i="1"/>
  <c r="A658" i="1"/>
  <c r="C658" i="1"/>
  <c r="E658" i="1"/>
  <c r="F658" i="1"/>
  <c r="G5026" i="1"/>
  <c r="H5026" i="1"/>
  <c r="D5026" i="1"/>
  <c r="A5026" i="1"/>
  <c r="C5026" i="1"/>
  <c r="E5026" i="1"/>
  <c r="F5026" i="1"/>
  <c r="G2392" i="1"/>
  <c r="H2392" i="1"/>
  <c r="D2392" i="1"/>
  <c r="A2392" i="1"/>
  <c r="C2392" i="1"/>
  <c r="E2392" i="1"/>
  <c r="F2392" i="1"/>
  <c r="G1297" i="1"/>
  <c r="H1297" i="1"/>
  <c r="D1297" i="1"/>
  <c r="A1297" i="1"/>
  <c r="C1297" i="1"/>
  <c r="E1297" i="1"/>
  <c r="F1297" i="1"/>
  <c r="G1153" i="1"/>
  <c r="H1153" i="1"/>
  <c r="D1153" i="1"/>
  <c r="A1153" i="1"/>
  <c r="C1153" i="1"/>
  <c r="E1153" i="1"/>
  <c r="F1153" i="1"/>
  <c r="G3759" i="1"/>
  <c r="H3759" i="1"/>
  <c r="D3759" i="1"/>
  <c r="A3759" i="1"/>
  <c r="C3759" i="1"/>
  <c r="E3759" i="1"/>
  <c r="F3759" i="1"/>
  <c r="G3472" i="1"/>
  <c r="H3472" i="1"/>
  <c r="D3472" i="1"/>
  <c r="A3472" i="1"/>
  <c r="C3472" i="1"/>
  <c r="E3472" i="1"/>
  <c r="F3472" i="1"/>
  <c r="G3362" i="1"/>
  <c r="H3362" i="1"/>
  <c r="D3362" i="1"/>
  <c r="A3362" i="1"/>
  <c r="C3362" i="1"/>
  <c r="E3362" i="1"/>
  <c r="F3362" i="1"/>
  <c r="G331" i="1"/>
  <c r="H331" i="1"/>
  <c r="D331" i="1"/>
  <c r="A331" i="1"/>
  <c r="C331" i="1"/>
  <c r="E331" i="1"/>
  <c r="F331" i="1"/>
  <c r="G1018" i="1"/>
  <c r="H1018" i="1"/>
  <c r="D1018" i="1"/>
  <c r="A1018" i="1"/>
  <c r="C1018" i="1"/>
  <c r="E1018" i="1"/>
  <c r="F1018" i="1"/>
  <c r="G1057" i="1"/>
  <c r="H1057" i="1"/>
  <c r="D1057" i="1"/>
  <c r="A1057" i="1"/>
  <c r="C1057" i="1"/>
  <c r="E1057" i="1"/>
  <c r="F1057" i="1"/>
  <c r="G1029" i="1"/>
  <c r="H1029" i="1"/>
  <c r="D1029" i="1"/>
  <c r="A1029" i="1"/>
  <c r="C1029" i="1"/>
  <c r="E1029" i="1"/>
  <c r="F1029" i="1"/>
  <c r="G908" i="1"/>
  <c r="H908" i="1"/>
  <c r="D908" i="1"/>
  <c r="A908" i="1"/>
  <c r="C908" i="1"/>
  <c r="E908" i="1"/>
  <c r="F908" i="1"/>
  <c r="G961" i="1"/>
  <c r="H961" i="1"/>
  <c r="D961" i="1"/>
  <c r="A961" i="1"/>
  <c r="C961" i="1"/>
  <c r="E961" i="1"/>
  <c r="F961" i="1"/>
  <c r="G3310" i="1"/>
  <c r="H3310" i="1"/>
  <c r="D3310" i="1"/>
  <c r="A3310" i="1"/>
  <c r="C3310" i="1"/>
  <c r="E3310" i="1"/>
  <c r="F3310" i="1"/>
  <c r="G3885" i="1"/>
  <c r="H3885" i="1"/>
  <c r="D3885" i="1"/>
  <c r="A3885" i="1"/>
  <c r="C3885" i="1"/>
  <c r="E3885" i="1"/>
  <c r="F3885" i="1"/>
  <c r="G3635" i="1"/>
  <c r="H3635" i="1"/>
  <c r="D3635" i="1"/>
  <c r="A3635" i="1"/>
  <c r="C3635" i="1"/>
  <c r="E3635" i="1"/>
  <c r="F3635" i="1"/>
  <c r="G1551" i="1"/>
  <c r="H1551" i="1"/>
  <c r="D1551" i="1"/>
  <c r="A1551" i="1"/>
  <c r="C1551" i="1"/>
  <c r="E1551" i="1"/>
  <c r="F1551" i="1"/>
  <c r="G2131" i="1"/>
  <c r="H2131" i="1"/>
  <c r="D2131" i="1"/>
  <c r="A2131" i="1"/>
  <c r="C2131" i="1"/>
  <c r="E2131" i="1"/>
  <c r="F2131" i="1"/>
  <c r="G2950" i="1"/>
  <c r="H2950" i="1"/>
  <c r="D2950" i="1"/>
  <c r="A2950" i="1"/>
  <c r="C2950" i="1"/>
  <c r="E2950" i="1"/>
  <c r="F2950" i="1"/>
  <c r="G4297" i="1"/>
  <c r="H4297" i="1"/>
  <c r="D4297" i="1"/>
  <c r="A4297" i="1"/>
  <c r="C4297" i="1"/>
  <c r="E4297" i="1"/>
  <c r="F4297" i="1"/>
  <c r="G3769" i="1"/>
  <c r="H3769" i="1"/>
  <c r="D3769" i="1"/>
  <c r="A3769" i="1"/>
  <c r="C3769" i="1"/>
  <c r="E3769" i="1"/>
  <c r="F3769" i="1"/>
  <c r="G802" i="1"/>
  <c r="H802" i="1"/>
  <c r="D802" i="1"/>
  <c r="A802" i="1"/>
  <c r="C802" i="1"/>
  <c r="E802" i="1"/>
  <c r="F802" i="1"/>
  <c r="G3032" i="1"/>
  <c r="H3032" i="1"/>
  <c r="D3032" i="1"/>
  <c r="A3032" i="1"/>
  <c r="C3032" i="1"/>
  <c r="E3032" i="1"/>
  <c r="F3032" i="1"/>
  <c r="G5047" i="1"/>
  <c r="H5047" i="1"/>
  <c r="D5047" i="1"/>
  <c r="A5047" i="1"/>
  <c r="C5047" i="1"/>
  <c r="E5047" i="1"/>
  <c r="F5047" i="1"/>
  <c r="G405" i="1"/>
  <c r="H405" i="1"/>
  <c r="D405" i="1"/>
  <c r="A405" i="1"/>
  <c r="C405" i="1"/>
  <c r="E405" i="1"/>
  <c r="F405" i="1"/>
  <c r="G3900" i="1"/>
  <c r="H3900" i="1"/>
  <c r="D3900" i="1"/>
  <c r="A3900" i="1"/>
  <c r="C3900" i="1"/>
  <c r="E3900" i="1"/>
  <c r="F3900" i="1"/>
  <c r="G2644" i="1"/>
  <c r="H2644" i="1"/>
  <c r="D2644" i="1"/>
  <c r="A2644" i="1"/>
  <c r="C2644" i="1"/>
  <c r="E2644" i="1"/>
  <c r="F2644" i="1"/>
  <c r="G491" i="1"/>
  <c r="H491" i="1"/>
  <c r="D491" i="1"/>
  <c r="A491" i="1"/>
  <c r="C491" i="1"/>
  <c r="E491" i="1"/>
  <c r="F491" i="1"/>
  <c r="G3312" i="1"/>
  <c r="H3312" i="1"/>
  <c r="D3312" i="1"/>
  <c r="A3312" i="1"/>
  <c r="C3312" i="1"/>
  <c r="E3312" i="1"/>
  <c r="F3312" i="1"/>
  <c r="G1024" i="1"/>
  <c r="H1024" i="1"/>
  <c r="D1024" i="1"/>
  <c r="A1024" i="1"/>
  <c r="C1024" i="1"/>
  <c r="E1024" i="1"/>
  <c r="F1024" i="1"/>
  <c r="G817" i="1"/>
  <c r="H817" i="1"/>
  <c r="D817" i="1"/>
  <c r="A817" i="1"/>
  <c r="C817" i="1"/>
  <c r="E817" i="1"/>
  <c r="F817" i="1"/>
  <c r="G1126" i="1"/>
  <c r="H1126" i="1"/>
  <c r="D1126" i="1"/>
  <c r="A1126" i="1"/>
  <c r="C1126" i="1"/>
  <c r="E1126" i="1"/>
  <c r="F1126" i="1"/>
  <c r="G1239" i="1"/>
  <c r="H1239" i="1"/>
  <c r="D1239" i="1"/>
  <c r="A1239" i="1"/>
  <c r="C1239" i="1"/>
  <c r="E1239" i="1"/>
  <c r="F1239" i="1"/>
  <c r="G3997" i="1"/>
  <c r="H3997" i="1"/>
  <c r="D3997" i="1"/>
  <c r="A3997" i="1"/>
  <c r="C3997" i="1"/>
  <c r="E3997" i="1"/>
  <c r="F3997" i="1"/>
  <c r="G4429" i="1"/>
  <c r="H4429" i="1"/>
  <c r="D4429" i="1"/>
  <c r="A4429" i="1"/>
  <c r="C4429" i="1"/>
  <c r="E4429" i="1"/>
  <c r="F4429" i="1"/>
  <c r="G3780" i="1"/>
  <c r="H3780" i="1"/>
  <c r="D3780" i="1"/>
  <c r="A3780" i="1"/>
  <c r="C3780" i="1"/>
  <c r="E3780" i="1"/>
  <c r="F3780" i="1"/>
  <c r="G5087" i="1"/>
  <c r="H5087" i="1"/>
  <c r="D5087" i="1"/>
  <c r="A5087" i="1"/>
  <c r="C5087" i="1"/>
  <c r="E5087" i="1"/>
  <c r="F5087" i="1"/>
  <c r="G218" i="1"/>
  <c r="H218" i="1"/>
  <c r="D218" i="1"/>
  <c r="A218" i="1"/>
  <c r="C218" i="1"/>
  <c r="E218" i="1"/>
  <c r="F218" i="1"/>
  <c r="G2209" i="1"/>
  <c r="H2209" i="1"/>
  <c r="D2209" i="1"/>
  <c r="A2209" i="1"/>
  <c r="C2209" i="1"/>
  <c r="E2209" i="1"/>
  <c r="F2209" i="1"/>
  <c r="G3994" i="1"/>
  <c r="H3994" i="1"/>
  <c r="D3994" i="1"/>
  <c r="A3994" i="1"/>
  <c r="C3994" i="1"/>
  <c r="E3994" i="1"/>
  <c r="F3994" i="1"/>
  <c r="G1676" i="1"/>
  <c r="H1676" i="1"/>
  <c r="D1676" i="1"/>
  <c r="A1676" i="1"/>
  <c r="C1676" i="1"/>
  <c r="E1676" i="1"/>
  <c r="F1676" i="1"/>
  <c r="G624" i="1"/>
  <c r="H624" i="1"/>
  <c r="D624" i="1"/>
  <c r="A624" i="1"/>
  <c r="C624" i="1"/>
  <c r="E624" i="1"/>
  <c r="F624" i="1"/>
  <c r="G2669" i="1"/>
  <c r="H2669" i="1"/>
  <c r="D2669" i="1"/>
  <c r="A2669" i="1"/>
  <c r="C2669" i="1"/>
  <c r="E2669" i="1"/>
  <c r="F2669" i="1"/>
  <c r="G3762" i="1"/>
  <c r="H3762" i="1"/>
  <c r="D3762" i="1"/>
  <c r="A3762" i="1"/>
  <c r="C3762" i="1"/>
  <c r="E3762" i="1"/>
  <c r="F3762" i="1"/>
  <c r="G4732" i="1"/>
  <c r="H4732" i="1"/>
  <c r="D4732" i="1"/>
  <c r="A4732" i="1"/>
  <c r="C4732" i="1"/>
  <c r="E4732" i="1"/>
  <c r="F4732" i="1"/>
  <c r="G1611" i="1"/>
  <c r="H1611" i="1"/>
  <c r="D1611" i="1"/>
  <c r="A1611" i="1"/>
  <c r="C1611" i="1"/>
  <c r="E1611" i="1"/>
  <c r="F1611" i="1"/>
  <c r="G3511" i="1"/>
  <c r="H3511" i="1"/>
  <c r="D3511" i="1"/>
  <c r="A3511" i="1"/>
  <c r="C3511" i="1"/>
  <c r="E3511" i="1"/>
  <c r="F3511" i="1"/>
  <c r="G1759" i="1"/>
  <c r="H1759" i="1"/>
  <c r="D1759" i="1"/>
  <c r="A1759" i="1"/>
  <c r="C1759" i="1"/>
  <c r="E1759" i="1"/>
  <c r="F1759" i="1"/>
  <c r="G3755" i="1"/>
  <c r="H3755" i="1"/>
  <c r="D3755" i="1"/>
  <c r="A3755" i="1"/>
  <c r="C3755" i="1"/>
  <c r="E3755" i="1"/>
  <c r="F3755" i="1"/>
  <c r="G4949" i="1"/>
  <c r="H4949" i="1"/>
  <c r="D4949" i="1"/>
  <c r="A4949" i="1"/>
  <c r="C4949" i="1"/>
  <c r="E4949" i="1"/>
  <c r="F4949" i="1"/>
  <c r="G1129" i="1"/>
  <c r="H1129" i="1"/>
  <c r="D1129" i="1"/>
  <c r="A1129" i="1"/>
  <c r="C1129" i="1"/>
  <c r="E1129" i="1"/>
  <c r="F1129" i="1"/>
  <c r="G106" i="1"/>
  <c r="H106" i="1"/>
  <c r="D106" i="1"/>
  <c r="A106" i="1"/>
  <c r="C106" i="1"/>
  <c r="E106" i="1"/>
  <c r="F106" i="1"/>
  <c r="G133" i="1"/>
  <c r="H133" i="1"/>
  <c r="D133" i="1"/>
  <c r="A133" i="1"/>
  <c r="C133" i="1"/>
  <c r="E133" i="1"/>
  <c r="F133" i="1"/>
  <c r="G904" i="1"/>
  <c r="H904" i="1"/>
  <c r="D904" i="1"/>
  <c r="A904" i="1"/>
  <c r="C904" i="1"/>
  <c r="E904" i="1"/>
  <c r="F904" i="1"/>
  <c r="G196" i="1"/>
  <c r="H196" i="1"/>
  <c r="D196" i="1"/>
  <c r="A196" i="1"/>
  <c r="C196" i="1"/>
  <c r="E196" i="1"/>
  <c r="F196" i="1"/>
  <c r="G244" i="1"/>
  <c r="H244" i="1"/>
  <c r="D244" i="1"/>
  <c r="A244" i="1"/>
  <c r="C244" i="1"/>
  <c r="E244" i="1"/>
  <c r="F244" i="1"/>
  <c r="G280" i="1"/>
  <c r="H280" i="1"/>
  <c r="D280" i="1"/>
  <c r="A280" i="1"/>
  <c r="C280" i="1"/>
  <c r="E280" i="1"/>
  <c r="F280" i="1"/>
  <c r="G300" i="1"/>
  <c r="H300" i="1"/>
  <c r="D300" i="1"/>
  <c r="A300" i="1"/>
  <c r="C300" i="1"/>
  <c r="E300" i="1"/>
  <c r="F300" i="1"/>
  <c r="G320" i="1"/>
  <c r="H320" i="1"/>
  <c r="D320" i="1"/>
  <c r="A320" i="1"/>
  <c r="C320" i="1"/>
  <c r="E320" i="1"/>
  <c r="F320" i="1"/>
  <c r="G332" i="1"/>
  <c r="H332" i="1"/>
  <c r="D332" i="1"/>
  <c r="A332" i="1"/>
  <c r="C332" i="1"/>
  <c r="E332" i="1"/>
  <c r="F332" i="1"/>
  <c r="G2144" i="1"/>
  <c r="H2144" i="1"/>
  <c r="D2144" i="1"/>
  <c r="A2144" i="1"/>
  <c r="C2144" i="1"/>
  <c r="E2144" i="1"/>
  <c r="F2144" i="1"/>
  <c r="G4170" i="1"/>
  <c r="H4170" i="1"/>
  <c r="D4170" i="1"/>
  <c r="A4170" i="1"/>
  <c r="C4170" i="1"/>
  <c r="E4170" i="1"/>
  <c r="F4170" i="1"/>
  <c r="G4785" i="1"/>
  <c r="H4785" i="1"/>
  <c r="D4785" i="1"/>
  <c r="A4785" i="1"/>
  <c r="C4785" i="1"/>
  <c r="E4785" i="1"/>
  <c r="F4785" i="1"/>
  <c r="G3174" i="1"/>
  <c r="H3174" i="1"/>
  <c r="D3174" i="1"/>
  <c r="A3174" i="1"/>
  <c r="C3174" i="1"/>
  <c r="E3174" i="1"/>
  <c r="F3174" i="1"/>
  <c r="G499" i="1"/>
  <c r="H499" i="1"/>
  <c r="D499" i="1"/>
  <c r="A499" i="1"/>
  <c r="C499" i="1"/>
  <c r="E499" i="1"/>
  <c r="F499" i="1"/>
  <c r="G526" i="1"/>
  <c r="H526" i="1"/>
  <c r="D526" i="1"/>
  <c r="A526" i="1"/>
  <c r="C526" i="1"/>
  <c r="E526" i="1"/>
  <c r="F526" i="1"/>
  <c r="G510" i="1"/>
  <c r="H510" i="1"/>
  <c r="D510" i="1"/>
  <c r="A510" i="1"/>
  <c r="C510" i="1"/>
  <c r="E510" i="1"/>
  <c r="F510" i="1"/>
  <c r="G1132" i="1"/>
  <c r="H1132" i="1"/>
  <c r="D1132" i="1"/>
  <c r="A1132" i="1"/>
  <c r="C1132" i="1"/>
  <c r="E1132" i="1"/>
  <c r="F1132" i="1"/>
  <c r="G1164" i="1"/>
  <c r="H1164" i="1"/>
  <c r="D1164" i="1"/>
  <c r="A1164" i="1"/>
  <c r="C1164" i="1"/>
  <c r="E1164" i="1"/>
  <c r="F1164" i="1"/>
  <c r="G1167" i="1"/>
  <c r="H1167" i="1"/>
  <c r="D1167" i="1"/>
  <c r="A1167" i="1"/>
  <c r="C1167" i="1"/>
  <c r="E1167" i="1"/>
  <c r="F1167" i="1"/>
  <c r="G1168" i="1"/>
  <c r="H1168" i="1"/>
  <c r="D1168" i="1"/>
  <c r="A1168" i="1"/>
  <c r="C1168" i="1"/>
  <c r="E1168" i="1"/>
  <c r="F1168" i="1"/>
  <c r="G1191" i="1"/>
  <c r="H1191" i="1"/>
  <c r="D1191" i="1"/>
  <c r="A1191" i="1"/>
  <c r="C1191" i="1"/>
  <c r="E1191" i="1"/>
  <c r="F1191" i="1"/>
  <c r="G1193" i="1"/>
  <c r="H1193" i="1"/>
  <c r="D1193" i="1"/>
  <c r="A1193" i="1"/>
  <c r="C1193" i="1"/>
  <c r="E1193" i="1"/>
  <c r="F1193" i="1"/>
  <c r="G1194" i="1"/>
  <c r="H1194" i="1"/>
  <c r="D1194" i="1"/>
  <c r="A1194" i="1"/>
  <c r="C1194" i="1"/>
  <c r="E1194" i="1"/>
  <c r="F1194" i="1"/>
  <c r="G1195" i="1"/>
  <c r="H1195" i="1"/>
  <c r="D1195" i="1"/>
  <c r="A1195" i="1"/>
  <c r="C1195" i="1"/>
  <c r="E1195" i="1"/>
  <c r="F1195" i="1"/>
  <c r="G1196" i="1"/>
  <c r="H1196" i="1"/>
  <c r="D1196" i="1"/>
  <c r="A1196" i="1"/>
  <c r="C1196" i="1"/>
  <c r="E1196" i="1"/>
  <c r="F1196" i="1"/>
  <c r="G545" i="1"/>
  <c r="H545" i="1"/>
  <c r="D545" i="1"/>
  <c r="A545" i="1"/>
  <c r="C545" i="1"/>
  <c r="E545" i="1"/>
  <c r="F545" i="1"/>
  <c r="G546" i="1"/>
  <c r="H546" i="1"/>
  <c r="D546" i="1"/>
  <c r="A546" i="1"/>
  <c r="C546" i="1"/>
  <c r="E546" i="1"/>
  <c r="F546" i="1"/>
  <c r="G547" i="1"/>
  <c r="H547" i="1"/>
  <c r="D547" i="1"/>
  <c r="A547" i="1"/>
  <c r="C547" i="1"/>
  <c r="E547" i="1"/>
  <c r="F547" i="1"/>
  <c r="G1230" i="1"/>
  <c r="H1230" i="1"/>
  <c r="D1230" i="1"/>
  <c r="A1230" i="1"/>
  <c r="C1230" i="1"/>
  <c r="E1230" i="1"/>
  <c r="F1230" i="1"/>
  <c r="G1254" i="1"/>
  <c r="H1254" i="1"/>
  <c r="D1254" i="1"/>
  <c r="A1254" i="1"/>
  <c r="C1254" i="1"/>
  <c r="E1254" i="1"/>
  <c r="F1254" i="1"/>
  <c r="G1327" i="1"/>
  <c r="H1327" i="1"/>
  <c r="D1327" i="1"/>
  <c r="A1327" i="1"/>
  <c r="C1327" i="1"/>
  <c r="E1327" i="1"/>
  <c r="F1327" i="1"/>
  <c r="G678" i="1"/>
  <c r="H678" i="1"/>
  <c r="D678" i="1"/>
  <c r="A678" i="1"/>
  <c r="C678" i="1"/>
  <c r="E678" i="1"/>
  <c r="F678" i="1"/>
  <c r="G684" i="1"/>
  <c r="H684" i="1"/>
  <c r="D684" i="1"/>
  <c r="A684" i="1"/>
  <c r="C684" i="1"/>
  <c r="E684" i="1"/>
  <c r="F684" i="1"/>
  <c r="G2993" i="1"/>
  <c r="H2993" i="1"/>
  <c r="D2993" i="1"/>
  <c r="A2993" i="1"/>
  <c r="C2993" i="1"/>
  <c r="E2993" i="1"/>
  <c r="F2993" i="1"/>
  <c r="G687" i="1"/>
  <c r="H687" i="1"/>
  <c r="D687" i="1"/>
  <c r="A687" i="1"/>
  <c r="C687" i="1"/>
  <c r="E687" i="1"/>
  <c r="F687" i="1"/>
  <c r="G712" i="1"/>
  <c r="H712" i="1"/>
  <c r="D712" i="1"/>
  <c r="A712" i="1"/>
  <c r="C712" i="1"/>
  <c r="E712" i="1"/>
  <c r="F712" i="1"/>
  <c r="G1489" i="1"/>
  <c r="H1489" i="1"/>
  <c r="D1489" i="1"/>
  <c r="A1489" i="1"/>
  <c r="C1489" i="1"/>
  <c r="E1489" i="1"/>
  <c r="F1489" i="1"/>
  <c r="G750" i="1"/>
  <c r="H750" i="1"/>
  <c r="D750" i="1"/>
  <c r="A750" i="1"/>
  <c r="C750" i="1"/>
  <c r="E750" i="1"/>
  <c r="F750" i="1"/>
  <c r="G751" i="1"/>
  <c r="H751" i="1"/>
  <c r="D751" i="1"/>
  <c r="A751" i="1"/>
  <c r="C751" i="1"/>
  <c r="E751" i="1"/>
  <c r="F751" i="1"/>
  <c r="G833" i="1"/>
  <c r="H833" i="1"/>
  <c r="D833" i="1"/>
  <c r="A833" i="1"/>
  <c r="C833" i="1"/>
  <c r="E833" i="1"/>
  <c r="F833" i="1"/>
  <c r="G866" i="1"/>
  <c r="H866" i="1"/>
  <c r="D866" i="1"/>
  <c r="A866" i="1"/>
  <c r="C866" i="1"/>
  <c r="E866" i="1"/>
  <c r="F866" i="1"/>
  <c r="G867" i="1"/>
  <c r="H867" i="1"/>
  <c r="D867" i="1"/>
  <c r="A867" i="1"/>
  <c r="C867" i="1"/>
  <c r="E867" i="1"/>
  <c r="F867" i="1"/>
  <c r="G868" i="1"/>
  <c r="H868" i="1"/>
  <c r="D868" i="1"/>
  <c r="A868" i="1"/>
  <c r="C868" i="1"/>
  <c r="E868" i="1"/>
  <c r="F868" i="1"/>
  <c r="G874" i="1"/>
  <c r="H874" i="1"/>
  <c r="D874" i="1"/>
  <c r="A874" i="1"/>
  <c r="C874" i="1"/>
  <c r="E874" i="1"/>
  <c r="F874" i="1"/>
  <c r="G889" i="1"/>
  <c r="H889" i="1"/>
  <c r="D889" i="1"/>
  <c r="A889" i="1"/>
  <c r="C889" i="1"/>
  <c r="E889" i="1"/>
  <c r="F889" i="1"/>
  <c r="G891" i="1"/>
  <c r="H891" i="1"/>
  <c r="D891" i="1"/>
  <c r="A891" i="1"/>
  <c r="C891" i="1"/>
  <c r="E891" i="1"/>
  <c r="F891" i="1"/>
  <c r="G898" i="1"/>
  <c r="H898" i="1"/>
  <c r="D898" i="1"/>
  <c r="A898" i="1"/>
  <c r="C898" i="1"/>
  <c r="E898" i="1"/>
  <c r="F898" i="1"/>
  <c r="G685" i="1"/>
  <c r="H685" i="1"/>
  <c r="D685" i="1"/>
  <c r="A685" i="1"/>
  <c r="C685" i="1"/>
  <c r="E685" i="1"/>
  <c r="F685" i="1"/>
  <c r="G974" i="1"/>
  <c r="H974" i="1"/>
  <c r="D974" i="1"/>
  <c r="A974" i="1"/>
  <c r="C974" i="1"/>
  <c r="E974" i="1"/>
  <c r="F974" i="1"/>
  <c r="G1020" i="1"/>
  <c r="H1020" i="1"/>
  <c r="D1020" i="1"/>
  <c r="A1020" i="1"/>
  <c r="C1020" i="1"/>
  <c r="E1020" i="1"/>
  <c r="F1020" i="1"/>
  <c r="G1022" i="1"/>
  <c r="H1022" i="1"/>
  <c r="D1022" i="1"/>
  <c r="A1022" i="1"/>
  <c r="C1022" i="1"/>
  <c r="E1022" i="1"/>
  <c r="F1022" i="1"/>
  <c r="G1307" i="1"/>
  <c r="H1307" i="1"/>
  <c r="D1307" i="1"/>
  <c r="A1307" i="1"/>
  <c r="C1307" i="1"/>
  <c r="E1307" i="1"/>
  <c r="F1307" i="1"/>
  <c r="G1023" i="1"/>
  <c r="H1023" i="1"/>
  <c r="D1023" i="1"/>
  <c r="A1023" i="1"/>
  <c r="C1023" i="1"/>
  <c r="E1023" i="1"/>
  <c r="F1023" i="1"/>
  <c r="G4900" i="1"/>
  <c r="H4900" i="1"/>
  <c r="D4900" i="1"/>
  <c r="A4900" i="1"/>
  <c r="C4900" i="1"/>
  <c r="E4900" i="1"/>
  <c r="F4900" i="1"/>
  <c r="G1031" i="1"/>
  <c r="H1031" i="1"/>
  <c r="D1031" i="1"/>
  <c r="A1031" i="1"/>
  <c r="C1031" i="1"/>
  <c r="E1031" i="1"/>
  <c r="F1031" i="1"/>
  <c r="G1597" i="1"/>
  <c r="H1597" i="1"/>
  <c r="D1597" i="1"/>
  <c r="A1597" i="1"/>
  <c r="C1597" i="1"/>
  <c r="E1597" i="1"/>
  <c r="F1597" i="1"/>
  <c r="G1689" i="1"/>
  <c r="H1689" i="1"/>
  <c r="D1689" i="1"/>
  <c r="A1689" i="1"/>
  <c r="C1689" i="1"/>
  <c r="E1689" i="1"/>
  <c r="F1689" i="1"/>
  <c r="G1690" i="1"/>
  <c r="H1690" i="1"/>
  <c r="D1690" i="1"/>
  <c r="A1690" i="1"/>
  <c r="C1690" i="1"/>
  <c r="E1690" i="1"/>
  <c r="F1690" i="1"/>
  <c r="G1826" i="1"/>
  <c r="H1826" i="1"/>
  <c r="D1826" i="1"/>
  <c r="A1826" i="1"/>
  <c r="C1826" i="1"/>
  <c r="E1826" i="1"/>
  <c r="F1826" i="1"/>
  <c r="G1832" i="1"/>
  <c r="H1832" i="1"/>
  <c r="D1832" i="1"/>
  <c r="A1832" i="1"/>
  <c r="C1832" i="1"/>
  <c r="E1832" i="1"/>
  <c r="F1832" i="1"/>
  <c r="G1852" i="1"/>
  <c r="H1852" i="1"/>
  <c r="D1852" i="1"/>
  <c r="A1852" i="1"/>
  <c r="C1852" i="1"/>
  <c r="E1852" i="1"/>
  <c r="F1852" i="1"/>
  <c r="G1932" i="1"/>
  <c r="H1932" i="1"/>
  <c r="D1932" i="1"/>
  <c r="A1932" i="1"/>
  <c r="C1932" i="1"/>
  <c r="E1932" i="1"/>
  <c r="F1932" i="1"/>
  <c r="G2038" i="1"/>
  <c r="H2038" i="1"/>
  <c r="D2038" i="1"/>
  <c r="A2038" i="1"/>
  <c r="C2038" i="1"/>
  <c r="E2038" i="1"/>
  <c r="F2038" i="1"/>
  <c r="G2154" i="1"/>
  <c r="H2154" i="1"/>
  <c r="D2154" i="1"/>
  <c r="A2154" i="1"/>
  <c r="C2154" i="1"/>
  <c r="E2154" i="1"/>
  <c r="F2154" i="1"/>
  <c r="G2266" i="1"/>
  <c r="H2266" i="1"/>
  <c r="D2266" i="1"/>
  <c r="A2266" i="1"/>
  <c r="C2266" i="1"/>
  <c r="E2266" i="1"/>
  <c r="F2266" i="1"/>
  <c r="G2279" i="1"/>
  <c r="H2279" i="1"/>
  <c r="D2279" i="1"/>
  <c r="A2279" i="1"/>
  <c r="C2279" i="1"/>
  <c r="E2279" i="1"/>
  <c r="F2279" i="1"/>
  <c r="G2335" i="1"/>
  <c r="H2335" i="1"/>
  <c r="D2335" i="1"/>
  <c r="A2335" i="1"/>
  <c r="C2335" i="1"/>
  <c r="E2335" i="1"/>
  <c r="F2335" i="1"/>
  <c r="G2338" i="1"/>
  <c r="H2338" i="1"/>
  <c r="D2338" i="1"/>
  <c r="A2338" i="1"/>
  <c r="C2338" i="1"/>
  <c r="E2338" i="1"/>
  <c r="F2338" i="1"/>
  <c r="G2344" i="1"/>
  <c r="H2344" i="1"/>
  <c r="D2344" i="1"/>
  <c r="A2344" i="1"/>
  <c r="C2344" i="1"/>
  <c r="E2344" i="1"/>
  <c r="F2344" i="1"/>
  <c r="G2350" i="1"/>
  <c r="H2350" i="1"/>
  <c r="D2350" i="1"/>
  <c r="A2350" i="1"/>
  <c r="C2350" i="1"/>
  <c r="E2350" i="1"/>
  <c r="F2350" i="1"/>
  <c r="G2833" i="1"/>
  <c r="H2833" i="1"/>
  <c r="D2833" i="1"/>
  <c r="A2833" i="1"/>
  <c r="C2833" i="1"/>
  <c r="E2833" i="1"/>
  <c r="F2833" i="1"/>
  <c r="G2358" i="1"/>
  <c r="H2358" i="1"/>
  <c r="D2358" i="1"/>
  <c r="A2358" i="1"/>
  <c r="C2358" i="1"/>
  <c r="E2358" i="1"/>
  <c r="F2358" i="1"/>
  <c r="G2564" i="1"/>
  <c r="H2564" i="1"/>
  <c r="D2564" i="1"/>
  <c r="A2564" i="1"/>
  <c r="C2564" i="1"/>
  <c r="E2564" i="1"/>
  <c r="F2564" i="1"/>
  <c r="G2583" i="1"/>
  <c r="H2583" i="1"/>
  <c r="D2583" i="1"/>
  <c r="A2583" i="1"/>
  <c r="C2583" i="1"/>
  <c r="E2583" i="1"/>
  <c r="F2583" i="1"/>
  <c r="G2665" i="1"/>
  <c r="H2665" i="1"/>
  <c r="D2665" i="1"/>
  <c r="A2665" i="1"/>
  <c r="C2665" i="1"/>
  <c r="E2665" i="1"/>
  <c r="F2665" i="1"/>
  <c r="G2673" i="1"/>
  <c r="H2673" i="1"/>
  <c r="D2673" i="1"/>
  <c r="A2673" i="1"/>
  <c r="C2673" i="1"/>
  <c r="E2673" i="1"/>
  <c r="F2673" i="1"/>
  <c r="G2713" i="1"/>
  <c r="H2713" i="1"/>
  <c r="D2713" i="1"/>
  <c r="A2713" i="1"/>
  <c r="C2713" i="1"/>
  <c r="E2713" i="1"/>
  <c r="F2713" i="1"/>
  <c r="G2717" i="1"/>
  <c r="H2717" i="1"/>
  <c r="D2717" i="1"/>
  <c r="A2717" i="1"/>
  <c r="C2717" i="1"/>
  <c r="E2717" i="1"/>
  <c r="F2717" i="1"/>
  <c r="G2726" i="1"/>
  <c r="H2726" i="1"/>
  <c r="D2726" i="1"/>
  <c r="A2726" i="1"/>
  <c r="C2726" i="1"/>
  <c r="E2726" i="1"/>
  <c r="F2726" i="1"/>
  <c r="G2807" i="1"/>
  <c r="H2807" i="1"/>
  <c r="D2807" i="1"/>
  <c r="A2807" i="1"/>
  <c r="C2807" i="1"/>
  <c r="E2807" i="1"/>
  <c r="F2807" i="1"/>
  <c r="G2811" i="1"/>
  <c r="H2811" i="1"/>
  <c r="D2811" i="1"/>
  <c r="A2811" i="1"/>
  <c r="C2811" i="1"/>
  <c r="E2811" i="1"/>
  <c r="F2811" i="1"/>
  <c r="G2360" i="1"/>
  <c r="H2360" i="1"/>
  <c r="D2360" i="1"/>
  <c r="A2360" i="1"/>
  <c r="C2360" i="1"/>
  <c r="E2360" i="1"/>
  <c r="F2360" i="1"/>
  <c r="G2092" i="1"/>
  <c r="H2092" i="1"/>
  <c r="D2092" i="1"/>
  <c r="A2092" i="1"/>
  <c r="C2092" i="1"/>
  <c r="E2092" i="1"/>
  <c r="F2092" i="1"/>
  <c r="G2153" i="1"/>
  <c r="H2153" i="1"/>
  <c r="D2153" i="1"/>
  <c r="A2153" i="1"/>
  <c r="C2153" i="1"/>
  <c r="E2153" i="1"/>
  <c r="F2153" i="1"/>
  <c r="G3074" i="1"/>
  <c r="H3074" i="1"/>
  <c r="D3074" i="1"/>
  <c r="A3074" i="1"/>
  <c r="C3074" i="1"/>
  <c r="E3074" i="1"/>
  <c r="F3074" i="1"/>
  <c r="G4354" i="1"/>
  <c r="H4354" i="1"/>
  <c r="D4354" i="1"/>
  <c r="A4354" i="1"/>
  <c r="C4354" i="1"/>
  <c r="E4354" i="1"/>
  <c r="F4354" i="1"/>
  <c r="G2832" i="1"/>
  <c r="H2832" i="1"/>
  <c r="D2832" i="1"/>
  <c r="A2832" i="1"/>
  <c r="C2832" i="1"/>
  <c r="E2832" i="1"/>
  <c r="F2832" i="1"/>
  <c r="G4987" i="1"/>
  <c r="H4987" i="1"/>
  <c r="D4987" i="1"/>
  <c r="A4987" i="1"/>
  <c r="C4987" i="1"/>
  <c r="E4987" i="1"/>
  <c r="F4987" i="1"/>
  <c r="G4988" i="1"/>
  <c r="H4988" i="1"/>
  <c r="D4988" i="1"/>
  <c r="A4988" i="1"/>
  <c r="C4988" i="1"/>
  <c r="E4988" i="1"/>
  <c r="F4988" i="1"/>
  <c r="G1666" i="1"/>
  <c r="H1666" i="1"/>
  <c r="D1666" i="1"/>
  <c r="A1666" i="1"/>
  <c r="C1666" i="1"/>
  <c r="E1666" i="1"/>
  <c r="F1666" i="1"/>
  <c r="G3883" i="1"/>
  <c r="H3883" i="1"/>
  <c r="D3883" i="1"/>
  <c r="A3883" i="1"/>
  <c r="C3883" i="1"/>
  <c r="E3883" i="1"/>
  <c r="F3883" i="1"/>
  <c r="G2163" i="1"/>
  <c r="H2163" i="1"/>
  <c r="D2163" i="1"/>
  <c r="A2163" i="1"/>
  <c r="C2163" i="1"/>
  <c r="E2163" i="1"/>
  <c r="F2163" i="1"/>
  <c r="G4862" i="1"/>
  <c r="H4862" i="1"/>
  <c r="D4862" i="1"/>
  <c r="A4862" i="1"/>
  <c r="C4862" i="1"/>
  <c r="E4862" i="1"/>
  <c r="F4862" i="1"/>
  <c r="G2814" i="1"/>
  <c r="H2814" i="1"/>
  <c r="D2814" i="1"/>
  <c r="A2814" i="1"/>
  <c r="C2814" i="1"/>
  <c r="E2814" i="1"/>
  <c r="F2814" i="1"/>
  <c r="G2816" i="1"/>
  <c r="H2816" i="1"/>
  <c r="D2816" i="1"/>
  <c r="A2816" i="1"/>
  <c r="C2816" i="1"/>
  <c r="E2816" i="1"/>
  <c r="F2816" i="1"/>
  <c r="G2817" i="1"/>
  <c r="H2817" i="1"/>
  <c r="D2817" i="1"/>
  <c r="A2817" i="1"/>
  <c r="C2817" i="1"/>
  <c r="E2817" i="1"/>
  <c r="F2817" i="1"/>
  <c r="G2839" i="1"/>
  <c r="H2839" i="1"/>
  <c r="D2839" i="1"/>
  <c r="A2839" i="1"/>
  <c r="C2839" i="1"/>
  <c r="E2839" i="1"/>
  <c r="F2839" i="1"/>
  <c r="G2841" i="1"/>
  <c r="H2841" i="1"/>
  <c r="D2841" i="1"/>
  <c r="A2841" i="1"/>
  <c r="C2841" i="1"/>
  <c r="E2841" i="1"/>
  <c r="F2841" i="1"/>
  <c r="G2842" i="1"/>
  <c r="H2842" i="1"/>
  <c r="D2842" i="1"/>
  <c r="A2842" i="1"/>
  <c r="C2842" i="1"/>
  <c r="E2842" i="1"/>
  <c r="F2842" i="1"/>
  <c r="G2846" i="1"/>
  <c r="H2846" i="1"/>
  <c r="D2846" i="1"/>
  <c r="A2846" i="1"/>
  <c r="C2846" i="1"/>
  <c r="E2846" i="1"/>
  <c r="F2846" i="1"/>
  <c r="G2891" i="1"/>
  <c r="H2891" i="1"/>
  <c r="D2891" i="1"/>
  <c r="A2891" i="1"/>
  <c r="C2891" i="1"/>
  <c r="E2891" i="1"/>
  <c r="F2891" i="1"/>
  <c r="G2941" i="1"/>
  <c r="H2941" i="1"/>
  <c r="D2941" i="1"/>
  <c r="A2941" i="1"/>
  <c r="C2941" i="1"/>
  <c r="E2941" i="1"/>
  <c r="F2941" i="1"/>
  <c r="G2981" i="1"/>
  <c r="H2981" i="1"/>
  <c r="D2981" i="1"/>
  <c r="A2981" i="1"/>
  <c r="C2981" i="1"/>
  <c r="E2981" i="1"/>
  <c r="F2981" i="1"/>
  <c r="G3065" i="1"/>
  <c r="H3065" i="1"/>
  <c r="D3065" i="1"/>
  <c r="A3065" i="1"/>
  <c r="C3065" i="1"/>
  <c r="E3065" i="1"/>
  <c r="F3065" i="1"/>
  <c r="G3109" i="1"/>
  <c r="H3109" i="1"/>
  <c r="D3109" i="1"/>
  <c r="A3109" i="1"/>
  <c r="C3109" i="1"/>
  <c r="E3109" i="1"/>
  <c r="F3109" i="1"/>
  <c r="G3198" i="1"/>
  <c r="H3198" i="1"/>
  <c r="D3198" i="1"/>
  <c r="A3198" i="1"/>
  <c r="C3198" i="1"/>
  <c r="E3198" i="1"/>
  <c r="F3198" i="1"/>
  <c r="G3114" i="1"/>
  <c r="H3114" i="1"/>
  <c r="D3114" i="1"/>
  <c r="A3114" i="1"/>
  <c r="C3114" i="1"/>
  <c r="E3114" i="1"/>
  <c r="F3114" i="1"/>
  <c r="G3110" i="1"/>
  <c r="H3110" i="1"/>
  <c r="D3110" i="1"/>
  <c r="A3110" i="1"/>
  <c r="C3110" i="1"/>
  <c r="E3110" i="1"/>
  <c r="F3110" i="1"/>
  <c r="G3178" i="1"/>
  <c r="H3178" i="1"/>
  <c r="D3178" i="1"/>
  <c r="A3178" i="1"/>
  <c r="C3178" i="1"/>
  <c r="E3178" i="1"/>
  <c r="F3178" i="1"/>
  <c r="G3276" i="1"/>
  <c r="H3276" i="1"/>
  <c r="D3276" i="1"/>
  <c r="A3276" i="1"/>
  <c r="C3276" i="1"/>
  <c r="E3276" i="1"/>
  <c r="F3276" i="1"/>
  <c r="G3311" i="1"/>
  <c r="H3311" i="1"/>
  <c r="D3311" i="1"/>
  <c r="A3311" i="1"/>
  <c r="C3311" i="1"/>
  <c r="E3311" i="1"/>
  <c r="F3311" i="1"/>
  <c r="G1149" i="1"/>
  <c r="H1149" i="1"/>
  <c r="D1149" i="1"/>
  <c r="A1149" i="1"/>
  <c r="C1149" i="1"/>
  <c r="E1149" i="1"/>
  <c r="F1149" i="1"/>
  <c r="G3513" i="1"/>
  <c r="H3513" i="1"/>
  <c r="D3513" i="1"/>
  <c r="A3513" i="1"/>
  <c r="C3513" i="1"/>
  <c r="E3513" i="1"/>
  <c r="F3513" i="1"/>
  <c r="G3561" i="1"/>
  <c r="H3561" i="1"/>
  <c r="D3561" i="1"/>
  <c r="A3561" i="1"/>
  <c r="C3561" i="1"/>
  <c r="E3561" i="1"/>
  <c r="F3561" i="1"/>
  <c r="G3583" i="1"/>
  <c r="H3583" i="1"/>
  <c r="D3583" i="1"/>
  <c r="A3583" i="1"/>
  <c r="C3583" i="1"/>
  <c r="E3583" i="1"/>
  <c r="F3583" i="1"/>
  <c r="G3604" i="1"/>
  <c r="H3604" i="1"/>
  <c r="D3604" i="1"/>
  <c r="A3604" i="1"/>
  <c r="C3604" i="1"/>
  <c r="E3604" i="1"/>
  <c r="F3604" i="1"/>
  <c r="G3666" i="1"/>
  <c r="H3666" i="1"/>
  <c r="D3666" i="1"/>
  <c r="A3666" i="1"/>
  <c r="C3666" i="1"/>
  <c r="E3666" i="1"/>
  <c r="F3666" i="1"/>
  <c r="G3684" i="1"/>
  <c r="H3684" i="1"/>
  <c r="D3684" i="1"/>
  <c r="A3684" i="1"/>
  <c r="C3684" i="1"/>
  <c r="E3684" i="1"/>
  <c r="F3684" i="1"/>
  <c r="G3685" i="1"/>
  <c r="H3685" i="1"/>
  <c r="D3685" i="1"/>
  <c r="A3685" i="1"/>
  <c r="C3685" i="1"/>
  <c r="E3685" i="1"/>
  <c r="F3685" i="1"/>
  <c r="G3704" i="1"/>
  <c r="H3704" i="1"/>
  <c r="D3704" i="1"/>
  <c r="A3704" i="1"/>
  <c r="C3704" i="1"/>
  <c r="E3704" i="1"/>
  <c r="F3704" i="1"/>
  <c r="G3893" i="1"/>
  <c r="H3893" i="1"/>
  <c r="D3893" i="1"/>
  <c r="A3893" i="1"/>
  <c r="C3893" i="1"/>
  <c r="E3893" i="1"/>
  <c r="F3893" i="1"/>
  <c r="G3902" i="1"/>
  <c r="H3902" i="1"/>
  <c r="D3902" i="1"/>
  <c r="A3902" i="1"/>
  <c r="C3902" i="1"/>
  <c r="E3902" i="1"/>
  <c r="F3902" i="1"/>
  <c r="G3988" i="1"/>
  <c r="H3988" i="1"/>
  <c r="D3988" i="1"/>
  <c r="A3988" i="1"/>
  <c r="C3988" i="1"/>
  <c r="E3988" i="1"/>
  <c r="F3988" i="1"/>
  <c r="G3989" i="1"/>
  <c r="H3989" i="1"/>
  <c r="D3989" i="1"/>
  <c r="A3989" i="1"/>
  <c r="C3989" i="1"/>
  <c r="E3989" i="1"/>
  <c r="F3989" i="1"/>
  <c r="G4023" i="1"/>
  <c r="H4023" i="1"/>
  <c r="D4023" i="1"/>
  <c r="A4023" i="1"/>
  <c r="C4023" i="1"/>
  <c r="E4023" i="1"/>
  <c r="F4023" i="1"/>
  <c r="G4043" i="1"/>
  <c r="H4043" i="1"/>
  <c r="D4043" i="1"/>
  <c r="A4043" i="1"/>
  <c r="C4043" i="1"/>
  <c r="E4043" i="1"/>
  <c r="F4043" i="1"/>
  <c r="G4056" i="1"/>
  <c r="H4056" i="1"/>
  <c r="D4056" i="1"/>
  <c r="A4056" i="1"/>
  <c r="C4056" i="1"/>
  <c r="E4056" i="1"/>
  <c r="F4056" i="1"/>
  <c r="G4069" i="1"/>
  <c r="H4069" i="1"/>
  <c r="D4069" i="1"/>
  <c r="A4069" i="1"/>
  <c r="C4069" i="1"/>
  <c r="E4069" i="1"/>
  <c r="F4069" i="1"/>
  <c r="G4111" i="1"/>
  <c r="H4111" i="1"/>
  <c r="D4111" i="1"/>
  <c r="A4111" i="1"/>
  <c r="C4111" i="1"/>
  <c r="E4111" i="1"/>
  <c r="F4111" i="1"/>
  <c r="G4285" i="1"/>
  <c r="H4285" i="1"/>
  <c r="D4285" i="1"/>
  <c r="A4285" i="1"/>
  <c r="C4285" i="1"/>
  <c r="E4285" i="1"/>
  <c r="F4285" i="1"/>
  <c r="G4336" i="1"/>
  <c r="H4336" i="1"/>
  <c r="D4336" i="1"/>
  <c r="A4336" i="1"/>
  <c r="C4336" i="1"/>
  <c r="E4336" i="1"/>
  <c r="F4336" i="1"/>
  <c r="G4344" i="1"/>
  <c r="H4344" i="1"/>
  <c r="D4344" i="1"/>
  <c r="A4344" i="1"/>
  <c r="C4344" i="1"/>
  <c r="E4344" i="1"/>
  <c r="F4344" i="1"/>
  <c r="G4345" i="1"/>
  <c r="H4345" i="1"/>
  <c r="D4345" i="1"/>
  <c r="A4345" i="1"/>
  <c r="C4345" i="1"/>
  <c r="E4345" i="1"/>
  <c r="F4345" i="1"/>
  <c r="G4348" i="1"/>
  <c r="H4348" i="1"/>
  <c r="D4348" i="1"/>
  <c r="A4348" i="1"/>
  <c r="C4348" i="1"/>
  <c r="E4348" i="1"/>
  <c r="F4348" i="1"/>
  <c r="G4358" i="1"/>
  <c r="H4358" i="1"/>
  <c r="D4358" i="1"/>
  <c r="A4358" i="1"/>
  <c r="C4358" i="1"/>
  <c r="E4358" i="1"/>
  <c r="F4358" i="1"/>
  <c r="G4437" i="1"/>
  <c r="H4437" i="1"/>
  <c r="D4437" i="1"/>
  <c r="A4437" i="1"/>
  <c r="C4437" i="1"/>
  <c r="E4437" i="1"/>
  <c r="F4437" i="1"/>
  <c r="G4444" i="1"/>
  <c r="H4444" i="1"/>
  <c r="D4444" i="1"/>
  <c r="A4444" i="1"/>
  <c r="C4444" i="1"/>
  <c r="E4444" i="1"/>
  <c r="F4444" i="1"/>
  <c r="G4478" i="1"/>
  <c r="H4478" i="1"/>
  <c r="D4478" i="1"/>
  <c r="A4478" i="1"/>
  <c r="C4478" i="1"/>
  <c r="E4478" i="1"/>
  <c r="F4478" i="1"/>
  <c r="G4483" i="1"/>
  <c r="H4483" i="1"/>
  <c r="D4483" i="1"/>
  <c r="A4483" i="1"/>
  <c r="C4483" i="1"/>
  <c r="E4483" i="1"/>
  <c r="F4483" i="1"/>
  <c r="G4484" i="1"/>
  <c r="H4484" i="1"/>
  <c r="D4484" i="1"/>
  <c r="A4484" i="1"/>
  <c r="C4484" i="1"/>
  <c r="E4484" i="1"/>
  <c r="F4484" i="1"/>
  <c r="G4668" i="1"/>
  <c r="H4668" i="1"/>
  <c r="D4668" i="1"/>
  <c r="A4668" i="1"/>
  <c r="C4668" i="1"/>
  <c r="E4668" i="1"/>
  <c r="F4668" i="1"/>
  <c r="G4718" i="1"/>
  <c r="H4718" i="1"/>
  <c r="D4718" i="1"/>
  <c r="A4718" i="1"/>
  <c r="C4718" i="1"/>
  <c r="E4718" i="1"/>
  <c r="F4718" i="1"/>
  <c r="G4851" i="1"/>
  <c r="H4851" i="1"/>
  <c r="D4851" i="1"/>
  <c r="A4851" i="1"/>
  <c r="C4851" i="1"/>
  <c r="E4851" i="1"/>
  <c r="F4851" i="1"/>
  <c r="G4876" i="1"/>
  <c r="H4876" i="1"/>
  <c r="D4876" i="1"/>
  <c r="A4876" i="1"/>
  <c r="C4876" i="1"/>
  <c r="E4876" i="1"/>
  <c r="F4876" i="1"/>
  <c r="G4891" i="1"/>
  <c r="H4891" i="1"/>
  <c r="D4891" i="1"/>
  <c r="A4891" i="1"/>
  <c r="C4891" i="1"/>
  <c r="E4891" i="1"/>
  <c r="F4891" i="1"/>
  <c r="G2649" i="1"/>
  <c r="H2649" i="1"/>
  <c r="D2649" i="1"/>
  <c r="A2649" i="1"/>
  <c r="C2649" i="1"/>
  <c r="E2649" i="1"/>
  <c r="F2649" i="1"/>
  <c r="G4923" i="1"/>
  <c r="H4923" i="1"/>
  <c r="D4923" i="1"/>
  <c r="A4923" i="1"/>
  <c r="C4923" i="1"/>
  <c r="E4923" i="1"/>
  <c r="F4923" i="1"/>
  <c r="G5029" i="1"/>
  <c r="H5029" i="1"/>
  <c r="D5029" i="1"/>
  <c r="A5029" i="1"/>
  <c r="C5029" i="1"/>
  <c r="E5029" i="1"/>
  <c r="F5029" i="1"/>
  <c r="G3935" i="1"/>
  <c r="H3935" i="1"/>
  <c r="D3935" i="1"/>
  <c r="A3935" i="1"/>
  <c r="C3935" i="1"/>
  <c r="E3935" i="1"/>
  <c r="F3935" i="1"/>
  <c r="G43" i="1"/>
  <c r="H43" i="1"/>
  <c r="D43" i="1"/>
  <c r="A43" i="1"/>
  <c r="C43" i="1"/>
  <c r="E43" i="1"/>
  <c r="F43" i="1"/>
  <c r="G913" i="1"/>
  <c r="H913" i="1"/>
  <c r="D913" i="1"/>
  <c r="A913" i="1"/>
  <c r="C913" i="1"/>
  <c r="E913" i="1"/>
  <c r="F913" i="1"/>
  <c r="G1937" i="1"/>
  <c r="H1937" i="1"/>
  <c r="D1937" i="1"/>
  <c r="A1937" i="1"/>
  <c r="C1937" i="1"/>
  <c r="E1937" i="1"/>
  <c r="F1937" i="1"/>
  <c r="G1012" i="1"/>
  <c r="H1012" i="1"/>
  <c r="D1012" i="1"/>
  <c r="A1012" i="1"/>
  <c r="C1012" i="1"/>
  <c r="E1012" i="1"/>
  <c r="F1012" i="1"/>
  <c r="G916" i="1"/>
  <c r="H916" i="1"/>
  <c r="D916" i="1"/>
  <c r="A916" i="1"/>
  <c r="C916" i="1"/>
  <c r="E916" i="1"/>
  <c r="F916" i="1"/>
  <c r="G689" i="1"/>
  <c r="H689" i="1"/>
  <c r="D689" i="1"/>
  <c r="A689" i="1"/>
  <c r="C689" i="1"/>
  <c r="E689" i="1"/>
  <c r="F689" i="1"/>
  <c r="G2008" i="1"/>
  <c r="H2008" i="1"/>
  <c r="D2008" i="1"/>
  <c r="A2008" i="1"/>
  <c r="C2008" i="1"/>
  <c r="E2008" i="1"/>
  <c r="F2008" i="1"/>
  <c r="G2035" i="1"/>
  <c r="H2035" i="1"/>
  <c r="D2035" i="1"/>
  <c r="A2035" i="1"/>
  <c r="C2035" i="1"/>
  <c r="E2035" i="1"/>
  <c r="F2035" i="1"/>
  <c r="G2036" i="1"/>
  <c r="H2036" i="1"/>
  <c r="D2036" i="1"/>
  <c r="A2036" i="1"/>
  <c r="C2036" i="1"/>
  <c r="E2036" i="1"/>
  <c r="F2036" i="1"/>
  <c r="G3139" i="1"/>
  <c r="H3139" i="1"/>
  <c r="D3139" i="1"/>
  <c r="A3139" i="1"/>
  <c r="C3139" i="1"/>
  <c r="E3139" i="1"/>
  <c r="F3139" i="1"/>
  <c r="G3341" i="1"/>
  <c r="H3341" i="1"/>
  <c r="D3341" i="1"/>
  <c r="A3341" i="1"/>
  <c r="C3341" i="1"/>
  <c r="E3341" i="1"/>
  <c r="F3341" i="1"/>
  <c r="G4944" i="1"/>
  <c r="H4944" i="1"/>
  <c r="D4944" i="1"/>
  <c r="A4944" i="1"/>
  <c r="C4944" i="1"/>
  <c r="E4944" i="1"/>
  <c r="F4944" i="1"/>
  <c r="G3477" i="1"/>
  <c r="H3477" i="1"/>
  <c r="D3477" i="1"/>
  <c r="A3477" i="1"/>
  <c r="C3477" i="1"/>
  <c r="E3477" i="1"/>
  <c r="F3477" i="1"/>
  <c r="G4298" i="1"/>
  <c r="H4298" i="1"/>
  <c r="D4298" i="1"/>
  <c r="A4298" i="1"/>
  <c r="C4298" i="1"/>
  <c r="E4298" i="1"/>
  <c r="F4298" i="1"/>
  <c r="G4372" i="1"/>
  <c r="H4372" i="1"/>
  <c r="D4372" i="1"/>
  <c r="A4372" i="1"/>
  <c r="C4372" i="1"/>
  <c r="E4372" i="1"/>
  <c r="F4372" i="1"/>
  <c r="G4545" i="1"/>
  <c r="H4545" i="1"/>
  <c r="D4545" i="1"/>
  <c r="A4545" i="1"/>
  <c r="C4545" i="1"/>
  <c r="E4545" i="1"/>
  <c r="F4545" i="1"/>
  <c r="G4553" i="1"/>
  <c r="H4553" i="1"/>
  <c r="D4553" i="1"/>
  <c r="A4553" i="1"/>
  <c r="C4553" i="1"/>
  <c r="E4553" i="1"/>
  <c r="F4553" i="1"/>
  <c r="G3678" i="1"/>
  <c r="H3678" i="1"/>
  <c r="D3678" i="1"/>
  <c r="A3678" i="1"/>
  <c r="C3678" i="1"/>
  <c r="E3678" i="1"/>
  <c r="F3678" i="1"/>
  <c r="G3691" i="1"/>
  <c r="H3691" i="1"/>
  <c r="D3691" i="1"/>
  <c r="A3691" i="1"/>
  <c r="C3691" i="1"/>
  <c r="E3691" i="1"/>
  <c r="F3691" i="1"/>
  <c r="G3697" i="1"/>
  <c r="H3697" i="1"/>
  <c r="D3697" i="1"/>
  <c r="A3697" i="1"/>
  <c r="C3697" i="1"/>
  <c r="E3697" i="1"/>
  <c r="F3697" i="1"/>
  <c r="G3703" i="1"/>
  <c r="H3703" i="1"/>
  <c r="D3703" i="1"/>
  <c r="A3703" i="1"/>
  <c r="C3703" i="1"/>
  <c r="E3703" i="1"/>
  <c r="F3703" i="1"/>
  <c r="G3243" i="1"/>
  <c r="H3243" i="1"/>
  <c r="D3243" i="1"/>
  <c r="A3243" i="1"/>
  <c r="C3243" i="1"/>
  <c r="E3243" i="1"/>
  <c r="F3243" i="1"/>
  <c r="G3286" i="1"/>
  <c r="H3286" i="1"/>
  <c r="D3286" i="1"/>
  <c r="A3286" i="1"/>
  <c r="C3286" i="1"/>
  <c r="E3286" i="1"/>
  <c r="F3286" i="1"/>
  <c r="G403" i="1"/>
  <c r="H403" i="1"/>
  <c r="D403" i="1"/>
  <c r="A403" i="1"/>
  <c r="C403" i="1"/>
  <c r="E403" i="1"/>
  <c r="F403" i="1"/>
  <c r="G2899" i="1"/>
  <c r="H2899" i="1"/>
  <c r="D2899" i="1"/>
  <c r="A2899" i="1"/>
  <c r="C2899" i="1"/>
  <c r="E2899" i="1"/>
  <c r="F2899" i="1"/>
  <c r="G3016" i="1"/>
  <c r="H3016" i="1"/>
  <c r="D3016" i="1"/>
  <c r="A3016" i="1"/>
  <c r="C3016" i="1"/>
  <c r="E3016" i="1"/>
  <c r="F3016" i="1"/>
  <c r="G4205" i="1"/>
  <c r="H4205" i="1"/>
  <c r="D4205" i="1"/>
  <c r="A4205" i="1"/>
  <c r="C4205" i="1"/>
  <c r="E4205" i="1"/>
  <c r="F4205" i="1"/>
  <c r="G708" i="1"/>
  <c r="H708" i="1"/>
  <c r="D708" i="1"/>
  <c r="A708" i="1"/>
  <c r="C708" i="1"/>
  <c r="E708" i="1"/>
  <c r="F708" i="1"/>
  <c r="G2772" i="1"/>
  <c r="H2772" i="1"/>
  <c r="D2772" i="1"/>
  <c r="A2772" i="1"/>
  <c r="C2772" i="1"/>
  <c r="E2772" i="1"/>
  <c r="F2772" i="1"/>
  <c r="G2774" i="1"/>
  <c r="H2774" i="1"/>
  <c r="D2774" i="1"/>
  <c r="A2774" i="1"/>
  <c r="C2774" i="1"/>
  <c r="E2774" i="1"/>
  <c r="F2774" i="1"/>
  <c r="G642" i="1"/>
  <c r="H642" i="1"/>
  <c r="D642" i="1"/>
  <c r="A642" i="1"/>
  <c r="C642" i="1"/>
  <c r="E642" i="1"/>
  <c r="F642" i="1"/>
  <c r="G2837" i="1"/>
  <c r="H2837" i="1"/>
  <c r="D2837" i="1"/>
  <c r="A2837" i="1"/>
  <c r="C2837" i="1"/>
  <c r="E2837" i="1"/>
  <c r="F2837" i="1"/>
  <c r="G2835" i="1"/>
  <c r="H2835" i="1"/>
  <c r="D2835" i="1"/>
  <c r="A2835" i="1"/>
  <c r="C2835" i="1"/>
  <c r="E2835" i="1"/>
  <c r="F2835" i="1"/>
  <c r="G2724" i="1"/>
  <c r="H2724" i="1"/>
  <c r="D2724" i="1"/>
  <c r="A2724" i="1"/>
  <c r="C2724" i="1"/>
  <c r="E2724" i="1"/>
  <c r="F2724" i="1"/>
  <c r="G1013" i="1"/>
  <c r="H1013" i="1"/>
  <c r="D1013" i="1"/>
  <c r="A1013" i="1"/>
  <c r="C1013" i="1"/>
  <c r="E1013" i="1"/>
  <c r="F1013" i="1"/>
  <c r="G3721" i="1"/>
  <c r="H3721" i="1"/>
  <c r="D3721" i="1"/>
  <c r="A3721" i="1"/>
  <c r="C3721" i="1"/>
  <c r="E3721" i="1"/>
  <c r="F3721" i="1"/>
  <c r="G2843" i="1"/>
  <c r="H2843" i="1"/>
  <c r="D2843" i="1"/>
  <c r="A2843" i="1"/>
  <c r="C2843" i="1"/>
  <c r="E2843" i="1"/>
  <c r="F2843" i="1"/>
  <c r="G2747" i="1"/>
  <c r="H2747" i="1"/>
  <c r="D2747" i="1"/>
  <c r="A2747" i="1"/>
  <c r="C2747" i="1"/>
  <c r="E2747" i="1"/>
  <c r="F2747" i="1"/>
  <c r="G3788" i="1"/>
  <c r="H3788" i="1"/>
  <c r="D3788" i="1"/>
  <c r="A3788" i="1"/>
  <c r="C3788" i="1"/>
  <c r="E3788" i="1"/>
  <c r="F3788" i="1"/>
  <c r="G3763" i="1"/>
  <c r="H3763" i="1"/>
  <c r="D3763" i="1"/>
  <c r="A3763" i="1"/>
  <c r="C3763" i="1"/>
  <c r="E3763" i="1"/>
  <c r="F3763" i="1"/>
  <c r="G3901" i="1"/>
  <c r="H3901" i="1"/>
  <c r="D3901" i="1"/>
  <c r="A3901" i="1"/>
  <c r="C3901" i="1"/>
  <c r="E3901" i="1"/>
  <c r="F3901" i="1"/>
  <c r="G2740" i="1"/>
  <c r="H2740" i="1"/>
  <c r="D2740" i="1"/>
  <c r="A2740" i="1"/>
  <c r="C2740" i="1"/>
  <c r="E2740" i="1"/>
  <c r="F2740" i="1"/>
  <c r="G5058" i="1"/>
  <c r="H5058" i="1"/>
  <c r="D5058" i="1"/>
  <c r="A5058" i="1"/>
  <c r="C5058" i="1"/>
  <c r="E5058" i="1"/>
  <c r="F5058" i="1"/>
  <c r="G1141" i="1"/>
  <c r="H1141" i="1"/>
  <c r="D1141" i="1"/>
  <c r="A1141" i="1"/>
  <c r="C1141" i="1"/>
  <c r="E1141" i="1"/>
  <c r="F1141" i="1"/>
  <c r="G972" i="1"/>
  <c r="H972" i="1"/>
  <c r="D972" i="1"/>
  <c r="A972" i="1"/>
  <c r="C972" i="1"/>
  <c r="E972" i="1"/>
  <c r="F972" i="1"/>
  <c r="G2253" i="1"/>
  <c r="H2253" i="1"/>
  <c r="D2253" i="1"/>
  <c r="A2253" i="1"/>
  <c r="C2253" i="1"/>
  <c r="E2253" i="1"/>
  <c r="F2253" i="1"/>
  <c r="G3651" i="1"/>
  <c r="H3651" i="1"/>
  <c r="D3651" i="1"/>
  <c r="A3651" i="1"/>
  <c r="C3651" i="1"/>
  <c r="E3651" i="1"/>
  <c r="F3651" i="1"/>
  <c r="G3207" i="1"/>
  <c r="H3207" i="1"/>
  <c r="D3207" i="1"/>
  <c r="A3207" i="1"/>
  <c r="C3207" i="1"/>
  <c r="E3207" i="1"/>
  <c r="F3207" i="1"/>
  <c r="G156" i="1"/>
  <c r="H156" i="1"/>
  <c r="D156" i="1"/>
  <c r="A156" i="1"/>
  <c r="C156" i="1"/>
  <c r="E156" i="1"/>
  <c r="F156" i="1"/>
  <c r="G3230" i="1"/>
  <c r="H3230" i="1"/>
  <c r="D3230" i="1"/>
  <c r="A3230" i="1"/>
  <c r="C3230" i="1"/>
  <c r="E3230" i="1"/>
  <c r="F3230" i="1"/>
  <c r="G1118" i="1"/>
  <c r="H1118" i="1"/>
  <c r="D1118" i="1"/>
  <c r="A1118" i="1"/>
  <c r="C1118" i="1"/>
  <c r="E1118" i="1"/>
  <c r="F1118" i="1"/>
  <c r="G3213" i="1"/>
  <c r="H3213" i="1"/>
  <c r="D3213" i="1"/>
  <c r="A3213" i="1"/>
  <c r="C3213" i="1"/>
  <c r="E3213" i="1"/>
  <c r="F3213" i="1"/>
  <c r="G4223" i="1"/>
  <c r="H4223" i="1"/>
  <c r="D4223" i="1"/>
  <c r="A4223" i="1"/>
  <c r="C4223" i="1"/>
  <c r="E4223" i="1"/>
  <c r="F4223" i="1"/>
  <c r="G3542" i="1"/>
  <c r="H3542" i="1"/>
  <c r="D3542" i="1"/>
  <c r="A3542" i="1"/>
  <c r="C3542" i="1"/>
  <c r="E3542" i="1"/>
  <c r="F3542" i="1"/>
  <c r="G3309" i="1"/>
  <c r="H3309" i="1"/>
  <c r="D3309" i="1"/>
  <c r="A3309" i="1"/>
  <c r="C3309" i="1"/>
  <c r="E3309" i="1"/>
  <c r="F3309" i="1"/>
  <c r="G3541" i="1"/>
  <c r="H3541" i="1"/>
  <c r="D3541" i="1"/>
  <c r="A3541" i="1"/>
  <c r="C3541" i="1"/>
  <c r="E3541" i="1"/>
  <c r="F3541" i="1"/>
  <c r="G4222" i="1"/>
  <c r="H4222" i="1"/>
  <c r="D4222" i="1"/>
  <c r="A4222" i="1"/>
  <c r="C4222" i="1"/>
  <c r="E4222" i="1"/>
  <c r="F4222" i="1"/>
  <c r="G3004" i="1"/>
  <c r="H3004" i="1"/>
  <c r="D3004" i="1"/>
  <c r="A3004" i="1"/>
  <c r="C3004" i="1"/>
  <c r="E3004" i="1"/>
  <c r="F3004" i="1"/>
  <c r="G1931" i="1"/>
  <c r="H1931" i="1"/>
  <c r="D1931" i="1"/>
  <c r="A1931" i="1"/>
  <c r="C1931" i="1"/>
  <c r="E1931" i="1"/>
  <c r="F1931" i="1"/>
  <c r="G515" i="1"/>
  <c r="H515" i="1"/>
  <c r="D515" i="1"/>
  <c r="A515" i="1"/>
  <c r="C515" i="1"/>
  <c r="E515" i="1"/>
  <c r="F515" i="1"/>
  <c r="G1996" i="1"/>
  <c r="H1996" i="1"/>
  <c r="D1996" i="1"/>
  <c r="A1996" i="1"/>
  <c r="C1996" i="1"/>
  <c r="E1996" i="1"/>
  <c r="F1996" i="1"/>
  <c r="G1252" i="1"/>
  <c r="H1252" i="1"/>
  <c r="D1252" i="1"/>
  <c r="A1252" i="1"/>
  <c r="C1252" i="1"/>
  <c r="E1252" i="1"/>
  <c r="F1252" i="1"/>
  <c r="G3873" i="1"/>
  <c r="H3873" i="1"/>
  <c r="D3873" i="1"/>
  <c r="A3873" i="1"/>
  <c r="C3873" i="1"/>
  <c r="E3873" i="1"/>
  <c r="F3873" i="1"/>
  <c r="G386" i="1"/>
  <c r="H386" i="1"/>
  <c r="D386" i="1"/>
  <c r="A386" i="1"/>
  <c r="C386" i="1"/>
  <c r="E386" i="1"/>
  <c r="F386" i="1"/>
  <c r="G1287" i="1"/>
  <c r="H1287" i="1"/>
  <c r="D1287" i="1"/>
  <c r="A1287" i="1"/>
  <c r="C1287" i="1"/>
  <c r="E1287" i="1"/>
  <c r="F1287" i="1"/>
  <c r="G1590" i="1"/>
  <c r="H1590" i="1"/>
  <c r="D1590" i="1"/>
  <c r="A1590" i="1"/>
  <c r="C1590" i="1"/>
  <c r="E1590" i="1"/>
  <c r="F1590" i="1"/>
  <c r="G2415" i="1"/>
  <c r="H2415" i="1"/>
  <c r="D2415" i="1"/>
  <c r="A2415" i="1"/>
  <c r="C2415" i="1"/>
  <c r="E2415" i="1"/>
  <c r="F2415" i="1"/>
  <c r="G4482" i="1"/>
  <c r="H4482" i="1"/>
  <c r="D4482" i="1"/>
  <c r="A4482" i="1"/>
  <c r="C4482" i="1"/>
  <c r="E4482" i="1"/>
  <c r="F4482" i="1"/>
  <c r="G414" i="1"/>
  <c r="H414" i="1"/>
  <c r="D414" i="1"/>
  <c r="A414" i="1"/>
  <c r="C414" i="1"/>
  <c r="E414" i="1"/>
  <c r="F414" i="1"/>
  <c r="G886" i="1"/>
  <c r="H886" i="1"/>
  <c r="D886" i="1"/>
  <c r="A886" i="1"/>
  <c r="C886" i="1"/>
  <c r="E886" i="1"/>
  <c r="F886" i="1"/>
  <c r="G630" i="1"/>
  <c r="H630" i="1"/>
  <c r="D630" i="1"/>
  <c r="A630" i="1"/>
  <c r="C630" i="1"/>
  <c r="E630" i="1"/>
  <c r="F630" i="1"/>
  <c r="G996" i="1"/>
  <c r="H996" i="1"/>
  <c r="D996" i="1"/>
  <c r="A996" i="1"/>
  <c r="C996" i="1"/>
  <c r="E996" i="1"/>
  <c r="F996" i="1"/>
  <c r="G472" i="1"/>
  <c r="H472" i="1"/>
  <c r="D472" i="1"/>
  <c r="A472" i="1"/>
  <c r="C472" i="1"/>
  <c r="E472" i="1"/>
  <c r="F472" i="1"/>
  <c r="G3522" i="1"/>
  <c r="H3522" i="1"/>
  <c r="D3522" i="1"/>
  <c r="A3522" i="1"/>
  <c r="C3522" i="1"/>
  <c r="E3522" i="1"/>
  <c r="F3522" i="1"/>
  <c r="G4067" i="1"/>
  <c r="H4067" i="1"/>
  <c r="D4067" i="1"/>
  <c r="A4067" i="1"/>
  <c r="C4067" i="1"/>
  <c r="E4067" i="1"/>
  <c r="F4067" i="1"/>
  <c r="G1736" i="1"/>
  <c r="H1736" i="1"/>
  <c r="D1736" i="1"/>
  <c r="A1736" i="1"/>
  <c r="C1736" i="1"/>
  <c r="E1736" i="1"/>
  <c r="F1736" i="1"/>
  <c r="G4210" i="1"/>
  <c r="H4210" i="1"/>
  <c r="D4210" i="1"/>
  <c r="A4210" i="1"/>
  <c r="C4210" i="1"/>
  <c r="E4210" i="1"/>
  <c r="F4210" i="1"/>
  <c r="G4107" i="1"/>
  <c r="H4107" i="1"/>
  <c r="D4107" i="1"/>
  <c r="A4107" i="1"/>
  <c r="C4107" i="1"/>
  <c r="E4107" i="1"/>
  <c r="F4107" i="1"/>
  <c r="G463" i="1"/>
  <c r="H463" i="1"/>
  <c r="D463" i="1"/>
  <c r="A463" i="1"/>
  <c r="C463" i="1"/>
  <c r="E463" i="1"/>
  <c r="F463" i="1"/>
  <c r="G470" i="1"/>
  <c r="H470" i="1"/>
  <c r="D470" i="1"/>
  <c r="A470" i="1"/>
  <c r="C470" i="1"/>
  <c r="E470" i="1"/>
  <c r="F470" i="1"/>
  <c r="G778" i="1"/>
  <c r="H778" i="1"/>
  <c r="D778" i="1"/>
  <c r="A778" i="1"/>
  <c r="C778" i="1"/>
  <c r="E778" i="1"/>
  <c r="F778" i="1"/>
  <c r="G766" i="1"/>
  <c r="H766" i="1"/>
  <c r="D766" i="1"/>
  <c r="A766" i="1"/>
  <c r="C766" i="1"/>
  <c r="E766" i="1"/>
  <c r="F766" i="1"/>
  <c r="G986" i="1"/>
  <c r="H986" i="1"/>
  <c r="D986" i="1"/>
  <c r="A986" i="1"/>
  <c r="C986" i="1"/>
  <c r="E986" i="1"/>
  <c r="F986" i="1"/>
  <c r="G706" i="1"/>
  <c r="H706" i="1"/>
  <c r="D706" i="1"/>
  <c r="A706" i="1"/>
  <c r="C706" i="1"/>
  <c r="E706" i="1"/>
  <c r="F706" i="1"/>
  <c r="G2694" i="1"/>
  <c r="H2694" i="1"/>
  <c r="D2694" i="1"/>
  <c r="A2694" i="1"/>
  <c r="C2694" i="1"/>
  <c r="E2694" i="1"/>
  <c r="F2694" i="1"/>
  <c r="G3544" i="1"/>
  <c r="H3544" i="1"/>
  <c r="D3544" i="1"/>
  <c r="A3544" i="1"/>
  <c r="C3544" i="1"/>
  <c r="E3544" i="1"/>
  <c r="F3544" i="1"/>
  <c r="G2538" i="1"/>
  <c r="H2538" i="1"/>
  <c r="D2538" i="1"/>
  <c r="A2538" i="1"/>
  <c r="C2538" i="1"/>
  <c r="E2538" i="1"/>
  <c r="F2538" i="1"/>
  <c r="G622" i="1"/>
  <c r="H622" i="1"/>
  <c r="D622" i="1"/>
  <c r="A622" i="1"/>
  <c r="C622" i="1"/>
  <c r="E622" i="1"/>
  <c r="F622" i="1"/>
  <c r="G4276" i="1"/>
  <c r="H4276" i="1"/>
  <c r="D4276" i="1"/>
  <c r="A4276" i="1"/>
  <c r="C4276" i="1"/>
  <c r="E4276" i="1"/>
  <c r="F4276" i="1"/>
  <c r="G954" i="1"/>
  <c r="H954" i="1"/>
  <c r="D954" i="1"/>
  <c r="A954" i="1"/>
  <c r="C954" i="1"/>
  <c r="E954" i="1"/>
  <c r="F954" i="1"/>
  <c r="G999" i="1"/>
  <c r="H999" i="1"/>
  <c r="D999" i="1"/>
  <c r="A999" i="1"/>
  <c r="C999" i="1"/>
  <c r="E999" i="1"/>
  <c r="F999" i="1"/>
  <c r="G3592" i="1"/>
  <c r="H3592" i="1"/>
  <c r="D3592" i="1"/>
  <c r="A3592" i="1"/>
  <c r="C3592" i="1"/>
  <c r="E3592" i="1"/>
  <c r="F3592" i="1"/>
  <c r="G3596" i="1"/>
  <c r="H3596" i="1"/>
  <c r="D3596" i="1"/>
  <c r="A3596" i="1"/>
  <c r="C3596" i="1"/>
  <c r="E3596" i="1"/>
  <c r="F3596" i="1"/>
  <c r="G4428" i="1"/>
  <c r="H4428" i="1"/>
  <c r="D4428" i="1"/>
  <c r="A4428" i="1"/>
  <c r="C4428" i="1"/>
  <c r="E4428" i="1"/>
  <c r="F4428" i="1"/>
  <c r="G994" i="1"/>
  <c r="H994" i="1"/>
  <c r="D994" i="1"/>
  <c r="A994" i="1"/>
  <c r="C994" i="1"/>
  <c r="E994" i="1"/>
  <c r="F994" i="1"/>
  <c r="G1751" i="1"/>
  <c r="H1751" i="1"/>
  <c r="D1751" i="1"/>
  <c r="A1751" i="1"/>
  <c r="C1751" i="1"/>
  <c r="E1751" i="1"/>
  <c r="F1751" i="1"/>
  <c r="G297" i="1"/>
  <c r="H297" i="1"/>
  <c r="D297" i="1"/>
  <c r="A297" i="1"/>
  <c r="C297" i="1"/>
  <c r="E297" i="1"/>
  <c r="F297" i="1"/>
  <c r="G3329" i="1"/>
  <c r="H3329" i="1"/>
  <c r="D3329" i="1"/>
  <c r="A3329" i="1"/>
  <c r="C3329" i="1"/>
  <c r="E3329" i="1"/>
  <c r="F3329" i="1"/>
  <c r="G4320" i="1"/>
  <c r="H4320" i="1"/>
  <c r="D4320" i="1"/>
  <c r="A4320" i="1"/>
  <c r="C4320" i="1"/>
  <c r="E4320" i="1"/>
  <c r="F4320" i="1"/>
  <c r="G3325" i="1"/>
  <c r="H3325" i="1"/>
  <c r="D3325" i="1"/>
  <c r="A3325" i="1"/>
  <c r="C3325" i="1"/>
  <c r="E3325" i="1"/>
  <c r="F3325" i="1"/>
  <c r="G1039" i="1"/>
  <c r="H1039" i="1"/>
  <c r="D1039" i="1"/>
  <c r="A1039" i="1"/>
  <c r="C1039" i="1"/>
  <c r="E1039" i="1"/>
  <c r="F1039" i="1"/>
  <c r="G2391" i="1"/>
  <c r="H2391" i="1"/>
  <c r="D2391" i="1"/>
  <c r="A2391" i="1"/>
  <c r="C2391" i="1"/>
  <c r="E2391" i="1"/>
  <c r="F2391" i="1"/>
  <c r="G692" i="1"/>
  <c r="H692" i="1"/>
  <c r="D692" i="1"/>
  <c r="A692" i="1"/>
  <c r="C692" i="1"/>
  <c r="E692" i="1"/>
  <c r="F692" i="1"/>
  <c r="G3507" i="1"/>
  <c r="H3507" i="1"/>
  <c r="D3507" i="1"/>
  <c r="A3507" i="1"/>
  <c r="C3507" i="1"/>
  <c r="E3507" i="1"/>
  <c r="F3507" i="1"/>
  <c r="G1529" i="1"/>
  <c r="H1529" i="1"/>
  <c r="D1529" i="1"/>
  <c r="A1529" i="1"/>
  <c r="C1529" i="1"/>
  <c r="E1529" i="1"/>
  <c r="F1529" i="1"/>
  <c r="G4296" i="1"/>
  <c r="H4296" i="1"/>
  <c r="D4296" i="1"/>
  <c r="A4296" i="1"/>
  <c r="C4296" i="1"/>
  <c r="E4296" i="1"/>
  <c r="F4296" i="1"/>
  <c r="G3519" i="1"/>
  <c r="H3519" i="1"/>
  <c r="D3519" i="1"/>
  <c r="A3519" i="1"/>
  <c r="C3519" i="1"/>
  <c r="E3519" i="1"/>
  <c r="F3519" i="1"/>
  <c r="G3518" i="1"/>
  <c r="H3518" i="1"/>
  <c r="D3518" i="1"/>
  <c r="A3518" i="1"/>
  <c r="C3518" i="1"/>
  <c r="E3518" i="1"/>
  <c r="F3518" i="1"/>
  <c r="G5086" i="1"/>
  <c r="H5086" i="1"/>
  <c r="D5086" i="1"/>
  <c r="A5086" i="1"/>
  <c r="C5086" i="1"/>
  <c r="E5086" i="1"/>
  <c r="F5086" i="1"/>
  <c r="G4325" i="1"/>
  <c r="H4325" i="1"/>
  <c r="D4325" i="1"/>
  <c r="A4325" i="1"/>
  <c r="C4325" i="1"/>
  <c r="E4325" i="1"/>
  <c r="F4325" i="1"/>
  <c r="G3612" i="1"/>
  <c r="H3612" i="1"/>
  <c r="D3612" i="1"/>
  <c r="A3612" i="1"/>
  <c r="C3612" i="1"/>
  <c r="E3612" i="1"/>
  <c r="F3612" i="1"/>
  <c r="G3617" i="1"/>
  <c r="H3617" i="1"/>
  <c r="D3617" i="1"/>
  <c r="A3617" i="1"/>
  <c r="C3617" i="1"/>
  <c r="E3617" i="1"/>
  <c r="F3617" i="1"/>
  <c r="G1499" i="1"/>
  <c r="H1499" i="1"/>
  <c r="D1499" i="1"/>
  <c r="A1499" i="1"/>
  <c r="C1499" i="1"/>
  <c r="E1499" i="1"/>
  <c r="F1499" i="1"/>
  <c r="G1855" i="1"/>
  <c r="H1855" i="1"/>
  <c r="D1855" i="1"/>
  <c r="A1855" i="1"/>
  <c r="C1855" i="1"/>
  <c r="E1855" i="1"/>
  <c r="F1855" i="1"/>
  <c r="G490" i="1"/>
  <c r="H490" i="1"/>
  <c r="D490" i="1"/>
  <c r="A490" i="1"/>
  <c r="C490" i="1"/>
  <c r="E490" i="1"/>
  <c r="F490" i="1"/>
  <c r="G4537" i="1"/>
  <c r="H4537" i="1"/>
  <c r="D4537" i="1"/>
  <c r="A4537" i="1"/>
  <c r="C4537" i="1"/>
  <c r="E4537" i="1"/>
  <c r="F4537" i="1"/>
  <c r="G3024" i="1"/>
  <c r="H3024" i="1"/>
  <c r="D3024" i="1"/>
  <c r="A3024" i="1"/>
  <c r="C3024" i="1"/>
  <c r="E3024" i="1"/>
  <c r="F3024" i="1"/>
  <c r="G4822" i="1"/>
  <c r="H4822" i="1"/>
  <c r="D4822" i="1"/>
  <c r="A4822" i="1"/>
  <c r="C4822" i="1"/>
  <c r="E4822" i="1"/>
  <c r="F4822" i="1"/>
  <c r="G2223" i="1"/>
  <c r="H2223" i="1"/>
  <c r="D2223" i="1"/>
  <c r="A2223" i="1"/>
  <c r="C2223" i="1"/>
  <c r="E2223" i="1"/>
  <c r="F2223" i="1"/>
  <c r="G880" i="1"/>
  <c r="H880" i="1"/>
  <c r="D880" i="1"/>
  <c r="A880" i="1"/>
  <c r="C880" i="1"/>
  <c r="E880" i="1"/>
  <c r="F880" i="1"/>
  <c r="G3361" i="1"/>
  <c r="H3361" i="1"/>
  <c r="D3361" i="1"/>
  <c r="A3361" i="1"/>
  <c r="C3361" i="1"/>
  <c r="E3361" i="1"/>
  <c r="F3361" i="1"/>
  <c r="G946" i="1"/>
  <c r="H946" i="1"/>
  <c r="D946" i="1"/>
  <c r="A946" i="1"/>
  <c r="C946" i="1"/>
  <c r="E946" i="1"/>
  <c r="F946" i="1"/>
  <c r="G330" i="1"/>
  <c r="H330" i="1"/>
  <c r="D330" i="1"/>
  <c r="A330" i="1"/>
  <c r="C330" i="1"/>
  <c r="E330" i="1"/>
  <c r="F330" i="1"/>
  <c r="G3471" i="1"/>
  <c r="H3471" i="1"/>
  <c r="D3471" i="1"/>
  <c r="A3471" i="1"/>
  <c r="C3471" i="1"/>
  <c r="E3471" i="1"/>
  <c r="F3471" i="1"/>
  <c r="G1028" i="1"/>
  <c r="H1028" i="1"/>
  <c r="D1028" i="1"/>
  <c r="A1028" i="1"/>
  <c r="C1028" i="1"/>
  <c r="E1028" i="1"/>
  <c r="F1028" i="1"/>
  <c r="G1017" i="1"/>
  <c r="H1017" i="1"/>
  <c r="D1017" i="1"/>
  <c r="A1017" i="1"/>
  <c r="C1017" i="1"/>
  <c r="E1017" i="1"/>
  <c r="F1017" i="1"/>
  <c r="G907" i="1"/>
  <c r="H907" i="1"/>
  <c r="D907" i="1"/>
  <c r="A907" i="1"/>
  <c r="C907" i="1"/>
  <c r="E907" i="1"/>
  <c r="F907" i="1"/>
  <c r="G960" i="1"/>
  <c r="H960" i="1"/>
  <c r="D960" i="1"/>
  <c r="A960" i="1"/>
  <c r="C960" i="1"/>
  <c r="E960" i="1"/>
  <c r="F960" i="1"/>
  <c r="G1056" i="1"/>
  <c r="H1056" i="1"/>
  <c r="D1056" i="1"/>
  <c r="A1056" i="1"/>
  <c r="C1056" i="1"/>
  <c r="E1056" i="1"/>
  <c r="F1056" i="1"/>
  <c r="G4848" i="1"/>
  <c r="H4848" i="1"/>
  <c r="D4848" i="1"/>
  <c r="A4848" i="1"/>
  <c r="C4848" i="1"/>
  <c r="E4848" i="1"/>
  <c r="F4848" i="1"/>
  <c r="G1798" i="1"/>
  <c r="H1798" i="1"/>
  <c r="D1798" i="1"/>
  <c r="A1798" i="1"/>
  <c r="C1798" i="1"/>
  <c r="E1798" i="1"/>
  <c r="F1798" i="1"/>
  <c r="G2949" i="1"/>
  <c r="H2949" i="1"/>
  <c r="D2949" i="1"/>
  <c r="A2949" i="1"/>
  <c r="C2949" i="1"/>
  <c r="E2949" i="1"/>
  <c r="F2949" i="1"/>
  <c r="G410" i="1"/>
  <c r="H410" i="1"/>
  <c r="D410" i="1"/>
  <c r="A410" i="1"/>
  <c r="C410" i="1"/>
  <c r="E410" i="1"/>
  <c r="F410" i="1"/>
  <c r="G1238" i="1"/>
  <c r="H1238" i="1"/>
  <c r="D1238" i="1"/>
  <c r="A1238" i="1"/>
  <c r="C1238" i="1"/>
  <c r="E1238" i="1"/>
  <c r="F1238" i="1"/>
  <c r="G1104" i="1"/>
  <c r="H1104" i="1"/>
  <c r="D1104" i="1"/>
  <c r="A1104" i="1"/>
  <c r="C1104" i="1"/>
  <c r="E1104" i="1"/>
  <c r="F1104" i="1"/>
  <c r="G1954" i="1"/>
  <c r="H1954" i="1"/>
  <c r="D1954" i="1"/>
  <c r="A1954" i="1"/>
  <c r="C1954" i="1"/>
  <c r="E1954" i="1"/>
  <c r="F1954" i="1"/>
  <c r="G1237" i="1"/>
  <c r="H1237" i="1"/>
  <c r="D1237" i="1"/>
  <c r="A1237" i="1"/>
  <c r="C1237" i="1"/>
  <c r="E1237" i="1"/>
  <c r="F1237" i="1"/>
  <c r="G1296" i="1"/>
  <c r="H1296" i="1"/>
  <c r="D1296" i="1"/>
  <c r="A1296" i="1"/>
  <c r="C1296" i="1"/>
  <c r="E1296" i="1"/>
  <c r="F1296" i="1"/>
  <c r="G1152" i="1"/>
  <c r="H1152" i="1"/>
  <c r="D1152" i="1"/>
  <c r="A1152" i="1"/>
  <c r="C1152" i="1"/>
  <c r="E1152" i="1"/>
  <c r="F1152" i="1"/>
  <c r="G2104" i="1"/>
  <c r="H2104" i="1"/>
  <c r="D2104" i="1"/>
  <c r="A2104" i="1"/>
  <c r="C2104" i="1"/>
  <c r="E2104" i="1"/>
  <c r="F2104" i="1"/>
  <c r="G2161" i="1"/>
  <c r="H2161" i="1"/>
  <c r="D2161" i="1"/>
  <c r="A2161" i="1"/>
  <c r="C2161" i="1"/>
  <c r="E2161" i="1"/>
  <c r="F2161" i="1"/>
  <c r="G2181" i="1"/>
  <c r="H2181" i="1"/>
  <c r="D2181" i="1"/>
  <c r="A2181" i="1"/>
  <c r="C2181" i="1"/>
  <c r="E2181" i="1"/>
  <c r="F2181" i="1"/>
  <c r="G2130" i="1"/>
  <c r="H2130" i="1"/>
  <c r="D2130" i="1"/>
  <c r="A2130" i="1"/>
  <c r="C2130" i="1"/>
  <c r="E2130" i="1"/>
  <c r="F2130" i="1"/>
  <c r="G2168" i="1"/>
  <c r="H2168" i="1"/>
  <c r="D2168" i="1"/>
  <c r="A2168" i="1"/>
  <c r="C2168" i="1"/>
  <c r="E2168" i="1"/>
  <c r="F2168" i="1"/>
  <c r="G2575" i="1"/>
  <c r="H2575" i="1"/>
  <c r="D2575" i="1"/>
  <c r="A2575" i="1"/>
  <c r="C2575" i="1"/>
  <c r="E2575" i="1"/>
  <c r="F2575" i="1"/>
  <c r="G1671" i="1"/>
  <c r="H1671" i="1"/>
  <c r="D1671" i="1"/>
  <c r="A1671" i="1"/>
  <c r="C1671" i="1"/>
  <c r="E1671" i="1"/>
  <c r="F1671" i="1"/>
  <c r="G4714" i="1"/>
  <c r="H4714" i="1"/>
  <c r="D4714" i="1"/>
  <c r="A4714" i="1"/>
  <c r="C4714" i="1"/>
  <c r="E4714" i="1"/>
  <c r="F4714" i="1"/>
  <c r="G2189" i="1"/>
  <c r="H2189" i="1"/>
  <c r="D2189" i="1"/>
  <c r="A2189" i="1"/>
  <c r="C2189" i="1"/>
  <c r="E2189" i="1"/>
  <c r="F2189" i="1"/>
  <c r="G2609" i="1"/>
  <c r="H2609" i="1"/>
  <c r="D2609" i="1"/>
  <c r="A2609" i="1"/>
  <c r="C2609" i="1"/>
  <c r="E2609" i="1"/>
  <c r="F2609" i="1"/>
  <c r="G3434" i="1"/>
  <c r="H3434" i="1"/>
  <c r="D3434" i="1"/>
  <c r="A3434" i="1"/>
  <c r="C3434" i="1"/>
  <c r="E3434" i="1"/>
  <c r="F3434" i="1"/>
  <c r="G2121" i="1"/>
  <c r="H2121" i="1"/>
  <c r="D2121" i="1"/>
  <c r="A2121" i="1"/>
  <c r="C2121" i="1"/>
  <c r="E2121" i="1"/>
  <c r="F2121" i="1"/>
  <c r="G3579" i="1"/>
  <c r="H3579" i="1"/>
  <c r="D3579" i="1"/>
  <c r="A3579" i="1"/>
  <c r="C3579" i="1"/>
  <c r="E3579" i="1"/>
  <c r="F3579" i="1"/>
  <c r="G3581" i="1"/>
  <c r="H3581" i="1"/>
  <c r="D3581" i="1"/>
  <c r="A3581" i="1"/>
  <c r="C3581" i="1"/>
  <c r="E3581" i="1"/>
  <c r="F3581" i="1"/>
  <c r="G2145" i="1"/>
  <c r="H2145" i="1"/>
  <c r="D2145" i="1"/>
  <c r="A2145" i="1"/>
  <c r="C2145" i="1"/>
  <c r="E2145" i="1"/>
  <c r="F2145" i="1"/>
  <c r="G3424" i="1"/>
  <c r="H3424" i="1"/>
  <c r="D3424" i="1"/>
  <c r="A3424" i="1"/>
  <c r="C3424" i="1"/>
  <c r="E3424" i="1"/>
  <c r="F3424" i="1"/>
  <c r="G2825" i="1"/>
  <c r="H2825" i="1"/>
  <c r="D2825" i="1"/>
  <c r="A2825" i="1"/>
  <c r="C2825" i="1"/>
  <c r="E2825" i="1"/>
  <c r="F2825" i="1"/>
  <c r="G3277" i="1"/>
  <c r="H3277" i="1"/>
  <c r="D3277" i="1"/>
  <c r="A3277" i="1"/>
  <c r="C3277" i="1"/>
  <c r="E3277" i="1"/>
  <c r="F3277" i="1"/>
  <c r="G1677" i="1"/>
  <c r="H1677" i="1"/>
  <c r="D1677" i="1"/>
  <c r="A1677" i="1"/>
  <c r="C1677" i="1"/>
  <c r="E1677" i="1"/>
  <c r="F1677" i="1"/>
  <c r="G1685" i="1"/>
  <c r="H1685" i="1"/>
  <c r="D1685" i="1"/>
  <c r="A1685" i="1"/>
  <c r="C1685" i="1"/>
  <c r="E1685" i="1"/>
  <c r="F1685" i="1"/>
  <c r="G234" i="1"/>
  <c r="H234" i="1"/>
  <c r="D234" i="1"/>
  <c r="A234" i="1"/>
  <c r="C234" i="1"/>
  <c r="E234" i="1"/>
  <c r="F234" i="1"/>
  <c r="G1146" i="1"/>
  <c r="H1146" i="1"/>
  <c r="D1146" i="1"/>
  <c r="A1146" i="1"/>
  <c r="C1146" i="1"/>
  <c r="E1146" i="1"/>
  <c r="F1146" i="1"/>
  <c r="G1767" i="1"/>
  <c r="H1767" i="1"/>
  <c r="D1767" i="1"/>
  <c r="A1767" i="1"/>
  <c r="C1767" i="1"/>
  <c r="E1767" i="1"/>
  <c r="F1767" i="1"/>
  <c r="G4845" i="1"/>
  <c r="H4845" i="1"/>
  <c r="D4845" i="1"/>
  <c r="A4845" i="1"/>
  <c r="C4845" i="1"/>
  <c r="E4845" i="1"/>
  <c r="F4845" i="1"/>
  <c r="G2211" i="1"/>
  <c r="H2211" i="1"/>
  <c r="D2211" i="1"/>
  <c r="A2211" i="1"/>
  <c r="C2211" i="1"/>
  <c r="E2211" i="1"/>
  <c r="F2211" i="1"/>
  <c r="G2224" i="1"/>
  <c r="H2224" i="1"/>
  <c r="D2224" i="1"/>
  <c r="A2224" i="1"/>
  <c r="C2224" i="1"/>
  <c r="E2224" i="1"/>
  <c r="F2224" i="1"/>
  <c r="G255" i="1"/>
  <c r="H255" i="1"/>
  <c r="D255" i="1"/>
  <c r="A255" i="1"/>
  <c r="C255" i="1"/>
  <c r="E255" i="1"/>
  <c r="F255" i="1"/>
  <c r="G2155" i="1"/>
  <c r="H2155" i="1"/>
  <c r="D2155" i="1"/>
  <c r="A2155" i="1"/>
  <c r="C2155" i="1"/>
  <c r="E2155" i="1"/>
  <c r="F2155" i="1"/>
  <c r="G2643" i="1"/>
  <c r="H2643" i="1"/>
  <c r="D2643" i="1"/>
  <c r="A2643" i="1"/>
  <c r="C2643" i="1"/>
  <c r="E2643" i="1"/>
  <c r="F2643" i="1"/>
  <c r="G2227" i="1"/>
  <c r="H2227" i="1"/>
  <c r="D2227" i="1"/>
  <c r="A2227" i="1"/>
  <c r="C2227" i="1"/>
  <c r="E2227" i="1"/>
  <c r="F2227" i="1"/>
  <c r="G2127" i="1"/>
  <c r="H2127" i="1"/>
  <c r="D2127" i="1"/>
  <c r="A2127" i="1"/>
  <c r="C2127" i="1"/>
  <c r="E2127" i="1"/>
  <c r="F2127" i="1"/>
  <c r="G3297" i="1"/>
  <c r="H3297" i="1"/>
  <c r="D3297" i="1"/>
  <c r="A3297" i="1"/>
  <c r="C3297" i="1"/>
  <c r="E3297" i="1"/>
  <c r="F3297" i="1"/>
  <c r="G2207" i="1"/>
  <c r="H2207" i="1"/>
  <c r="D2207" i="1"/>
  <c r="A2207" i="1"/>
  <c r="C2207" i="1"/>
  <c r="E2207" i="1"/>
  <c r="F2207" i="1"/>
  <c r="G1806" i="1"/>
  <c r="H1806" i="1"/>
  <c r="D1806" i="1"/>
  <c r="A1806" i="1"/>
  <c r="C1806" i="1"/>
  <c r="E1806" i="1"/>
  <c r="F1806" i="1"/>
  <c r="G657" i="1"/>
  <c r="H657" i="1"/>
  <c r="D657" i="1"/>
  <c r="A657" i="1"/>
  <c r="C657" i="1"/>
  <c r="E657" i="1"/>
  <c r="F657" i="1"/>
  <c r="G5025" i="1"/>
  <c r="H5025" i="1"/>
  <c r="D5025" i="1"/>
  <c r="A5025" i="1"/>
  <c r="C5025" i="1"/>
  <c r="E5025" i="1"/>
  <c r="F5025" i="1"/>
  <c r="G3998" i="1"/>
  <c r="H3998" i="1"/>
  <c r="D3998" i="1"/>
  <c r="A3998" i="1"/>
  <c r="C3998" i="1"/>
  <c r="E3998" i="1"/>
  <c r="F3998" i="1"/>
  <c r="G3758" i="1"/>
  <c r="H3758" i="1"/>
  <c r="D3758" i="1"/>
  <c r="A3758" i="1"/>
  <c r="C3758" i="1"/>
  <c r="E3758" i="1"/>
  <c r="F3758" i="1"/>
  <c r="G1948" i="1"/>
  <c r="H1948" i="1"/>
  <c r="D1948" i="1"/>
  <c r="A1948" i="1"/>
  <c r="C1948" i="1"/>
  <c r="E1948" i="1"/>
  <c r="F1948" i="1"/>
  <c r="G3756" i="1"/>
  <c r="H3756" i="1"/>
  <c r="D3756" i="1"/>
  <c r="A3756" i="1"/>
  <c r="C3756" i="1"/>
  <c r="E3756" i="1"/>
  <c r="F3756" i="1"/>
  <c r="G3767" i="1"/>
  <c r="H3767" i="1"/>
  <c r="D3767" i="1"/>
  <c r="A3767" i="1"/>
  <c r="C3767" i="1"/>
  <c r="E3767" i="1"/>
  <c r="F3767" i="1"/>
  <c r="G3779" i="1"/>
  <c r="H3779" i="1"/>
  <c r="D3779" i="1"/>
  <c r="A3779" i="1"/>
  <c r="C3779" i="1"/>
  <c r="E3779" i="1"/>
  <c r="F3779" i="1"/>
  <c r="G3789" i="1"/>
  <c r="H3789" i="1"/>
  <c r="D3789" i="1"/>
  <c r="A3789" i="1"/>
  <c r="C3789" i="1"/>
  <c r="E3789" i="1"/>
  <c r="F3789" i="1"/>
  <c r="G1738" i="1"/>
  <c r="H1738" i="1"/>
  <c r="D1738" i="1"/>
  <c r="A1738" i="1"/>
  <c r="C1738" i="1"/>
  <c r="E1738" i="1"/>
  <c r="F1738" i="1"/>
  <c r="G1550" i="1"/>
  <c r="H1550" i="1"/>
  <c r="D1550" i="1"/>
  <c r="A1550" i="1"/>
  <c r="C1550" i="1"/>
  <c r="E1550" i="1"/>
  <c r="F1550" i="1"/>
  <c r="G2065" i="1"/>
  <c r="H2065" i="1"/>
  <c r="D2065" i="1"/>
  <c r="A2065" i="1"/>
  <c r="C2065" i="1"/>
  <c r="E2065" i="1"/>
  <c r="F2065" i="1"/>
  <c r="G4376" i="1"/>
  <c r="H4376" i="1"/>
  <c r="D4376" i="1"/>
  <c r="A4376" i="1"/>
  <c r="C4376" i="1"/>
  <c r="E4376" i="1"/>
  <c r="F4376" i="1"/>
  <c r="G1732" i="1"/>
  <c r="H1732" i="1"/>
  <c r="D1732" i="1"/>
  <c r="A1732" i="1"/>
  <c r="C1732" i="1"/>
  <c r="E1732" i="1"/>
  <c r="F1732" i="1"/>
  <c r="G4906" i="1"/>
  <c r="H4906" i="1"/>
  <c r="D4906" i="1"/>
  <c r="A4906" i="1"/>
  <c r="C4906" i="1"/>
  <c r="E4906" i="1"/>
  <c r="F4906" i="1"/>
  <c r="G365" i="1"/>
  <c r="H365" i="1"/>
  <c r="D365" i="1"/>
  <c r="A365" i="1"/>
  <c r="C365" i="1"/>
  <c r="E365" i="1"/>
  <c r="F365" i="1"/>
  <c r="G4213" i="1"/>
  <c r="H4213" i="1"/>
  <c r="D4213" i="1"/>
  <c r="A4213" i="1"/>
  <c r="C4213" i="1"/>
  <c r="E4213" i="1"/>
  <c r="F4213" i="1"/>
  <c r="G3634" i="1"/>
  <c r="H3634" i="1"/>
  <c r="D3634" i="1"/>
  <c r="A3634" i="1"/>
  <c r="C3634" i="1"/>
  <c r="E3634" i="1"/>
  <c r="F3634" i="1"/>
  <c r="G1125" i="1"/>
  <c r="H1125" i="1"/>
  <c r="D1125" i="1"/>
  <c r="A1125" i="1"/>
  <c r="C1125" i="1"/>
  <c r="E1125" i="1"/>
  <c r="F1125" i="1"/>
  <c r="G1041" i="1"/>
  <c r="H1041" i="1"/>
  <c r="D1041" i="1"/>
  <c r="A1041" i="1"/>
  <c r="C1041" i="1"/>
  <c r="E1041" i="1"/>
  <c r="F1041" i="1"/>
  <c r="G2859" i="1"/>
  <c r="H2859" i="1"/>
  <c r="D2859" i="1"/>
  <c r="A2859" i="1"/>
  <c r="C2859" i="1"/>
  <c r="E2859" i="1"/>
  <c r="F2859" i="1"/>
  <c r="G3710" i="1"/>
  <c r="H3710" i="1"/>
  <c r="D3710" i="1"/>
  <c r="A3710" i="1"/>
  <c r="C3710" i="1"/>
  <c r="E3710" i="1"/>
  <c r="F3710" i="1"/>
  <c r="G4513" i="1"/>
  <c r="H4513" i="1"/>
  <c r="D4513" i="1"/>
  <c r="A4513" i="1"/>
  <c r="C4513" i="1"/>
  <c r="E4513" i="1"/>
  <c r="F4513" i="1"/>
  <c r="G4546" i="1"/>
  <c r="H4546" i="1"/>
  <c r="D4546" i="1"/>
  <c r="A4546" i="1"/>
  <c r="C4546" i="1"/>
  <c r="E4546" i="1"/>
  <c r="F4546" i="1"/>
  <c r="G261" i="1"/>
  <c r="H261" i="1"/>
  <c r="D261" i="1"/>
  <c r="A261" i="1"/>
  <c r="C261" i="1"/>
  <c r="E261" i="1"/>
  <c r="F261" i="1"/>
  <c r="G2733" i="1"/>
  <c r="H2733" i="1"/>
  <c r="D2733" i="1"/>
  <c r="A2733" i="1"/>
  <c r="C2733" i="1"/>
  <c r="E2733" i="1"/>
  <c r="F2733" i="1"/>
  <c r="G2589" i="1"/>
  <c r="H2589" i="1"/>
  <c r="D2589" i="1"/>
  <c r="A2589" i="1"/>
  <c r="C2589" i="1"/>
  <c r="E2589" i="1"/>
  <c r="F2589" i="1"/>
  <c r="G3165" i="1"/>
  <c r="H3165" i="1"/>
  <c r="D3165" i="1"/>
  <c r="A3165" i="1"/>
  <c r="C3165" i="1"/>
  <c r="E3165" i="1"/>
  <c r="F3165" i="1"/>
  <c r="G4164" i="1"/>
  <c r="H4164" i="1"/>
  <c r="D4164" i="1"/>
  <c r="A4164" i="1"/>
  <c r="C4164" i="1"/>
  <c r="E4164" i="1"/>
  <c r="F4164" i="1"/>
  <c r="G3073" i="1"/>
  <c r="H3073" i="1"/>
  <c r="D3073" i="1"/>
  <c r="A3073" i="1"/>
  <c r="C3073" i="1"/>
  <c r="E3073" i="1"/>
  <c r="F3073" i="1"/>
  <c r="G4964" i="1"/>
  <c r="H4964" i="1"/>
  <c r="D4964" i="1"/>
  <c r="A4964" i="1"/>
  <c r="C4964" i="1"/>
  <c r="E4964" i="1"/>
  <c r="F4964" i="1"/>
  <c r="G2113" i="1"/>
  <c r="H2113" i="1"/>
  <c r="D2113" i="1"/>
  <c r="A2113" i="1"/>
  <c r="C2113" i="1"/>
  <c r="E2113" i="1"/>
  <c r="F2113" i="1"/>
  <c r="G1961" i="1"/>
  <c r="H1961" i="1"/>
  <c r="D1961" i="1"/>
  <c r="A1961" i="1"/>
  <c r="C1961" i="1"/>
  <c r="E1961" i="1"/>
  <c r="F1961" i="1"/>
  <c r="G3453" i="1"/>
  <c r="H3453" i="1"/>
  <c r="D3453" i="1"/>
  <c r="A3453" i="1"/>
  <c r="C3453" i="1"/>
  <c r="E3453" i="1"/>
  <c r="F3453" i="1"/>
  <c r="G2419" i="1"/>
  <c r="H2419" i="1"/>
  <c r="D2419" i="1"/>
  <c r="A2419" i="1"/>
  <c r="C2419" i="1"/>
  <c r="E2419" i="1"/>
  <c r="F2419" i="1"/>
  <c r="G1927" i="1"/>
  <c r="H1927" i="1"/>
  <c r="D1927" i="1"/>
  <c r="A1927" i="1"/>
  <c r="C1927" i="1"/>
  <c r="E1927" i="1"/>
  <c r="F1927" i="1"/>
  <c r="G627" i="1"/>
  <c r="H627" i="1"/>
  <c r="D627" i="1"/>
  <c r="A627" i="1"/>
  <c r="C627" i="1"/>
  <c r="E627" i="1"/>
  <c r="F627" i="1"/>
  <c r="G4575" i="1"/>
  <c r="H4575" i="1"/>
  <c r="D4575" i="1"/>
  <c r="A4575" i="1"/>
  <c r="C4575" i="1"/>
  <c r="E4575" i="1"/>
  <c r="F4575" i="1"/>
  <c r="G1073" i="1"/>
  <c r="H1073" i="1"/>
  <c r="D1073" i="1"/>
  <c r="A1073" i="1"/>
  <c r="C1073" i="1"/>
  <c r="E1073" i="1"/>
  <c r="F1073" i="1"/>
  <c r="G1172" i="1"/>
  <c r="H1172" i="1"/>
  <c r="D1172" i="1"/>
  <c r="A1172" i="1"/>
  <c r="C1172" i="1"/>
  <c r="E1172" i="1"/>
  <c r="F1172" i="1"/>
  <c r="G349" i="1"/>
  <c r="H349" i="1"/>
  <c r="D349" i="1"/>
  <c r="A349" i="1"/>
  <c r="C349" i="1"/>
  <c r="E349" i="1"/>
  <c r="F349" i="1"/>
  <c r="G4769" i="1"/>
  <c r="H4769" i="1"/>
  <c r="D4769" i="1"/>
  <c r="A4769" i="1"/>
  <c r="C4769" i="1"/>
  <c r="E4769" i="1"/>
  <c r="F4769" i="1"/>
  <c r="G1265" i="1"/>
  <c r="H1265" i="1"/>
  <c r="D1265" i="1"/>
  <c r="A1265" i="1"/>
  <c r="C1265" i="1"/>
  <c r="E1265" i="1"/>
  <c r="F1265" i="1"/>
  <c r="G1435" i="1"/>
  <c r="H1435" i="1"/>
  <c r="D1435" i="1"/>
  <c r="A1435" i="1"/>
  <c r="C1435" i="1"/>
  <c r="E1435" i="1"/>
  <c r="F1435" i="1"/>
  <c r="G3587" i="1"/>
  <c r="H3587" i="1"/>
  <c r="D3587" i="1"/>
  <c r="A3587" i="1"/>
  <c r="C3587" i="1"/>
  <c r="E3587" i="1"/>
  <c r="F3587" i="1"/>
  <c r="G2052" i="1"/>
  <c r="H2052" i="1"/>
  <c r="D2052" i="1"/>
  <c r="A2052" i="1"/>
  <c r="C2052" i="1"/>
  <c r="E2052" i="1"/>
  <c r="F2052" i="1"/>
  <c r="G828" i="1"/>
  <c r="H828" i="1"/>
  <c r="D828" i="1"/>
  <c r="A828" i="1"/>
  <c r="C828" i="1"/>
  <c r="E828" i="1"/>
  <c r="F828" i="1"/>
  <c r="G4978" i="1"/>
  <c r="H4978" i="1"/>
  <c r="D4978" i="1"/>
  <c r="A4978" i="1"/>
  <c r="C4978" i="1"/>
  <c r="E4978" i="1"/>
  <c r="F4978" i="1"/>
  <c r="G4262" i="1"/>
  <c r="H4262" i="1"/>
  <c r="D4262" i="1"/>
  <c r="A4262" i="1"/>
  <c r="C4262" i="1"/>
  <c r="E4262" i="1"/>
  <c r="F4262" i="1"/>
  <c r="G3125" i="1"/>
  <c r="H3125" i="1"/>
  <c r="D3125" i="1"/>
  <c r="A3125" i="1"/>
  <c r="C3125" i="1"/>
  <c r="E3125" i="1"/>
  <c r="F3125" i="1"/>
  <c r="G4594" i="1"/>
  <c r="H4594" i="1"/>
  <c r="D4594" i="1"/>
  <c r="A4594" i="1"/>
  <c r="C4594" i="1"/>
  <c r="E4594" i="1"/>
  <c r="F4594" i="1"/>
  <c r="G2887" i="1"/>
  <c r="H2887" i="1"/>
  <c r="D2887" i="1"/>
  <c r="A2887" i="1"/>
  <c r="C2887" i="1"/>
  <c r="E2887" i="1"/>
  <c r="F2887" i="1"/>
  <c r="G1232" i="1"/>
  <c r="H1232" i="1"/>
  <c r="D1232" i="1"/>
  <c r="A1232" i="1"/>
  <c r="C1232" i="1"/>
  <c r="E1232" i="1"/>
  <c r="F1232" i="1"/>
  <c r="G1313" i="1"/>
  <c r="H1313" i="1"/>
  <c r="D1313" i="1"/>
  <c r="A1313" i="1"/>
  <c r="C1313" i="1"/>
  <c r="E1313" i="1"/>
  <c r="F1313" i="1"/>
  <c r="G200" i="1"/>
  <c r="H200" i="1"/>
  <c r="D200" i="1"/>
  <c r="A200" i="1"/>
  <c r="C200" i="1"/>
  <c r="E200" i="1"/>
  <c r="F200" i="1"/>
  <c r="G3820" i="1"/>
  <c r="H3820" i="1"/>
  <c r="D3820" i="1"/>
  <c r="A3820" i="1"/>
  <c r="C3820" i="1"/>
  <c r="E3820" i="1"/>
  <c r="F3820" i="1"/>
  <c r="G2389" i="1"/>
  <c r="H2389" i="1"/>
  <c r="D2389" i="1"/>
  <c r="A2389" i="1"/>
  <c r="C2389" i="1"/>
  <c r="E2389" i="1"/>
  <c r="F2389" i="1"/>
  <c r="G1505" i="1"/>
  <c r="H1505" i="1"/>
  <c r="D1505" i="1"/>
  <c r="A1505" i="1"/>
  <c r="C1505" i="1"/>
  <c r="E1505" i="1"/>
  <c r="F1505" i="1"/>
  <c r="G4584" i="1"/>
  <c r="H4584" i="1"/>
  <c r="D4584" i="1"/>
  <c r="A4584" i="1"/>
  <c r="C4584" i="1"/>
  <c r="E4584" i="1"/>
  <c r="F4584" i="1"/>
  <c r="G4427" i="1"/>
  <c r="H4427" i="1"/>
  <c r="D4427" i="1"/>
  <c r="A4427" i="1"/>
  <c r="C4427" i="1"/>
  <c r="E4427" i="1"/>
  <c r="F4427" i="1"/>
  <c r="G4426" i="1"/>
  <c r="H4426" i="1"/>
  <c r="D4426" i="1"/>
  <c r="A4426" i="1"/>
  <c r="C4426" i="1"/>
  <c r="E4426" i="1"/>
  <c r="F4426" i="1"/>
  <c r="G4799" i="1"/>
  <c r="H4799" i="1"/>
  <c r="D4799" i="1"/>
  <c r="A4799" i="1"/>
  <c r="C4799" i="1"/>
  <c r="E4799" i="1"/>
  <c r="F4799" i="1"/>
  <c r="G4744" i="1"/>
  <c r="H4744" i="1"/>
  <c r="D4744" i="1"/>
  <c r="A4744" i="1"/>
  <c r="C4744" i="1"/>
  <c r="E4744" i="1"/>
  <c r="F4744" i="1"/>
  <c r="G3315" i="1"/>
  <c r="H3315" i="1"/>
  <c r="D3315" i="1"/>
  <c r="A3315" i="1"/>
  <c r="C3315" i="1"/>
  <c r="E3315" i="1"/>
  <c r="F3315" i="1"/>
  <c r="G2836" i="1"/>
  <c r="H2836" i="1"/>
  <c r="D2836" i="1"/>
  <c r="A2836" i="1"/>
  <c r="C2836" i="1"/>
  <c r="E2836" i="1"/>
  <c r="F2836" i="1"/>
  <c r="G3523" i="1"/>
  <c r="H3523" i="1"/>
  <c r="D3523" i="1"/>
  <c r="A3523" i="1"/>
  <c r="C3523" i="1"/>
  <c r="E3523" i="1"/>
  <c r="F3523" i="1"/>
  <c r="G2531" i="1"/>
  <c r="H2531" i="1"/>
  <c r="D2531" i="1"/>
  <c r="A2531" i="1"/>
  <c r="C2531" i="1"/>
  <c r="E2531" i="1"/>
  <c r="F2531" i="1"/>
  <c r="G979" i="1"/>
  <c r="H979" i="1"/>
  <c r="D979" i="1"/>
  <c r="A979" i="1"/>
  <c r="C979" i="1"/>
  <c r="E979" i="1"/>
  <c r="F979" i="1"/>
  <c r="G162" i="1"/>
  <c r="H162" i="1"/>
  <c r="D162" i="1"/>
  <c r="A162" i="1"/>
  <c r="C162" i="1"/>
  <c r="E162" i="1"/>
  <c r="F162" i="1"/>
  <c r="G1894" i="1"/>
  <c r="H1894" i="1"/>
  <c r="D1894" i="1"/>
  <c r="A1894" i="1"/>
  <c r="C1894" i="1"/>
  <c r="E1894" i="1"/>
  <c r="F1894" i="1"/>
  <c r="G1960" i="1"/>
  <c r="H1960" i="1"/>
  <c r="D1960" i="1"/>
  <c r="A1960" i="1"/>
  <c r="C1960" i="1"/>
  <c r="E1960" i="1"/>
  <c r="F1960" i="1"/>
  <c r="G3409" i="1"/>
  <c r="H3409" i="1"/>
  <c r="D3409" i="1"/>
  <c r="A3409" i="1"/>
  <c r="C3409" i="1"/>
  <c r="E3409" i="1"/>
  <c r="F3409" i="1"/>
  <c r="G1394" i="1"/>
  <c r="H1394" i="1"/>
  <c r="D1394" i="1"/>
  <c r="A1394" i="1"/>
  <c r="C1394" i="1"/>
  <c r="E1394" i="1"/>
  <c r="F1394" i="1"/>
  <c r="G4479" i="1"/>
  <c r="H4479" i="1"/>
  <c r="D4479" i="1"/>
  <c r="A4479" i="1"/>
  <c r="C4479" i="1"/>
  <c r="E4479" i="1"/>
  <c r="F4479" i="1"/>
  <c r="G2271" i="1"/>
  <c r="H2271" i="1"/>
  <c r="D2271" i="1"/>
  <c r="A2271" i="1"/>
  <c r="C2271" i="1"/>
  <c r="E2271" i="1"/>
  <c r="F2271" i="1"/>
  <c r="G2571" i="1"/>
  <c r="H2571" i="1"/>
  <c r="D2571" i="1"/>
  <c r="A2571" i="1"/>
  <c r="C2571" i="1"/>
  <c r="E2571" i="1"/>
  <c r="F2571" i="1"/>
  <c r="G1610" i="1"/>
  <c r="H1610" i="1"/>
  <c r="D1610" i="1"/>
  <c r="A1610" i="1"/>
  <c r="C1610" i="1"/>
  <c r="E1610" i="1"/>
  <c r="F1610" i="1"/>
  <c r="G711" i="1"/>
  <c r="H711" i="1"/>
  <c r="D711" i="1"/>
  <c r="A711" i="1"/>
  <c r="C711" i="1"/>
  <c r="E711" i="1"/>
  <c r="F711" i="1"/>
  <c r="G3971" i="1"/>
  <c r="H3971" i="1"/>
  <c r="D3971" i="1"/>
  <c r="A3971" i="1"/>
  <c r="C3971" i="1"/>
  <c r="E3971" i="1"/>
  <c r="F3971" i="1"/>
  <c r="G4952" i="1"/>
  <c r="H4952" i="1"/>
  <c r="D4952" i="1"/>
  <c r="A4952" i="1"/>
  <c r="C4952" i="1"/>
  <c r="E4952" i="1"/>
  <c r="F4952" i="1"/>
  <c r="G2255" i="1"/>
  <c r="H2255" i="1"/>
  <c r="D2255" i="1"/>
  <c r="A2255" i="1"/>
  <c r="C2255" i="1"/>
  <c r="E2255" i="1"/>
  <c r="F2255" i="1"/>
  <c r="G848" i="1"/>
  <c r="H848" i="1"/>
  <c r="D848" i="1"/>
  <c r="A848" i="1"/>
  <c r="C848" i="1"/>
  <c r="E848" i="1"/>
  <c r="F848" i="1"/>
  <c r="G3764" i="1"/>
  <c r="H3764" i="1"/>
  <c r="D3764" i="1"/>
  <c r="A3764" i="1"/>
  <c r="C3764" i="1"/>
  <c r="E3764" i="1"/>
  <c r="F3764" i="1"/>
  <c r="G3446" i="1"/>
  <c r="H3446" i="1"/>
  <c r="D3446" i="1"/>
  <c r="A3446" i="1"/>
  <c r="C3446" i="1"/>
  <c r="E3446" i="1"/>
  <c r="F3446" i="1"/>
  <c r="G149" i="1"/>
  <c r="H149" i="1"/>
  <c r="D149" i="1"/>
  <c r="A149" i="1"/>
  <c r="C149" i="1"/>
  <c r="E149" i="1"/>
  <c r="F149" i="1"/>
  <c r="G170" i="1"/>
  <c r="H170" i="1"/>
  <c r="D170" i="1"/>
  <c r="A170" i="1"/>
  <c r="C170" i="1"/>
  <c r="E170" i="1"/>
  <c r="F170" i="1"/>
  <c r="G3765" i="1"/>
  <c r="H3765" i="1"/>
  <c r="D3765" i="1"/>
  <c r="A3765" i="1"/>
  <c r="C3765" i="1"/>
  <c r="E3765" i="1"/>
  <c r="F3765" i="1"/>
  <c r="G3496" i="1"/>
  <c r="H3496" i="1"/>
  <c r="D3496" i="1"/>
  <c r="A3496" i="1"/>
  <c r="C3496" i="1"/>
  <c r="E3496" i="1"/>
  <c r="F3496" i="1"/>
  <c r="G1779" i="1"/>
  <c r="H1779" i="1"/>
  <c r="D1779" i="1"/>
  <c r="A1779" i="1"/>
  <c r="C1779" i="1"/>
  <c r="E1779" i="1"/>
  <c r="F1779" i="1"/>
  <c r="G1058" i="1"/>
  <c r="H1058" i="1"/>
  <c r="D1058" i="1"/>
  <c r="A1058" i="1"/>
  <c r="C1058" i="1"/>
  <c r="E1058" i="1"/>
  <c r="F1058" i="1"/>
  <c r="G3594" i="1"/>
  <c r="H3594" i="1"/>
  <c r="D3594" i="1"/>
  <c r="A3594" i="1"/>
  <c r="C3594" i="1"/>
  <c r="E3594" i="1"/>
  <c r="F3594" i="1"/>
  <c r="G1005" i="1"/>
  <c r="H1005" i="1"/>
  <c r="D1005" i="1"/>
  <c r="A1005" i="1"/>
  <c r="C1005" i="1"/>
  <c r="E1005" i="1"/>
  <c r="F1005" i="1"/>
  <c r="G1004" i="1"/>
  <c r="H1004" i="1"/>
  <c r="D1004" i="1"/>
  <c r="A1004" i="1"/>
  <c r="C1004" i="1"/>
  <c r="E1004" i="1"/>
  <c r="F1004" i="1"/>
  <c r="G2591" i="1"/>
  <c r="H2591" i="1"/>
  <c r="D2591" i="1"/>
  <c r="A2591" i="1"/>
  <c r="C2591" i="1"/>
  <c r="E2591" i="1"/>
  <c r="F2591" i="1"/>
  <c r="G3039" i="1"/>
  <c r="H3039" i="1"/>
  <c r="D3039" i="1"/>
  <c r="A3039" i="1"/>
  <c r="C3039" i="1"/>
  <c r="E3039" i="1"/>
  <c r="F3039" i="1"/>
  <c r="G4215" i="1"/>
  <c r="H4215" i="1"/>
  <c r="D4215" i="1"/>
  <c r="A4215" i="1"/>
  <c r="C4215" i="1"/>
  <c r="E4215" i="1"/>
  <c r="F4215" i="1"/>
  <c r="G4612" i="1"/>
  <c r="H4612" i="1"/>
  <c r="D4612" i="1"/>
  <c r="A4612" i="1"/>
  <c r="C4612" i="1"/>
  <c r="E4612" i="1"/>
  <c r="F4612" i="1"/>
  <c r="G5062" i="1"/>
  <c r="H5062" i="1"/>
  <c r="D5062" i="1"/>
  <c r="A5062" i="1"/>
  <c r="C5062" i="1"/>
  <c r="E5062" i="1"/>
  <c r="F5062" i="1"/>
  <c r="G2804" i="1"/>
  <c r="H2804" i="1"/>
  <c r="D2804" i="1"/>
  <c r="A2804" i="1"/>
  <c r="C2804" i="1"/>
  <c r="E2804" i="1"/>
  <c r="F2804" i="1"/>
  <c r="G187" i="1"/>
  <c r="H187" i="1"/>
  <c r="D187" i="1"/>
  <c r="A187" i="1"/>
  <c r="C187" i="1"/>
  <c r="E187" i="1"/>
  <c r="F187" i="1"/>
  <c r="G4239" i="1"/>
  <c r="H4239" i="1"/>
  <c r="D4239" i="1"/>
  <c r="A4239" i="1"/>
  <c r="C4239" i="1"/>
  <c r="E4239" i="1"/>
  <c r="F4239" i="1"/>
  <c r="G3047" i="1"/>
  <c r="H3047" i="1"/>
  <c r="D3047" i="1"/>
  <c r="A3047" i="1"/>
  <c r="C3047" i="1"/>
  <c r="E3047" i="1"/>
  <c r="F3047" i="1"/>
  <c r="G3046" i="1"/>
  <c r="H3046" i="1"/>
  <c r="D3046" i="1"/>
  <c r="A3046" i="1"/>
  <c r="C3046" i="1"/>
  <c r="E3046" i="1"/>
  <c r="F3046" i="1"/>
  <c r="G1263" i="1"/>
  <c r="H1263" i="1"/>
  <c r="D1263" i="1"/>
  <c r="A1263" i="1"/>
  <c r="C1263" i="1"/>
  <c r="E1263" i="1"/>
  <c r="F1263" i="1"/>
  <c r="G1226" i="1"/>
  <c r="H1226" i="1"/>
  <c r="D1226" i="1"/>
  <c r="A1226" i="1"/>
  <c r="C1226" i="1"/>
  <c r="E1226" i="1"/>
  <c r="F1226" i="1"/>
  <c r="G3532" i="1"/>
  <c r="H3532" i="1"/>
  <c r="D3532" i="1"/>
  <c r="A3532" i="1"/>
  <c r="C3532" i="1"/>
  <c r="E3532" i="1"/>
  <c r="F3532" i="1"/>
  <c r="G3455" i="1"/>
  <c r="H3455" i="1"/>
  <c r="D3455" i="1"/>
  <c r="A3455" i="1"/>
  <c r="C3455" i="1"/>
  <c r="E3455" i="1"/>
  <c r="F3455" i="1"/>
  <c r="G3124" i="1"/>
  <c r="H3124" i="1"/>
  <c r="D3124" i="1"/>
  <c r="A3124" i="1"/>
  <c r="C3124" i="1"/>
  <c r="E3124" i="1"/>
  <c r="F3124" i="1"/>
  <c r="G29" i="1"/>
  <c r="H29" i="1"/>
  <c r="D29" i="1"/>
  <c r="A29" i="1"/>
  <c r="C29" i="1"/>
  <c r="E29" i="1"/>
  <c r="F29" i="1"/>
  <c r="G2898" i="1"/>
  <c r="H2898" i="1"/>
  <c r="D2898" i="1"/>
  <c r="A2898" i="1"/>
  <c r="C2898" i="1"/>
  <c r="E2898" i="1"/>
  <c r="F2898" i="1"/>
  <c r="G855" i="1"/>
  <c r="H855" i="1"/>
  <c r="D855" i="1"/>
  <c r="A855" i="1"/>
  <c r="C855" i="1"/>
  <c r="E855" i="1"/>
  <c r="F855" i="1"/>
  <c r="G2701" i="1"/>
  <c r="H2701" i="1"/>
  <c r="D2701" i="1"/>
  <c r="A2701" i="1"/>
  <c r="C2701" i="1"/>
  <c r="E2701" i="1"/>
  <c r="F2701" i="1"/>
  <c r="G89" i="1"/>
  <c r="H89" i="1"/>
  <c r="D89" i="1"/>
  <c r="A89" i="1"/>
  <c r="C89" i="1"/>
  <c r="E89" i="1"/>
  <c r="F89" i="1"/>
  <c r="G4576" i="1"/>
  <c r="H4576" i="1"/>
  <c r="D4576" i="1"/>
  <c r="A4576" i="1"/>
  <c r="C4576" i="1"/>
  <c r="E4576" i="1"/>
  <c r="F4576" i="1"/>
  <c r="G1248" i="1"/>
  <c r="H1248" i="1"/>
  <c r="D1248" i="1"/>
  <c r="A1248" i="1"/>
  <c r="C1248" i="1"/>
  <c r="E1248" i="1"/>
  <c r="F1248" i="1"/>
  <c r="G147" i="1"/>
  <c r="H147" i="1"/>
  <c r="D147" i="1"/>
  <c r="A147" i="1"/>
  <c r="C147" i="1"/>
  <c r="E147" i="1"/>
  <c r="F147" i="1"/>
  <c r="G1478" i="1"/>
  <c r="H1478" i="1"/>
  <c r="D1478" i="1"/>
  <c r="A1478" i="1"/>
  <c r="C1478" i="1"/>
  <c r="E1478" i="1"/>
  <c r="F1478" i="1"/>
  <c r="G5053" i="1"/>
  <c r="H5053" i="1"/>
  <c r="D5053" i="1"/>
  <c r="A5053" i="1"/>
  <c r="C5053" i="1"/>
  <c r="E5053" i="1"/>
  <c r="F5053" i="1"/>
  <c r="G1112" i="1"/>
  <c r="H1112" i="1"/>
  <c r="D1112" i="1"/>
  <c r="A1112" i="1"/>
  <c r="C1112" i="1"/>
  <c r="E1112" i="1"/>
  <c r="F1112" i="1"/>
  <c r="G2582" i="1"/>
  <c r="H2582" i="1"/>
  <c r="D2582" i="1"/>
  <c r="A2582" i="1"/>
  <c r="C2582" i="1"/>
  <c r="E2582" i="1"/>
  <c r="F2582" i="1"/>
  <c r="G3689" i="1"/>
  <c r="H3689" i="1"/>
  <c r="D3689" i="1"/>
  <c r="A3689" i="1"/>
  <c r="C3689" i="1"/>
  <c r="E3689" i="1"/>
  <c r="F3689" i="1"/>
  <c r="G2702" i="1"/>
  <c r="H2702" i="1"/>
  <c r="D2702" i="1"/>
  <c r="A2702" i="1"/>
  <c r="C2702" i="1"/>
  <c r="E2702" i="1"/>
  <c r="F2702" i="1"/>
  <c r="G544" i="1"/>
  <c r="H544" i="1"/>
  <c r="D544" i="1"/>
  <c r="A544" i="1"/>
  <c r="C544" i="1"/>
  <c r="E544" i="1"/>
  <c r="F544" i="1"/>
  <c r="G2474" i="1"/>
  <c r="H2474" i="1"/>
  <c r="D2474" i="1"/>
  <c r="A2474" i="1"/>
  <c r="C2474" i="1"/>
  <c r="E2474" i="1"/>
  <c r="F2474" i="1"/>
  <c r="G2446" i="1"/>
  <c r="H2446" i="1"/>
  <c r="D2446" i="1"/>
  <c r="A2446" i="1"/>
  <c r="C2446" i="1"/>
  <c r="E2446" i="1"/>
  <c r="F2446" i="1"/>
  <c r="G2107" i="1"/>
  <c r="H2107" i="1"/>
  <c r="D2107" i="1"/>
  <c r="A2107" i="1"/>
  <c r="C2107" i="1"/>
  <c r="E2107" i="1"/>
  <c r="F2107" i="1"/>
  <c r="G2551" i="1"/>
  <c r="H2551" i="1"/>
  <c r="D2551" i="1"/>
  <c r="A2551" i="1"/>
  <c r="C2551" i="1"/>
  <c r="E2551" i="1"/>
  <c r="F2551" i="1"/>
  <c r="G1087" i="1"/>
  <c r="H1087" i="1"/>
  <c r="D1087" i="1"/>
  <c r="A1087" i="1"/>
  <c r="C1087" i="1"/>
  <c r="E1087" i="1"/>
  <c r="F1087" i="1"/>
  <c r="G709" i="1"/>
  <c r="H709" i="1"/>
  <c r="D709" i="1"/>
  <c r="A709" i="1"/>
  <c r="C709" i="1"/>
  <c r="E709" i="1"/>
  <c r="F709" i="1"/>
  <c r="G174" i="1"/>
  <c r="H174" i="1"/>
  <c r="D174" i="1"/>
  <c r="A174" i="1"/>
  <c r="C174" i="1"/>
  <c r="E174" i="1"/>
  <c r="F174" i="1"/>
  <c r="G175" i="1"/>
  <c r="H175" i="1"/>
  <c r="D175" i="1"/>
  <c r="A175" i="1"/>
  <c r="C175" i="1"/>
  <c r="E175" i="1"/>
  <c r="F175" i="1"/>
  <c r="G2585" i="1"/>
  <c r="H2585" i="1"/>
  <c r="D2585" i="1"/>
  <c r="A2585" i="1"/>
  <c r="C2585" i="1"/>
  <c r="E2585" i="1"/>
  <c r="F2585" i="1"/>
  <c r="G3595" i="1"/>
  <c r="H3595" i="1"/>
  <c r="D3595" i="1"/>
  <c r="A3595" i="1"/>
  <c r="C3595" i="1"/>
  <c r="E3595" i="1"/>
  <c r="F3595" i="1"/>
  <c r="G3620" i="1"/>
  <c r="H3620" i="1"/>
  <c r="D3620" i="1"/>
  <c r="A3620" i="1"/>
  <c r="C3620" i="1"/>
  <c r="E3620" i="1"/>
  <c r="F3620" i="1"/>
  <c r="G4443" i="1"/>
  <c r="H4443" i="1"/>
  <c r="D4443" i="1"/>
  <c r="A4443" i="1"/>
  <c r="C4443" i="1"/>
  <c r="E4443" i="1"/>
  <c r="F4443" i="1"/>
  <c r="G3585" i="1"/>
  <c r="H3585" i="1"/>
  <c r="D3585" i="1"/>
  <c r="A3585" i="1"/>
  <c r="C3585" i="1"/>
  <c r="E3585" i="1"/>
  <c r="F3585" i="1"/>
  <c r="G2487" i="1"/>
  <c r="H2487" i="1"/>
  <c r="D2487" i="1"/>
  <c r="A2487" i="1"/>
  <c r="C2487" i="1"/>
  <c r="E2487" i="1"/>
  <c r="F2487" i="1"/>
  <c r="G2433" i="1"/>
  <c r="H2433" i="1"/>
  <c r="D2433" i="1"/>
  <c r="A2433" i="1"/>
  <c r="C2433" i="1"/>
  <c r="E2433" i="1"/>
  <c r="F2433" i="1"/>
  <c r="G2447" i="1"/>
  <c r="H2447" i="1"/>
  <c r="D2447" i="1"/>
  <c r="A2447" i="1"/>
  <c r="C2447" i="1"/>
  <c r="E2447" i="1"/>
  <c r="F2447" i="1"/>
  <c r="G2492" i="1"/>
  <c r="H2492" i="1"/>
  <c r="D2492" i="1"/>
  <c r="A2492" i="1"/>
  <c r="C2492" i="1"/>
  <c r="E2492" i="1"/>
  <c r="F2492" i="1"/>
  <c r="G2486" i="1"/>
  <c r="H2486" i="1"/>
  <c r="D2486" i="1"/>
  <c r="A2486" i="1"/>
  <c r="C2486" i="1"/>
  <c r="E2486" i="1"/>
  <c r="F2486" i="1"/>
  <c r="G2964" i="1"/>
  <c r="H2964" i="1"/>
  <c r="D2964" i="1"/>
  <c r="A2964" i="1"/>
  <c r="C2964" i="1"/>
  <c r="E2964" i="1"/>
  <c r="F2964" i="1"/>
  <c r="G2476" i="1"/>
  <c r="H2476" i="1"/>
  <c r="D2476" i="1"/>
  <c r="A2476" i="1"/>
  <c r="C2476" i="1"/>
  <c r="E2476" i="1"/>
  <c r="F2476" i="1"/>
  <c r="G2503" i="1"/>
  <c r="H2503" i="1"/>
  <c r="D2503" i="1"/>
  <c r="A2503" i="1"/>
  <c r="C2503" i="1"/>
  <c r="E2503" i="1"/>
  <c r="F2503" i="1"/>
  <c r="G2529" i="1"/>
  <c r="H2529" i="1"/>
  <c r="D2529" i="1"/>
  <c r="A2529" i="1"/>
  <c r="C2529" i="1"/>
  <c r="E2529" i="1"/>
  <c r="F2529" i="1"/>
  <c r="G2449" i="1"/>
  <c r="H2449" i="1"/>
  <c r="D2449" i="1"/>
  <c r="A2449" i="1"/>
  <c r="C2449" i="1"/>
  <c r="E2449" i="1"/>
  <c r="F2449" i="1"/>
  <c r="G2466" i="1"/>
  <c r="H2466" i="1"/>
  <c r="D2466" i="1"/>
  <c r="A2466" i="1"/>
  <c r="C2466" i="1"/>
  <c r="E2466" i="1"/>
  <c r="F2466" i="1"/>
  <c r="G2473" i="1"/>
  <c r="H2473" i="1"/>
  <c r="D2473" i="1"/>
  <c r="A2473" i="1"/>
  <c r="C2473" i="1"/>
  <c r="E2473" i="1"/>
  <c r="F2473" i="1"/>
  <c r="G2478" i="1"/>
  <c r="H2478" i="1"/>
  <c r="D2478" i="1"/>
  <c r="A2478" i="1"/>
  <c r="C2478" i="1"/>
  <c r="E2478" i="1"/>
  <c r="F2478" i="1"/>
  <c r="G2489" i="1"/>
  <c r="H2489" i="1"/>
  <c r="D2489" i="1"/>
  <c r="A2489" i="1"/>
  <c r="C2489" i="1"/>
  <c r="E2489" i="1"/>
  <c r="F2489" i="1"/>
  <c r="G2496" i="1"/>
  <c r="H2496" i="1"/>
  <c r="D2496" i="1"/>
  <c r="A2496" i="1"/>
  <c r="C2496" i="1"/>
  <c r="E2496" i="1"/>
  <c r="F2496" i="1"/>
  <c r="G2498" i="1"/>
  <c r="H2498" i="1"/>
  <c r="D2498" i="1"/>
  <c r="A2498" i="1"/>
  <c r="C2498" i="1"/>
  <c r="E2498" i="1"/>
  <c r="F2498" i="1"/>
  <c r="G2500" i="1"/>
  <c r="H2500" i="1"/>
  <c r="D2500" i="1"/>
  <c r="A2500" i="1"/>
  <c r="C2500" i="1"/>
  <c r="E2500" i="1"/>
  <c r="F2500" i="1"/>
  <c r="G2518" i="1"/>
  <c r="H2518" i="1"/>
  <c r="D2518" i="1"/>
  <c r="A2518" i="1"/>
  <c r="C2518" i="1"/>
  <c r="E2518" i="1"/>
  <c r="F2518" i="1"/>
  <c r="G2519" i="1"/>
  <c r="H2519" i="1"/>
  <c r="D2519" i="1"/>
  <c r="A2519" i="1"/>
  <c r="C2519" i="1"/>
  <c r="E2519" i="1"/>
  <c r="F2519" i="1"/>
  <c r="G2434" i="1"/>
  <c r="H2434" i="1"/>
  <c r="D2434" i="1"/>
  <c r="A2434" i="1"/>
  <c r="C2434" i="1"/>
  <c r="E2434" i="1"/>
  <c r="F2434" i="1"/>
  <c r="G252" i="1"/>
  <c r="H252" i="1"/>
  <c r="D252" i="1"/>
  <c r="A252" i="1"/>
  <c r="C252" i="1"/>
  <c r="E252" i="1"/>
  <c r="F252" i="1"/>
  <c r="G1683" i="1"/>
  <c r="H1683" i="1"/>
  <c r="D1683" i="1"/>
  <c r="A1683" i="1"/>
  <c r="C1683" i="1"/>
  <c r="E1683" i="1"/>
  <c r="F1683" i="1"/>
  <c r="G2450" i="1"/>
  <c r="H2450" i="1"/>
  <c r="D2450" i="1"/>
  <c r="A2450" i="1"/>
  <c r="C2450" i="1"/>
  <c r="E2450" i="1"/>
  <c r="F2450" i="1"/>
  <c r="G4144" i="1"/>
  <c r="H4144" i="1"/>
  <c r="D4144" i="1"/>
  <c r="A4144" i="1"/>
  <c r="C4144" i="1"/>
  <c r="E4144" i="1"/>
  <c r="F4144" i="1"/>
  <c r="G4145" i="1"/>
  <c r="H4145" i="1"/>
  <c r="D4145" i="1"/>
  <c r="A4145" i="1"/>
  <c r="C4145" i="1"/>
  <c r="E4145" i="1"/>
  <c r="F4145" i="1"/>
  <c r="G4561" i="1"/>
  <c r="H4561" i="1"/>
  <c r="D4561" i="1"/>
  <c r="A4561" i="1"/>
  <c r="C4561" i="1"/>
  <c r="E4561" i="1"/>
  <c r="F4561" i="1"/>
  <c r="G2513" i="1"/>
  <c r="H2513" i="1"/>
  <c r="D2513" i="1"/>
  <c r="A2513" i="1"/>
  <c r="C2513" i="1"/>
  <c r="E2513" i="1"/>
  <c r="F2513" i="1"/>
  <c r="G2424" i="1"/>
  <c r="H2424" i="1"/>
  <c r="D2424" i="1"/>
  <c r="A2424" i="1"/>
  <c r="C2424" i="1"/>
  <c r="E2424" i="1"/>
  <c r="F2424" i="1"/>
  <c r="G2425" i="1"/>
  <c r="H2425" i="1"/>
  <c r="D2425" i="1"/>
  <c r="A2425" i="1"/>
  <c r="C2425" i="1"/>
  <c r="E2425" i="1"/>
  <c r="F2425" i="1"/>
  <c r="G2464" i="1"/>
  <c r="H2464" i="1"/>
  <c r="D2464" i="1"/>
  <c r="A2464" i="1"/>
  <c r="C2464" i="1"/>
  <c r="E2464" i="1"/>
  <c r="F2464" i="1"/>
  <c r="G2475" i="1"/>
  <c r="H2475" i="1"/>
  <c r="D2475" i="1"/>
  <c r="A2475" i="1"/>
  <c r="C2475" i="1"/>
  <c r="E2475" i="1"/>
  <c r="F2475" i="1"/>
  <c r="G2524" i="1"/>
  <c r="H2524" i="1"/>
  <c r="D2524" i="1"/>
  <c r="A2524" i="1"/>
  <c r="C2524" i="1"/>
  <c r="E2524" i="1"/>
  <c r="F2524" i="1"/>
  <c r="G2525" i="1"/>
  <c r="H2525" i="1"/>
  <c r="D2525" i="1"/>
  <c r="A2525" i="1"/>
  <c r="C2525" i="1"/>
  <c r="E2525" i="1"/>
  <c r="F2525" i="1"/>
  <c r="G4562" i="1"/>
  <c r="H4562" i="1"/>
  <c r="D4562" i="1"/>
  <c r="A4562" i="1"/>
  <c r="C4562" i="1"/>
  <c r="E4562" i="1"/>
  <c r="F4562" i="1"/>
  <c r="G2448" i="1"/>
  <c r="H2448" i="1"/>
  <c r="D2448" i="1"/>
  <c r="A2448" i="1"/>
  <c r="C2448" i="1"/>
  <c r="E2448" i="1"/>
  <c r="F2448" i="1"/>
  <c r="G4311" i="1"/>
  <c r="H4311" i="1"/>
  <c r="D4311" i="1"/>
  <c r="A4311" i="1"/>
  <c r="C4311" i="1"/>
  <c r="E4311" i="1"/>
  <c r="F4311" i="1"/>
  <c r="G2532" i="1"/>
  <c r="H2532" i="1"/>
  <c r="D2532" i="1"/>
  <c r="A2532" i="1"/>
  <c r="C2532" i="1"/>
  <c r="E2532" i="1"/>
  <c r="F2532" i="1"/>
  <c r="G2451" i="1"/>
  <c r="H2451" i="1"/>
  <c r="D2451" i="1"/>
  <c r="A2451" i="1"/>
  <c r="C2451" i="1"/>
  <c r="E2451" i="1"/>
  <c r="F2451" i="1"/>
  <c r="G2452" i="1"/>
  <c r="H2452" i="1"/>
  <c r="D2452" i="1"/>
  <c r="A2452" i="1"/>
  <c r="C2452" i="1"/>
  <c r="E2452" i="1"/>
  <c r="F2452" i="1"/>
  <c r="G2454" i="1"/>
  <c r="H2454" i="1"/>
  <c r="D2454" i="1"/>
  <c r="A2454" i="1"/>
  <c r="C2454" i="1"/>
  <c r="E2454" i="1"/>
  <c r="F2454" i="1"/>
  <c r="G2429" i="1"/>
  <c r="H2429" i="1"/>
  <c r="D2429" i="1"/>
  <c r="A2429" i="1"/>
  <c r="C2429" i="1"/>
  <c r="E2429" i="1"/>
  <c r="F2429" i="1"/>
  <c r="G2435" i="1"/>
  <c r="H2435" i="1"/>
  <c r="D2435" i="1"/>
  <c r="A2435" i="1"/>
  <c r="C2435" i="1"/>
  <c r="E2435" i="1"/>
  <c r="F2435" i="1"/>
  <c r="G2455" i="1"/>
  <c r="H2455" i="1"/>
  <c r="D2455" i="1"/>
  <c r="A2455" i="1"/>
  <c r="C2455" i="1"/>
  <c r="E2455" i="1"/>
  <c r="F2455" i="1"/>
  <c r="G2436" i="1"/>
  <c r="H2436" i="1"/>
  <c r="D2436" i="1"/>
  <c r="A2436" i="1"/>
  <c r="C2436" i="1"/>
  <c r="E2436" i="1"/>
  <c r="F2436" i="1"/>
  <c r="G2437" i="1"/>
  <c r="H2437" i="1"/>
  <c r="D2437" i="1"/>
  <c r="A2437" i="1"/>
  <c r="C2437" i="1"/>
  <c r="E2437" i="1"/>
  <c r="F2437" i="1"/>
  <c r="G2438" i="1"/>
  <c r="H2438" i="1"/>
  <c r="D2438" i="1"/>
  <c r="A2438" i="1"/>
  <c r="C2438" i="1"/>
  <c r="E2438" i="1"/>
  <c r="F2438" i="1"/>
  <c r="G2457" i="1"/>
  <c r="H2457" i="1"/>
  <c r="D2457" i="1"/>
  <c r="A2457" i="1"/>
  <c r="C2457" i="1"/>
  <c r="E2457" i="1"/>
  <c r="F2457" i="1"/>
  <c r="G2441" i="1"/>
  <c r="H2441" i="1"/>
  <c r="D2441" i="1"/>
  <c r="A2441" i="1"/>
  <c r="C2441" i="1"/>
  <c r="E2441" i="1"/>
  <c r="F2441" i="1"/>
  <c r="G2442" i="1"/>
  <c r="H2442" i="1"/>
  <c r="D2442" i="1"/>
  <c r="A2442" i="1"/>
  <c r="C2442" i="1"/>
  <c r="E2442" i="1"/>
  <c r="F2442" i="1"/>
  <c r="G2458" i="1"/>
  <c r="H2458" i="1"/>
  <c r="D2458" i="1"/>
  <c r="A2458" i="1"/>
  <c r="C2458" i="1"/>
  <c r="E2458" i="1"/>
  <c r="F2458" i="1"/>
  <c r="G2444" i="1"/>
  <c r="H2444" i="1"/>
  <c r="D2444" i="1"/>
  <c r="A2444" i="1"/>
  <c r="C2444" i="1"/>
  <c r="E2444" i="1"/>
  <c r="F2444" i="1"/>
  <c r="G2445" i="1"/>
  <c r="H2445" i="1"/>
  <c r="D2445" i="1"/>
  <c r="A2445" i="1"/>
  <c r="C2445" i="1"/>
  <c r="E2445" i="1"/>
  <c r="F2445" i="1"/>
  <c r="G2463" i="1"/>
  <c r="H2463" i="1"/>
  <c r="D2463" i="1"/>
  <c r="A2463" i="1"/>
  <c r="C2463" i="1"/>
  <c r="E2463" i="1"/>
  <c r="F2463" i="1"/>
  <c r="G2652" i="1"/>
  <c r="H2652" i="1"/>
  <c r="D2652" i="1"/>
  <c r="A2652" i="1"/>
  <c r="C2652" i="1"/>
  <c r="E2652" i="1"/>
  <c r="F2652" i="1"/>
  <c r="G2465" i="1"/>
  <c r="H2465" i="1"/>
  <c r="D2465" i="1"/>
  <c r="A2465" i="1"/>
  <c r="C2465" i="1"/>
  <c r="E2465" i="1"/>
  <c r="F2465" i="1"/>
  <c r="G2470" i="1"/>
  <c r="H2470" i="1"/>
  <c r="D2470" i="1"/>
  <c r="A2470" i="1"/>
  <c r="C2470" i="1"/>
  <c r="E2470" i="1"/>
  <c r="F2470" i="1"/>
  <c r="G2472" i="1"/>
  <c r="H2472" i="1"/>
  <c r="D2472" i="1"/>
  <c r="A2472" i="1"/>
  <c r="C2472" i="1"/>
  <c r="E2472" i="1"/>
  <c r="F2472" i="1"/>
  <c r="G2502" i="1"/>
  <c r="H2502" i="1"/>
  <c r="D2502" i="1"/>
  <c r="A2502" i="1"/>
  <c r="C2502" i="1"/>
  <c r="E2502" i="1"/>
  <c r="F2502" i="1"/>
  <c r="G2422" i="1"/>
  <c r="H2422" i="1"/>
  <c r="D2422" i="1"/>
  <c r="A2422" i="1"/>
  <c r="C2422" i="1"/>
  <c r="E2422" i="1"/>
  <c r="F2422" i="1"/>
  <c r="G3712" i="1"/>
  <c r="H3712" i="1"/>
  <c r="D3712" i="1"/>
  <c r="A3712" i="1"/>
  <c r="C3712" i="1"/>
  <c r="E3712" i="1"/>
  <c r="F3712" i="1"/>
  <c r="G2714" i="1"/>
  <c r="H2714" i="1"/>
  <c r="D2714" i="1"/>
  <c r="A2714" i="1"/>
  <c r="C2714" i="1"/>
  <c r="E2714" i="1"/>
  <c r="F2714" i="1"/>
  <c r="G2443" i="1"/>
  <c r="H2443" i="1"/>
  <c r="D2443" i="1"/>
  <c r="A2443" i="1"/>
  <c r="C2443" i="1"/>
  <c r="E2443" i="1"/>
  <c r="F2443" i="1"/>
  <c r="G4644" i="1"/>
  <c r="H4644" i="1"/>
  <c r="D4644" i="1"/>
  <c r="A4644" i="1"/>
  <c r="C4644" i="1"/>
  <c r="E4644" i="1"/>
  <c r="F4644" i="1"/>
  <c r="G2456" i="1"/>
  <c r="H2456" i="1"/>
  <c r="D2456" i="1"/>
  <c r="A2456" i="1"/>
  <c r="C2456" i="1"/>
  <c r="E2456" i="1"/>
  <c r="F2456" i="1"/>
  <c r="G4560" i="1"/>
  <c r="H4560" i="1"/>
  <c r="D4560" i="1"/>
  <c r="A4560" i="1"/>
  <c r="C4560" i="1"/>
  <c r="E4560" i="1"/>
  <c r="F4560" i="1"/>
  <c r="G2459" i="1"/>
  <c r="H2459" i="1"/>
  <c r="D2459" i="1"/>
  <c r="A2459" i="1"/>
  <c r="C2459" i="1"/>
  <c r="E2459" i="1"/>
  <c r="F2459" i="1"/>
  <c r="G316" i="1"/>
  <c r="H316" i="1"/>
  <c r="D316" i="1"/>
  <c r="A316" i="1"/>
  <c r="C316" i="1"/>
  <c r="E316" i="1"/>
  <c r="F316" i="1"/>
  <c r="G2460" i="1"/>
  <c r="H2460" i="1"/>
  <c r="D2460" i="1"/>
  <c r="A2460" i="1"/>
  <c r="C2460" i="1"/>
  <c r="E2460" i="1"/>
  <c r="F2460" i="1"/>
  <c r="G2462" i="1"/>
  <c r="H2462" i="1"/>
  <c r="D2462" i="1"/>
  <c r="A2462" i="1"/>
  <c r="C2462" i="1"/>
  <c r="E2462" i="1"/>
  <c r="F2462" i="1"/>
  <c r="G462" i="1"/>
  <c r="H462" i="1"/>
  <c r="D462" i="1"/>
  <c r="A462" i="1"/>
  <c r="C462" i="1"/>
  <c r="E462" i="1"/>
  <c r="F462" i="1"/>
  <c r="G2426" i="1"/>
  <c r="H2426" i="1"/>
  <c r="D2426" i="1"/>
  <c r="A2426" i="1"/>
  <c r="C2426" i="1"/>
  <c r="E2426" i="1"/>
  <c r="F2426" i="1"/>
  <c r="G3809" i="1"/>
  <c r="H3809" i="1"/>
  <c r="D3809" i="1"/>
  <c r="A3809" i="1"/>
  <c r="C3809" i="1"/>
  <c r="E3809" i="1"/>
  <c r="F3809" i="1"/>
  <c r="G1317" i="1"/>
  <c r="H1317" i="1"/>
  <c r="D1317" i="1"/>
  <c r="A1317" i="1"/>
  <c r="C1317" i="1"/>
  <c r="E1317" i="1"/>
  <c r="F1317" i="1"/>
  <c r="G2471" i="1"/>
  <c r="H2471" i="1"/>
  <c r="D2471" i="1"/>
  <c r="A2471" i="1"/>
  <c r="C2471" i="1"/>
  <c r="E2471" i="1"/>
  <c r="F2471" i="1"/>
  <c r="G2572" i="1"/>
  <c r="H2572" i="1"/>
  <c r="D2572" i="1"/>
  <c r="A2572" i="1"/>
  <c r="C2572" i="1"/>
  <c r="E2572" i="1"/>
  <c r="F2572" i="1"/>
  <c r="G4278" i="1"/>
  <c r="H4278" i="1"/>
  <c r="D4278" i="1"/>
  <c r="A4278" i="1"/>
  <c r="C4278" i="1"/>
  <c r="E4278" i="1"/>
  <c r="F4278" i="1"/>
  <c r="G1531" i="1"/>
  <c r="H1531" i="1"/>
  <c r="D1531" i="1"/>
  <c r="A1531" i="1"/>
  <c r="C1531" i="1"/>
  <c r="E1531" i="1"/>
  <c r="F1531" i="1"/>
  <c r="G780" i="1"/>
  <c r="H780" i="1"/>
  <c r="D780" i="1"/>
  <c r="A780" i="1"/>
  <c r="C780" i="1"/>
  <c r="E780" i="1"/>
  <c r="F780" i="1"/>
  <c r="G1522" i="1"/>
  <c r="H1522" i="1"/>
  <c r="D1522" i="1"/>
  <c r="A1522" i="1"/>
  <c r="C1522" i="1"/>
  <c r="E1522" i="1"/>
  <c r="F1522" i="1"/>
  <c r="G3324" i="1"/>
  <c r="H3324" i="1"/>
  <c r="D3324" i="1"/>
  <c r="A3324" i="1"/>
  <c r="C3324" i="1"/>
  <c r="E3324" i="1"/>
  <c r="F3324" i="1"/>
  <c r="G3733" i="1"/>
  <c r="H3733" i="1"/>
  <c r="D3733" i="1"/>
  <c r="A3733" i="1"/>
  <c r="C3733" i="1"/>
  <c r="E3733" i="1"/>
  <c r="F3733" i="1"/>
  <c r="G4471" i="1"/>
  <c r="H4471" i="1"/>
  <c r="D4471" i="1"/>
  <c r="A4471" i="1"/>
  <c r="C4471" i="1"/>
  <c r="E4471" i="1"/>
  <c r="F4471" i="1"/>
  <c r="G2745" i="1"/>
  <c r="H2745" i="1"/>
  <c r="D2745" i="1"/>
  <c r="A2745" i="1"/>
  <c r="C2745" i="1"/>
  <c r="E2745" i="1"/>
  <c r="F2745" i="1"/>
  <c r="G2480" i="1"/>
  <c r="H2480" i="1"/>
  <c r="D2480" i="1"/>
  <c r="A2480" i="1"/>
  <c r="C2480" i="1"/>
  <c r="E2480" i="1"/>
  <c r="F2480" i="1"/>
  <c r="G3713" i="1"/>
  <c r="H3713" i="1"/>
  <c r="D3713" i="1"/>
  <c r="A3713" i="1"/>
  <c r="C3713" i="1"/>
  <c r="E3713" i="1"/>
  <c r="F3713" i="1"/>
  <c r="G2482" i="1"/>
  <c r="H2482" i="1"/>
  <c r="D2482" i="1"/>
  <c r="A2482" i="1"/>
  <c r="C2482" i="1"/>
  <c r="E2482" i="1"/>
  <c r="F2482" i="1"/>
  <c r="G2484" i="1"/>
  <c r="H2484" i="1"/>
  <c r="D2484" i="1"/>
  <c r="A2484" i="1"/>
  <c r="C2484" i="1"/>
  <c r="E2484" i="1"/>
  <c r="F2484" i="1"/>
  <c r="G2483" i="1"/>
  <c r="H2483" i="1"/>
  <c r="D2483" i="1"/>
  <c r="A2483" i="1"/>
  <c r="C2483" i="1"/>
  <c r="E2483" i="1"/>
  <c r="F2483" i="1"/>
  <c r="G2488" i="1"/>
  <c r="H2488" i="1"/>
  <c r="D2488" i="1"/>
  <c r="A2488" i="1"/>
  <c r="C2488" i="1"/>
  <c r="E2488" i="1"/>
  <c r="F2488" i="1"/>
  <c r="G2490" i="1"/>
  <c r="H2490" i="1"/>
  <c r="D2490" i="1"/>
  <c r="A2490" i="1"/>
  <c r="C2490" i="1"/>
  <c r="E2490" i="1"/>
  <c r="F2490" i="1"/>
  <c r="G2493" i="1"/>
  <c r="H2493" i="1"/>
  <c r="D2493" i="1"/>
  <c r="A2493" i="1"/>
  <c r="C2493" i="1"/>
  <c r="E2493" i="1"/>
  <c r="F2493" i="1"/>
  <c r="G2494" i="1"/>
  <c r="H2494" i="1"/>
  <c r="D2494" i="1"/>
  <c r="A2494" i="1"/>
  <c r="C2494" i="1"/>
  <c r="E2494" i="1"/>
  <c r="F2494" i="1"/>
  <c r="G2504" i="1"/>
  <c r="H2504" i="1"/>
  <c r="D2504" i="1"/>
  <c r="A2504" i="1"/>
  <c r="C2504" i="1"/>
  <c r="E2504" i="1"/>
  <c r="F2504" i="1"/>
  <c r="G2427" i="1"/>
  <c r="H2427" i="1"/>
  <c r="D2427" i="1"/>
  <c r="A2427" i="1"/>
  <c r="C2427" i="1"/>
  <c r="E2427" i="1"/>
  <c r="F2427" i="1"/>
  <c r="G2505" i="1"/>
  <c r="H2505" i="1"/>
  <c r="D2505" i="1"/>
  <c r="A2505" i="1"/>
  <c r="C2505" i="1"/>
  <c r="E2505" i="1"/>
  <c r="F2505" i="1"/>
  <c r="G2497" i="1"/>
  <c r="H2497" i="1"/>
  <c r="D2497" i="1"/>
  <c r="A2497" i="1"/>
  <c r="C2497" i="1"/>
  <c r="E2497" i="1"/>
  <c r="F2497" i="1"/>
  <c r="G3050" i="1"/>
  <c r="H3050" i="1"/>
  <c r="D3050" i="1"/>
  <c r="A3050" i="1"/>
  <c r="C3050" i="1"/>
  <c r="E3050" i="1"/>
  <c r="F3050" i="1"/>
  <c r="G2508" i="1"/>
  <c r="H2508" i="1"/>
  <c r="D2508" i="1"/>
  <c r="A2508" i="1"/>
  <c r="C2508" i="1"/>
  <c r="E2508" i="1"/>
  <c r="F2508" i="1"/>
  <c r="G2491" i="1"/>
  <c r="H2491" i="1"/>
  <c r="D2491" i="1"/>
  <c r="A2491" i="1"/>
  <c r="C2491" i="1"/>
  <c r="E2491" i="1"/>
  <c r="F2491" i="1"/>
  <c r="G3714" i="1"/>
  <c r="H3714" i="1"/>
  <c r="D3714" i="1"/>
  <c r="A3714" i="1"/>
  <c r="C3714" i="1"/>
  <c r="E3714" i="1"/>
  <c r="F3714" i="1"/>
  <c r="G3864" i="1"/>
  <c r="H3864" i="1"/>
  <c r="D3864" i="1"/>
  <c r="A3864" i="1"/>
  <c r="C3864" i="1"/>
  <c r="E3864" i="1"/>
  <c r="F3864" i="1"/>
  <c r="G3445" i="1"/>
  <c r="H3445" i="1"/>
  <c r="D3445" i="1"/>
  <c r="A3445" i="1"/>
  <c r="C3445" i="1"/>
  <c r="E3445" i="1"/>
  <c r="F3445" i="1"/>
  <c r="G787" i="1"/>
  <c r="H787" i="1"/>
  <c r="D787" i="1"/>
  <c r="A787" i="1"/>
  <c r="C787" i="1"/>
  <c r="E787" i="1"/>
  <c r="F787" i="1"/>
  <c r="G1063" i="1"/>
  <c r="H1063" i="1"/>
  <c r="D1063" i="1"/>
  <c r="A1063" i="1"/>
  <c r="C1063" i="1"/>
  <c r="E1063" i="1"/>
  <c r="F1063" i="1"/>
  <c r="G1624" i="1"/>
  <c r="H1624" i="1"/>
  <c r="D1624" i="1"/>
  <c r="A1624" i="1"/>
  <c r="C1624" i="1"/>
  <c r="E1624" i="1"/>
  <c r="F1624" i="1"/>
  <c r="G334" i="1"/>
  <c r="H334" i="1"/>
  <c r="D334" i="1"/>
  <c r="A334" i="1"/>
  <c r="C334" i="1"/>
  <c r="E334" i="1"/>
  <c r="F334" i="1"/>
  <c r="G140" i="1"/>
  <c r="H140" i="1"/>
  <c r="D140" i="1"/>
  <c r="A140" i="1"/>
  <c r="C140" i="1"/>
  <c r="E140" i="1"/>
  <c r="F140" i="1"/>
  <c r="G2042" i="1"/>
  <c r="H2042" i="1"/>
  <c r="D2042" i="1"/>
  <c r="A2042" i="1"/>
  <c r="C2042" i="1"/>
  <c r="E2042" i="1"/>
  <c r="F2042" i="1"/>
  <c r="G2510" i="1"/>
  <c r="H2510" i="1"/>
  <c r="D2510" i="1"/>
  <c r="A2510" i="1"/>
  <c r="C2510" i="1"/>
  <c r="E2510" i="1"/>
  <c r="F2510" i="1"/>
  <c r="G2514" i="1"/>
  <c r="H2514" i="1"/>
  <c r="D2514" i="1"/>
  <c r="A2514" i="1"/>
  <c r="C2514" i="1"/>
  <c r="E2514" i="1"/>
  <c r="F2514" i="1"/>
  <c r="G2521" i="1"/>
  <c r="H2521" i="1"/>
  <c r="D2521" i="1"/>
  <c r="A2521" i="1"/>
  <c r="C2521" i="1"/>
  <c r="E2521" i="1"/>
  <c r="F2521" i="1"/>
  <c r="G2523" i="1"/>
  <c r="H2523" i="1"/>
  <c r="D2523" i="1"/>
  <c r="A2523" i="1"/>
  <c r="C2523" i="1"/>
  <c r="E2523" i="1"/>
  <c r="F2523" i="1"/>
  <c r="G2526" i="1"/>
  <c r="H2526" i="1"/>
  <c r="D2526" i="1"/>
  <c r="A2526" i="1"/>
  <c r="C2526" i="1"/>
  <c r="E2526" i="1"/>
  <c r="F2526" i="1"/>
  <c r="G2527" i="1"/>
  <c r="H2527" i="1"/>
  <c r="D2527" i="1"/>
  <c r="A2527" i="1"/>
  <c r="C2527" i="1"/>
  <c r="E2527" i="1"/>
  <c r="F2527" i="1"/>
  <c r="G2453" i="1"/>
  <c r="H2453" i="1"/>
  <c r="D2453" i="1"/>
  <c r="A2453" i="1"/>
  <c r="C2453" i="1"/>
  <c r="E2453" i="1"/>
  <c r="F2453" i="1"/>
  <c r="G2495" i="1"/>
  <c r="H2495" i="1"/>
  <c r="D2495" i="1"/>
  <c r="A2495" i="1"/>
  <c r="C2495" i="1"/>
  <c r="E2495" i="1"/>
  <c r="F2495" i="1"/>
  <c r="G2501" i="1"/>
  <c r="H2501" i="1"/>
  <c r="D2501" i="1"/>
  <c r="A2501" i="1"/>
  <c r="C2501" i="1"/>
  <c r="E2501" i="1"/>
  <c r="F2501" i="1"/>
  <c r="G4337" i="1"/>
  <c r="H4337" i="1"/>
  <c r="D4337" i="1"/>
  <c r="A4337" i="1"/>
  <c r="C4337" i="1"/>
  <c r="E4337" i="1"/>
  <c r="F4337" i="1"/>
  <c r="G4563" i="1"/>
  <c r="H4563" i="1"/>
  <c r="D4563" i="1"/>
  <c r="A4563" i="1"/>
  <c r="C4563" i="1"/>
  <c r="E4563" i="1"/>
  <c r="F4563" i="1"/>
  <c r="G2506" i="1"/>
  <c r="H2506" i="1"/>
  <c r="D2506" i="1"/>
  <c r="A2506" i="1"/>
  <c r="C2506" i="1"/>
  <c r="E2506" i="1"/>
  <c r="F2506" i="1"/>
  <c r="G4448" i="1"/>
  <c r="H4448" i="1"/>
  <c r="D4448" i="1"/>
  <c r="A4448" i="1"/>
  <c r="C4448" i="1"/>
  <c r="E4448" i="1"/>
  <c r="F4448" i="1"/>
  <c r="G2511" i="1"/>
  <c r="H2511" i="1"/>
  <c r="D2511" i="1"/>
  <c r="A2511" i="1"/>
  <c r="C2511" i="1"/>
  <c r="E2511" i="1"/>
  <c r="F2511" i="1"/>
  <c r="G2520" i="1"/>
  <c r="H2520" i="1"/>
  <c r="D2520" i="1"/>
  <c r="A2520" i="1"/>
  <c r="C2520" i="1"/>
  <c r="E2520" i="1"/>
  <c r="F2520" i="1"/>
  <c r="G2522" i="1"/>
  <c r="H2522" i="1"/>
  <c r="D2522" i="1"/>
  <c r="A2522" i="1"/>
  <c r="C2522" i="1"/>
  <c r="E2522" i="1"/>
  <c r="F2522" i="1"/>
  <c r="G23" i="1"/>
  <c r="H23" i="1"/>
  <c r="D23" i="1"/>
  <c r="A23" i="1"/>
  <c r="C23" i="1"/>
  <c r="E23" i="1"/>
  <c r="F23" i="1"/>
  <c r="G2650" i="1"/>
  <c r="H2650" i="1"/>
  <c r="D2650" i="1"/>
  <c r="A2650" i="1"/>
  <c r="C2650" i="1"/>
  <c r="E2650" i="1"/>
  <c r="F2650" i="1"/>
  <c r="G25" i="1"/>
  <c r="H25" i="1"/>
  <c r="D25" i="1"/>
  <c r="A25" i="1"/>
  <c r="C25" i="1"/>
  <c r="E25" i="1"/>
  <c r="F25" i="1"/>
  <c r="G1651" i="1"/>
  <c r="H1651" i="1"/>
  <c r="D1651" i="1"/>
  <c r="A1651" i="1"/>
  <c r="C1651" i="1"/>
  <c r="E1651" i="1"/>
  <c r="F1651" i="1"/>
  <c r="G2278" i="1"/>
  <c r="H2278" i="1"/>
  <c r="D2278" i="1"/>
  <c r="A2278" i="1"/>
  <c r="C2278" i="1"/>
  <c r="E2278" i="1"/>
  <c r="F2278" i="1"/>
  <c r="G30" i="1"/>
  <c r="H30" i="1"/>
  <c r="D30" i="1"/>
  <c r="A30" i="1"/>
  <c r="C30" i="1"/>
  <c r="E30" i="1"/>
  <c r="F30" i="1"/>
  <c r="G314" i="1"/>
  <c r="H314" i="1"/>
  <c r="D314" i="1"/>
  <c r="A314" i="1"/>
  <c r="C314" i="1"/>
  <c r="E314" i="1"/>
  <c r="F314" i="1"/>
  <c r="G3699" i="1"/>
  <c r="H3699" i="1"/>
  <c r="D3699" i="1"/>
  <c r="A3699" i="1"/>
  <c r="C3699" i="1"/>
  <c r="E3699" i="1"/>
  <c r="F3699" i="1"/>
  <c r="G3549" i="1"/>
  <c r="H3549" i="1"/>
  <c r="D3549" i="1"/>
  <c r="A3549" i="1"/>
  <c r="C3549" i="1"/>
  <c r="E3549" i="1"/>
  <c r="F3549" i="1"/>
  <c r="G3426" i="1"/>
  <c r="H3426" i="1"/>
  <c r="D3426" i="1"/>
  <c r="A3426" i="1"/>
  <c r="C3426" i="1"/>
  <c r="E3426" i="1"/>
  <c r="F3426" i="1"/>
  <c r="G1115" i="1"/>
  <c r="H1115" i="1"/>
  <c r="D1115" i="1"/>
  <c r="A1115" i="1"/>
  <c r="C1115" i="1"/>
  <c r="E1115" i="1"/>
  <c r="F1115" i="1"/>
  <c r="G4728" i="1"/>
  <c r="H4728" i="1"/>
  <c r="D4728" i="1"/>
  <c r="A4728" i="1"/>
  <c r="C4728" i="1"/>
  <c r="E4728" i="1"/>
  <c r="F4728" i="1"/>
  <c r="G1127" i="1"/>
  <c r="H1127" i="1"/>
  <c r="D1127" i="1"/>
  <c r="A1127" i="1"/>
  <c r="C1127" i="1"/>
  <c r="E1127" i="1"/>
  <c r="F1127" i="1"/>
  <c r="G3281" i="1"/>
  <c r="H3281" i="1"/>
  <c r="D3281" i="1"/>
  <c r="A3281" i="1"/>
  <c r="C3281" i="1"/>
  <c r="E3281" i="1"/>
  <c r="F3281" i="1"/>
  <c r="G3573" i="1"/>
  <c r="H3573" i="1"/>
  <c r="D3573" i="1"/>
  <c r="A3573" i="1"/>
  <c r="C3573" i="1"/>
  <c r="E3573" i="1"/>
  <c r="F3573" i="1"/>
  <c r="G3005" i="1"/>
  <c r="H3005" i="1"/>
  <c r="D3005" i="1"/>
  <c r="A3005" i="1"/>
  <c r="C3005" i="1"/>
  <c r="E3005" i="1"/>
  <c r="F3005" i="1"/>
  <c r="G4581" i="1"/>
  <c r="H4581" i="1"/>
  <c r="D4581" i="1"/>
  <c r="A4581" i="1"/>
  <c r="C4581" i="1"/>
  <c r="E4581" i="1"/>
  <c r="F4581" i="1"/>
  <c r="G5106" i="1"/>
  <c r="H5106" i="1"/>
  <c r="D5106" i="1"/>
  <c r="A5106" i="1"/>
  <c r="C5106" i="1"/>
  <c r="E5106" i="1"/>
  <c r="F5106" i="1"/>
  <c r="G1026" i="1"/>
  <c r="H1026" i="1"/>
  <c r="D1026" i="1"/>
  <c r="A1026" i="1"/>
  <c r="C1026" i="1"/>
  <c r="E1026" i="1"/>
  <c r="F1026" i="1"/>
  <c r="G4704" i="1"/>
  <c r="H4704" i="1"/>
  <c r="D4704" i="1"/>
  <c r="A4704" i="1"/>
  <c r="C4704" i="1"/>
  <c r="E4704" i="1"/>
  <c r="F4704" i="1"/>
  <c r="G4211" i="1"/>
  <c r="H4211" i="1"/>
  <c r="D4211" i="1"/>
  <c r="A4211" i="1"/>
  <c r="C4211" i="1"/>
  <c r="E4211" i="1"/>
  <c r="F4211" i="1"/>
  <c r="G2164" i="1"/>
  <c r="H2164" i="1"/>
  <c r="D2164" i="1"/>
  <c r="A2164" i="1"/>
  <c r="C2164" i="1"/>
  <c r="E2164" i="1"/>
  <c r="F2164" i="1"/>
  <c r="G195" i="1"/>
  <c r="H195" i="1"/>
  <c r="D195" i="1"/>
  <c r="A195" i="1"/>
  <c r="C195" i="1"/>
  <c r="E195" i="1"/>
  <c r="F195" i="1"/>
  <c r="G3598" i="1"/>
  <c r="H3598" i="1"/>
  <c r="D3598" i="1"/>
  <c r="A3598" i="1"/>
  <c r="C3598" i="1"/>
  <c r="E3598" i="1"/>
  <c r="F3598" i="1"/>
  <c r="G4861" i="1"/>
  <c r="H4861" i="1"/>
  <c r="D4861" i="1"/>
  <c r="A4861" i="1"/>
  <c r="C4861" i="1"/>
  <c r="E4861" i="1"/>
  <c r="F4861" i="1"/>
  <c r="G2089" i="1"/>
  <c r="H2089" i="1"/>
  <c r="D2089" i="1"/>
  <c r="A2089" i="1"/>
  <c r="C2089" i="1"/>
  <c r="E2089" i="1"/>
  <c r="F2089" i="1"/>
  <c r="G2108" i="1"/>
  <c r="H2108" i="1"/>
  <c r="D2108" i="1"/>
  <c r="A2108" i="1"/>
  <c r="C2108" i="1"/>
  <c r="E2108" i="1"/>
  <c r="F2108" i="1"/>
  <c r="G1724" i="1"/>
  <c r="H1724" i="1"/>
  <c r="D1724" i="1"/>
  <c r="A1724" i="1"/>
  <c r="C1724" i="1"/>
  <c r="E1724" i="1"/>
  <c r="F1724" i="1"/>
  <c r="G772" i="1"/>
  <c r="H772" i="1"/>
  <c r="D772" i="1"/>
  <c r="A772" i="1"/>
  <c r="C772" i="1"/>
  <c r="E772" i="1"/>
  <c r="F772" i="1"/>
  <c r="G1743" i="1"/>
  <c r="H1743" i="1"/>
  <c r="D1743" i="1"/>
  <c r="A1743" i="1"/>
  <c r="C1743" i="1"/>
  <c r="E1743" i="1"/>
  <c r="F1743" i="1"/>
  <c r="G958" i="1"/>
  <c r="H958" i="1"/>
  <c r="D958" i="1"/>
  <c r="A958" i="1"/>
  <c r="C958" i="1"/>
  <c r="E958" i="1"/>
  <c r="F958" i="1"/>
  <c r="G1116" i="1"/>
  <c r="H1116" i="1"/>
  <c r="D1116" i="1"/>
  <c r="A1116" i="1"/>
  <c r="C1116" i="1"/>
  <c r="E1116" i="1"/>
  <c r="F1116" i="1"/>
  <c r="G2210" i="1"/>
  <c r="H2210" i="1"/>
  <c r="D2210" i="1"/>
  <c r="A2210" i="1"/>
  <c r="C2210" i="1"/>
  <c r="E2210" i="1"/>
  <c r="F2210" i="1"/>
  <c r="G1117" i="1"/>
  <c r="H1117" i="1"/>
  <c r="D1117" i="1"/>
  <c r="A1117" i="1"/>
  <c r="C1117" i="1"/>
  <c r="E1117" i="1"/>
  <c r="F1117" i="1"/>
  <c r="G3307" i="1"/>
  <c r="H3307" i="1"/>
  <c r="D3307" i="1"/>
  <c r="A3307" i="1"/>
  <c r="C3307" i="1"/>
  <c r="E3307" i="1"/>
  <c r="F3307" i="1"/>
  <c r="G770" i="1"/>
  <c r="H770" i="1"/>
  <c r="D770" i="1"/>
  <c r="A770" i="1"/>
  <c r="C770" i="1"/>
  <c r="E770" i="1"/>
  <c r="F770" i="1"/>
  <c r="G2085" i="1"/>
  <c r="H2085" i="1"/>
  <c r="D2085" i="1"/>
  <c r="A2085" i="1"/>
  <c r="C2085" i="1"/>
  <c r="E2085" i="1"/>
  <c r="F2085" i="1"/>
  <c r="G3027" i="1"/>
  <c r="H3027" i="1"/>
  <c r="D3027" i="1"/>
  <c r="A3027" i="1"/>
  <c r="C3027" i="1"/>
  <c r="E3027" i="1"/>
  <c r="F3027" i="1"/>
  <c r="G810" i="1"/>
  <c r="H810" i="1"/>
  <c r="D810" i="1"/>
  <c r="A810" i="1"/>
  <c r="C810" i="1"/>
  <c r="E810" i="1"/>
  <c r="F810" i="1"/>
  <c r="G4173" i="1"/>
  <c r="H4173" i="1"/>
  <c r="D4173" i="1"/>
  <c r="A4173" i="1"/>
  <c r="C4173" i="1"/>
  <c r="E4173" i="1"/>
  <c r="F4173" i="1"/>
  <c r="G2068" i="1"/>
  <c r="H2068" i="1"/>
  <c r="D2068" i="1"/>
  <c r="A2068" i="1"/>
  <c r="C2068" i="1"/>
  <c r="E2068" i="1"/>
  <c r="F2068" i="1"/>
  <c r="G2123" i="1"/>
  <c r="H2123" i="1"/>
  <c r="D2123" i="1"/>
  <c r="A2123" i="1"/>
  <c r="C2123" i="1"/>
  <c r="E2123" i="1"/>
  <c r="F2123" i="1"/>
  <c r="G1907" i="1"/>
  <c r="H1907" i="1"/>
  <c r="D1907" i="1"/>
  <c r="A1907" i="1"/>
  <c r="C1907" i="1"/>
  <c r="E1907" i="1"/>
  <c r="F1907" i="1"/>
  <c r="G3365" i="1"/>
  <c r="H3365" i="1"/>
  <c r="D3365" i="1"/>
  <c r="A3365" i="1"/>
  <c r="C3365" i="1"/>
  <c r="E3365" i="1"/>
  <c r="F3365" i="1"/>
  <c r="G3296" i="1"/>
  <c r="H3296" i="1"/>
  <c r="D3296" i="1"/>
  <c r="A3296" i="1"/>
  <c r="C3296" i="1"/>
  <c r="E3296" i="1"/>
  <c r="F3296" i="1"/>
  <c r="G2693" i="1"/>
  <c r="H2693" i="1"/>
  <c r="D2693" i="1"/>
  <c r="A2693" i="1"/>
  <c r="C2693" i="1"/>
  <c r="E2693" i="1"/>
  <c r="F2693" i="1"/>
  <c r="G4716" i="1"/>
  <c r="H4716" i="1"/>
  <c r="D4716" i="1"/>
  <c r="A4716" i="1"/>
  <c r="C4716" i="1"/>
  <c r="E4716" i="1"/>
  <c r="F4716" i="1"/>
  <c r="G2124" i="1"/>
  <c r="H2124" i="1"/>
  <c r="D2124" i="1"/>
  <c r="A2124" i="1"/>
  <c r="C2124" i="1"/>
  <c r="E2124" i="1"/>
  <c r="F2124" i="1"/>
  <c r="G1749" i="1"/>
  <c r="H1749" i="1"/>
  <c r="D1749" i="1"/>
  <c r="A1749" i="1"/>
  <c r="C1749" i="1"/>
  <c r="E1749" i="1"/>
  <c r="F1749" i="1"/>
  <c r="G1113" i="1"/>
  <c r="H1113" i="1"/>
  <c r="D1113" i="1"/>
  <c r="A1113" i="1"/>
  <c r="C1113" i="1"/>
  <c r="E1113" i="1"/>
  <c r="F1113" i="1"/>
  <c r="G3840" i="1"/>
  <c r="H3840" i="1"/>
  <c r="D3840" i="1"/>
  <c r="A3840" i="1"/>
  <c r="C3840" i="1"/>
  <c r="E3840" i="1"/>
  <c r="F3840" i="1"/>
  <c r="G3636" i="1"/>
  <c r="H3636" i="1"/>
  <c r="D3636" i="1"/>
  <c r="A3636" i="1"/>
  <c r="C3636" i="1"/>
  <c r="E3636" i="1"/>
  <c r="F3636" i="1"/>
  <c r="G453" i="1"/>
  <c r="H453" i="1"/>
  <c r="D453" i="1"/>
  <c r="A453" i="1"/>
  <c r="C453" i="1"/>
  <c r="E453" i="1"/>
  <c r="F453" i="1"/>
  <c r="G528" i="1"/>
  <c r="H528" i="1"/>
  <c r="D528" i="1"/>
  <c r="A528" i="1"/>
  <c r="C528" i="1"/>
  <c r="E528" i="1"/>
  <c r="F528" i="1"/>
  <c r="G2586" i="1"/>
  <c r="H2586" i="1"/>
  <c r="D2586" i="1"/>
  <c r="A2586" i="1"/>
  <c r="C2586" i="1"/>
  <c r="E2586" i="1"/>
  <c r="F2586" i="1"/>
  <c r="G593" i="1"/>
  <c r="H593" i="1"/>
  <c r="D593" i="1"/>
  <c r="A593" i="1"/>
  <c r="C593" i="1"/>
  <c r="E593" i="1"/>
  <c r="F593" i="1"/>
  <c r="G3932" i="1"/>
  <c r="H3932" i="1"/>
  <c r="D3932" i="1"/>
  <c r="A3932" i="1"/>
  <c r="C3932" i="1"/>
  <c r="E3932" i="1"/>
  <c r="F3932" i="1"/>
  <c r="G4602" i="1"/>
  <c r="H4602" i="1"/>
  <c r="D4602" i="1"/>
  <c r="A4602" i="1"/>
  <c r="C4602" i="1"/>
  <c r="E4602" i="1"/>
  <c r="F4602" i="1"/>
  <c r="G3600" i="1"/>
  <c r="H3600" i="1"/>
  <c r="D3600" i="1"/>
  <c r="A3600" i="1"/>
  <c r="C3600" i="1"/>
  <c r="E3600" i="1"/>
  <c r="F3600" i="1"/>
  <c r="G1772" i="1"/>
  <c r="H1772" i="1"/>
  <c r="D1772" i="1"/>
  <c r="A1772" i="1"/>
  <c r="C1772" i="1"/>
  <c r="E1772" i="1"/>
  <c r="F1772" i="1"/>
  <c r="G5000" i="1"/>
  <c r="H5000" i="1"/>
  <c r="D5000" i="1"/>
  <c r="A5000" i="1"/>
  <c r="C5000" i="1"/>
  <c r="E5000" i="1"/>
  <c r="F5000" i="1"/>
  <c r="G3771" i="1"/>
  <c r="H3771" i="1"/>
  <c r="D3771" i="1"/>
  <c r="A3771" i="1"/>
  <c r="C3771" i="1"/>
  <c r="E3771" i="1"/>
  <c r="F3771" i="1"/>
  <c r="G2823" i="1"/>
  <c r="H2823" i="1"/>
  <c r="D2823" i="1"/>
  <c r="A2823" i="1"/>
  <c r="C2823" i="1"/>
  <c r="E2823" i="1"/>
  <c r="F2823" i="1"/>
  <c r="G2390" i="1"/>
  <c r="H2390" i="1"/>
  <c r="D2390" i="1"/>
  <c r="A2390" i="1"/>
  <c r="C2390" i="1"/>
  <c r="E2390" i="1"/>
  <c r="F2390" i="1"/>
  <c r="G626" i="1"/>
  <c r="H626" i="1"/>
  <c r="D626" i="1"/>
  <c r="A626" i="1"/>
  <c r="C626" i="1"/>
  <c r="E626" i="1"/>
  <c r="F626" i="1"/>
  <c r="G956" i="1"/>
  <c r="H956" i="1"/>
  <c r="D956" i="1"/>
  <c r="A956" i="1"/>
  <c r="C956" i="1"/>
  <c r="E956" i="1"/>
  <c r="F956" i="1"/>
  <c r="G3547" i="1"/>
  <c r="H3547" i="1"/>
  <c r="D3547" i="1"/>
  <c r="A3547" i="1"/>
  <c r="C3547" i="1"/>
  <c r="E3547" i="1"/>
  <c r="F3547" i="1"/>
  <c r="G492" i="1"/>
  <c r="H492" i="1"/>
  <c r="D492" i="1"/>
  <c r="A492" i="1"/>
  <c r="C492" i="1"/>
  <c r="E492" i="1"/>
  <c r="F492" i="1"/>
  <c r="G4536" i="1"/>
  <c r="H4536" i="1"/>
  <c r="D4536" i="1"/>
  <c r="A4536" i="1"/>
  <c r="C4536" i="1"/>
  <c r="E4536" i="1"/>
  <c r="F4536" i="1"/>
  <c r="G4539" i="1"/>
  <c r="H4539" i="1"/>
  <c r="D4539" i="1"/>
  <c r="A4539" i="1"/>
  <c r="C4539" i="1"/>
  <c r="E4539" i="1"/>
  <c r="F4539" i="1"/>
  <c r="G998" i="1"/>
  <c r="H998" i="1"/>
  <c r="D998" i="1"/>
  <c r="A998" i="1"/>
  <c r="C998" i="1"/>
  <c r="E998" i="1"/>
  <c r="F998" i="1"/>
  <c r="G461" i="1"/>
  <c r="H461" i="1"/>
  <c r="D461" i="1"/>
  <c r="A461" i="1"/>
  <c r="C461" i="1"/>
  <c r="E461" i="1"/>
  <c r="F461" i="1"/>
  <c r="G774" i="1"/>
  <c r="H774" i="1"/>
  <c r="D774" i="1"/>
  <c r="A774" i="1"/>
  <c r="C774" i="1"/>
  <c r="E774" i="1"/>
  <c r="F774" i="1"/>
  <c r="G3469" i="1"/>
  <c r="H3469" i="1"/>
  <c r="D3469" i="1"/>
  <c r="A3469" i="1"/>
  <c r="C3469" i="1"/>
  <c r="E3469" i="1"/>
  <c r="F3469" i="1"/>
  <c r="G3512" i="1"/>
  <c r="H3512" i="1"/>
  <c r="D3512" i="1"/>
  <c r="A3512" i="1"/>
  <c r="C3512" i="1"/>
  <c r="E3512" i="1"/>
  <c r="F3512" i="1"/>
  <c r="G4066" i="1"/>
  <c r="H4066" i="1"/>
  <c r="D4066" i="1"/>
  <c r="A4066" i="1"/>
  <c r="C4066" i="1"/>
  <c r="E4066" i="1"/>
  <c r="F4066" i="1"/>
  <c r="G3983" i="1"/>
  <c r="H3983" i="1"/>
  <c r="D3983" i="1"/>
  <c r="A3983" i="1"/>
  <c r="C3983" i="1"/>
  <c r="E3983" i="1"/>
  <c r="F3983" i="1"/>
  <c r="G2880" i="1"/>
  <c r="H2880" i="1"/>
  <c r="D2880" i="1"/>
  <c r="A2880" i="1"/>
  <c r="C2880" i="1"/>
  <c r="E2880" i="1"/>
  <c r="F2880" i="1"/>
  <c r="G3981" i="1"/>
  <c r="H3981" i="1"/>
  <c r="D3981" i="1"/>
  <c r="A3981" i="1"/>
  <c r="C3981" i="1"/>
  <c r="E3981" i="1"/>
  <c r="F3981" i="1"/>
  <c r="G1552" i="1"/>
  <c r="H1552" i="1"/>
  <c r="D1552" i="1"/>
  <c r="A1552" i="1"/>
  <c r="C1552" i="1"/>
  <c r="E1552" i="1"/>
  <c r="F1552" i="1"/>
  <c r="G1549" i="1"/>
  <c r="H1549" i="1"/>
  <c r="D1549" i="1"/>
  <c r="A1549" i="1"/>
  <c r="C1549" i="1"/>
  <c r="E1549" i="1"/>
  <c r="F1549" i="1"/>
  <c r="G1536" i="1"/>
  <c r="H1536" i="1"/>
  <c r="D1536" i="1"/>
  <c r="A1536" i="1"/>
  <c r="C1536" i="1"/>
  <c r="E1536" i="1"/>
  <c r="F1536" i="1"/>
  <c r="G1553" i="1"/>
  <c r="H1553" i="1"/>
  <c r="D1553" i="1"/>
  <c r="A1553" i="1"/>
  <c r="C1553" i="1"/>
  <c r="E1553" i="1"/>
  <c r="F1553" i="1"/>
  <c r="G2612" i="1"/>
  <c r="H2612" i="1"/>
  <c r="D2612" i="1"/>
  <c r="A2612" i="1"/>
  <c r="C2612" i="1"/>
  <c r="E2612" i="1"/>
  <c r="F2612" i="1"/>
  <c r="G1687" i="1"/>
  <c r="H1687" i="1"/>
  <c r="D1687" i="1"/>
  <c r="A1687" i="1"/>
  <c r="C1687" i="1"/>
  <c r="E1687" i="1"/>
  <c r="F1687" i="1"/>
  <c r="G556" i="1"/>
  <c r="H556" i="1"/>
  <c r="D556" i="1"/>
  <c r="A556" i="1"/>
  <c r="C556" i="1"/>
  <c r="E556" i="1"/>
  <c r="F556" i="1"/>
  <c r="G948" i="1"/>
  <c r="H948" i="1"/>
  <c r="D948" i="1"/>
  <c r="A948" i="1"/>
  <c r="C948" i="1"/>
  <c r="E948" i="1"/>
  <c r="F948" i="1"/>
  <c r="G2106" i="1"/>
  <c r="H2106" i="1"/>
  <c r="D2106" i="1"/>
  <c r="A2106" i="1"/>
  <c r="C2106" i="1"/>
  <c r="E2106" i="1"/>
  <c r="F2106" i="1"/>
  <c r="G2170" i="1"/>
  <c r="H2170" i="1"/>
  <c r="D2170" i="1"/>
  <c r="A2170" i="1"/>
  <c r="C2170" i="1"/>
  <c r="E2170" i="1"/>
  <c r="F2170" i="1"/>
  <c r="G2167" i="1"/>
  <c r="H2167" i="1"/>
  <c r="D2167" i="1"/>
  <c r="A2167" i="1"/>
  <c r="C2167" i="1"/>
  <c r="E2167" i="1"/>
  <c r="F2167" i="1"/>
  <c r="G1769" i="1"/>
  <c r="H1769" i="1"/>
  <c r="D1769" i="1"/>
  <c r="A1769" i="1"/>
  <c r="C1769" i="1"/>
  <c r="E1769" i="1"/>
  <c r="F1769" i="1"/>
  <c r="G4038" i="1"/>
  <c r="H4038" i="1"/>
  <c r="D4038" i="1"/>
  <c r="A4038" i="1"/>
  <c r="C4038" i="1"/>
  <c r="E4038" i="1"/>
  <c r="F4038" i="1"/>
  <c r="G694" i="1"/>
  <c r="H694" i="1"/>
  <c r="D694" i="1"/>
  <c r="A694" i="1"/>
  <c r="C694" i="1"/>
  <c r="E694" i="1"/>
  <c r="F694" i="1"/>
  <c r="G1030" i="1"/>
  <c r="H1030" i="1"/>
  <c r="D1030" i="1"/>
  <c r="A1030" i="1"/>
  <c r="C1030" i="1"/>
  <c r="E1030" i="1"/>
  <c r="F1030" i="1"/>
  <c r="G4850" i="1"/>
  <c r="H4850" i="1"/>
  <c r="D4850" i="1"/>
  <c r="A4850" i="1"/>
  <c r="C4850" i="1"/>
  <c r="E4850" i="1"/>
  <c r="F4850" i="1"/>
  <c r="G369" i="1"/>
  <c r="H369" i="1"/>
  <c r="D369" i="1"/>
  <c r="A369" i="1"/>
  <c r="C369" i="1"/>
  <c r="E369" i="1"/>
  <c r="F369" i="1"/>
  <c r="G949" i="1"/>
  <c r="H949" i="1"/>
  <c r="D949" i="1"/>
  <c r="A949" i="1"/>
  <c r="C949" i="1"/>
  <c r="E949" i="1"/>
  <c r="F949" i="1"/>
  <c r="G1088" i="1"/>
  <c r="H1088" i="1"/>
  <c r="D1088" i="1"/>
  <c r="A1088" i="1"/>
  <c r="C1088" i="1"/>
  <c r="E1088" i="1"/>
  <c r="F1088" i="1"/>
  <c r="G4053" i="1"/>
  <c r="H4053" i="1"/>
  <c r="D4053" i="1"/>
  <c r="A4053" i="1"/>
  <c r="C4053" i="1"/>
  <c r="E4053" i="1"/>
  <c r="F4053" i="1"/>
  <c r="G4047" i="1"/>
  <c r="H4047" i="1"/>
  <c r="D4047" i="1"/>
  <c r="A4047" i="1"/>
  <c r="C4047" i="1"/>
  <c r="E4047" i="1"/>
  <c r="F4047" i="1"/>
  <c r="G4051" i="1"/>
  <c r="H4051" i="1"/>
  <c r="D4051" i="1"/>
  <c r="A4051" i="1"/>
  <c r="C4051" i="1"/>
  <c r="E4051" i="1"/>
  <c r="F4051" i="1"/>
  <c r="G4045" i="1"/>
  <c r="H4045" i="1"/>
  <c r="D4045" i="1"/>
  <c r="A4045" i="1"/>
  <c r="C4045" i="1"/>
  <c r="E4045" i="1"/>
  <c r="F4045" i="1"/>
  <c r="G4050" i="1"/>
  <c r="H4050" i="1"/>
  <c r="D4050" i="1"/>
  <c r="A4050" i="1"/>
  <c r="C4050" i="1"/>
  <c r="E4050" i="1"/>
  <c r="F4050" i="1"/>
  <c r="G4049" i="1"/>
  <c r="H4049" i="1"/>
  <c r="D4049" i="1"/>
  <c r="A4049" i="1"/>
  <c r="C4049" i="1"/>
  <c r="E4049" i="1"/>
  <c r="F4049" i="1"/>
  <c r="G2971" i="1"/>
  <c r="H2971" i="1"/>
  <c r="D2971" i="1"/>
  <c r="A2971" i="1"/>
  <c r="C2971" i="1"/>
  <c r="E2971" i="1"/>
  <c r="F2971" i="1"/>
  <c r="G641" i="1"/>
  <c r="H641" i="1"/>
  <c r="D641" i="1"/>
  <c r="A641" i="1"/>
  <c r="C641" i="1"/>
  <c r="E641" i="1"/>
  <c r="F641" i="1"/>
  <c r="G3737" i="1"/>
  <c r="H3737" i="1"/>
  <c r="D3737" i="1"/>
  <c r="A3737" i="1"/>
  <c r="C3737" i="1"/>
  <c r="E3737" i="1"/>
  <c r="F3737" i="1"/>
  <c r="G1865" i="1"/>
  <c r="H1865" i="1"/>
  <c r="D1865" i="1"/>
  <c r="A1865" i="1"/>
  <c r="C1865" i="1"/>
  <c r="E1865" i="1"/>
  <c r="F1865" i="1"/>
  <c r="G1780" i="1"/>
  <c r="H1780" i="1"/>
  <c r="D1780" i="1"/>
  <c r="A1780" i="1"/>
  <c r="C1780" i="1"/>
  <c r="E1780" i="1"/>
  <c r="F1780" i="1"/>
  <c r="G2611" i="1"/>
  <c r="H2611" i="1"/>
  <c r="D2611" i="1"/>
  <c r="A2611" i="1"/>
  <c r="C2611" i="1"/>
  <c r="E2611" i="1"/>
  <c r="F2611" i="1"/>
  <c r="G3123" i="1"/>
  <c r="H3123" i="1"/>
  <c r="D3123" i="1"/>
  <c r="A3123" i="1"/>
  <c r="C3123" i="1"/>
  <c r="E3123" i="1"/>
  <c r="F3123" i="1"/>
  <c r="G242" i="1"/>
  <c r="H242" i="1"/>
  <c r="D242" i="1"/>
  <c r="A242" i="1"/>
  <c r="C242" i="1"/>
  <c r="E242" i="1"/>
  <c r="F242" i="1"/>
  <c r="G243" i="1"/>
  <c r="H243" i="1"/>
  <c r="D243" i="1"/>
  <c r="A243" i="1"/>
  <c r="C243" i="1"/>
  <c r="E243" i="1"/>
  <c r="F243" i="1"/>
  <c r="G3615" i="1"/>
  <c r="H3615" i="1"/>
  <c r="D3615" i="1"/>
  <c r="A3615" i="1"/>
  <c r="C3615" i="1"/>
  <c r="E3615" i="1"/>
  <c r="F3615" i="1"/>
  <c r="G1680" i="1"/>
  <c r="H1680" i="1"/>
  <c r="D1680" i="1"/>
  <c r="A1680" i="1"/>
  <c r="C1680" i="1"/>
  <c r="E1680" i="1"/>
  <c r="F1680" i="1"/>
  <c r="G4847" i="1"/>
  <c r="H4847" i="1"/>
  <c r="D4847" i="1"/>
  <c r="A4847" i="1"/>
  <c r="C4847" i="1"/>
  <c r="E4847" i="1"/>
  <c r="F4847" i="1"/>
  <c r="G4202" i="1"/>
  <c r="H4202" i="1"/>
  <c r="D4202" i="1"/>
  <c r="A4202" i="1"/>
  <c r="C4202" i="1"/>
  <c r="E4202" i="1"/>
  <c r="F4202" i="1"/>
  <c r="G489" i="1"/>
  <c r="H489" i="1"/>
  <c r="D489" i="1"/>
  <c r="A489" i="1"/>
  <c r="C489" i="1"/>
  <c r="E489" i="1"/>
  <c r="F489" i="1"/>
  <c r="G3811" i="1"/>
  <c r="H3811" i="1"/>
  <c r="D3811" i="1"/>
  <c r="A3811" i="1"/>
  <c r="C3811" i="1"/>
  <c r="E3811" i="1"/>
  <c r="F3811" i="1"/>
  <c r="G3772" i="1"/>
  <c r="H3772" i="1"/>
  <c r="D3772" i="1"/>
  <c r="A3772" i="1"/>
  <c r="C3772" i="1"/>
  <c r="E3772" i="1"/>
  <c r="F3772" i="1"/>
  <c r="G520" i="1"/>
  <c r="H520" i="1"/>
  <c r="D520" i="1"/>
  <c r="A520" i="1"/>
  <c r="C520" i="1"/>
  <c r="E520" i="1"/>
  <c r="F520" i="1"/>
  <c r="G2395" i="1"/>
  <c r="H2395" i="1"/>
  <c r="D2395" i="1"/>
  <c r="A2395" i="1"/>
  <c r="C2395" i="1"/>
  <c r="E2395" i="1"/>
  <c r="F2395" i="1"/>
  <c r="G3437" i="1"/>
  <c r="H3437" i="1"/>
  <c r="D3437" i="1"/>
  <c r="A3437" i="1"/>
  <c r="C3437" i="1"/>
  <c r="E3437" i="1"/>
  <c r="F3437" i="1"/>
  <c r="G3427" i="1"/>
  <c r="H3427" i="1"/>
  <c r="D3427" i="1"/>
  <c r="A3427" i="1"/>
  <c r="C3427" i="1"/>
  <c r="E3427" i="1"/>
  <c r="F3427" i="1"/>
  <c r="G3428" i="1"/>
  <c r="H3428" i="1"/>
  <c r="D3428" i="1"/>
  <c r="A3428" i="1"/>
  <c r="C3428" i="1"/>
  <c r="E3428" i="1"/>
  <c r="F3428" i="1"/>
  <c r="G957" i="1"/>
  <c r="H957" i="1"/>
  <c r="D957" i="1"/>
  <c r="A957" i="1"/>
  <c r="C957" i="1"/>
  <c r="E957" i="1"/>
  <c r="F957" i="1"/>
  <c r="G1771" i="1"/>
  <c r="H1771" i="1"/>
  <c r="D1771" i="1"/>
  <c r="A1771" i="1"/>
  <c r="C1771" i="1"/>
  <c r="E1771" i="1"/>
  <c r="F1771" i="1"/>
  <c r="G3791" i="1"/>
  <c r="H3791" i="1"/>
  <c r="D3791" i="1"/>
  <c r="A3791" i="1"/>
  <c r="C3791" i="1"/>
  <c r="E3791" i="1"/>
  <c r="F3791" i="1"/>
  <c r="G1528" i="1"/>
  <c r="H1528" i="1"/>
  <c r="D1528" i="1"/>
  <c r="A1528" i="1"/>
  <c r="C1528" i="1"/>
  <c r="E1528" i="1"/>
  <c r="F1528" i="1"/>
  <c r="G2577" i="1"/>
  <c r="H2577" i="1"/>
  <c r="D2577" i="1"/>
  <c r="A2577" i="1"/>
  <c r="C2577" i="1"/>
  <c r="E2577" i="1"/>
  <c r="F2577" i="1"/>
  <c r="G959" i="1"/>
  <c r="H959" i="1"/>
  <c r="D959" i="1"/>
  <c r="A959" i="1"/>
  <c r="C959" i="1"/>
  <c r="E959" i="1"/>
  <c r="F959" i="1"/>
  <c r="G4552" i="1"/>
  <c r="H4552" i="1"/>
  <c r="D4552" i="1"/>
  <c r="A4552" i="1"/>
  <c r="C4552" i="1"/>
  <c r="E4552" i="1"/>
  <c r="F4552" i="1"/>
  <c r="G3590" i="1"/>
  <c r="H3590" i="1"/>
  <c r="D3590" i="1"/>
  <c r="A3590" i="1"/>
  <c r="C3590" i="1"/>
  <c r="E3590" i="1"/>
  <c r="F3590" i="1"/>
  <c r="G459" i="1"/>
  <c r="H459" i="1"/>
  <c r="D459" i="1"/>
  <c r="A459" i="1"/>
  <c r="C459" i="1"/>
  <c r="E459" i="1"/>
  <c r="F459" i="1"/>
  <c r="G2135" i="1"/>
  <c r="H2135" i="1"/>
  <c r="D2135" i="1"/>
  <c r="A2135" i="1"/>
  <c r="C2135" i="1"/>
  <c r="E2135" i="1"/>
  <c r="F2135" i="1"/>
  <c r="G4226" i="1"/>
  <c r="H4226" i="1"/>
  <c r="D4226" i="1"/>
  <c r="A4226" i="1"/>
  <c r="C4226" i="1"/>
  <c r="E4226" i="1"/>
  <c r="F4226" i="1"/>
  <c r="G3509" i="1"/>
  <c r="H3509" i="1"/>
  <c r="D3509" i="1"/>
  <c r="A3509" i="1"/>
  <c r="C3509" i="1"/>
  <c r="E3509" i="1"/>
  <c r="F3509" i="1"/>
  <c r="G2171" i="1"/>
  <c r="H2171" i="1"/>
  <c r="D2171" i="1"/>
  <c r="A2171" i="1"/>
  <c r="C2171" i="1"/>
  <c r="E2171" i="1"/>
  <c r="F2171" i="1"/>
  <c r="G878" i="1"/>
  <c r="H878" i="1"/>
  <c r="D878" i="1"/>
  <c r="A878" i="1"/>
  <c r="C878" i="1"/>
  <c r="E878" i="1"/>
  <c r="F878" i="1"/>
  <c r="G973" i="1"/>
  <c r="H973" i="1"/>
  <c r="D973" i="1"/>
  <c r="A973" i="1"/>
  <c r="C973" i="1"/>
  <c r="E973" i="1"/>
  <c r="F973" i="1"/>
  <c r="G836" i="1"/>
  <c r="H836" i="1"/>
  <c r="D836" i="1"/>
  <c r="A836" i="1"/>
  <c r="C836" i="1"/>
  <c r="E836" i="1"/>
  <c r="F836" i="1"/>
  <c r="G1247" i="1"/>
  <c r="H1247" i="1"/>
  <c r="D1247" i="1"/>
  <c r="A1247" i="1"/>
  <c r="C1247" i="1"/>
  <c r="E1247" i="1"/>
  <c r="F1247" i="1"/>
  <c r="G2978" i="1"/>
  <c r="H2978" i="1"/>
  <c r="D2978" i="1"/>
  <c r="A2978" i="1"/>
  <c r="C2978" i="1"/>
  <c r="E2978" i="1"/>
  <c r="F2978" i="1"/>
  <c r="G3778" i="1"/>
  <c r="H3778" i="1"/>
  <c r="D3778" i="1"/>
  <c r="A3778" i="1"/>
  <c r="C3778" i="1"/>
  <c r="E3778" i="1"/>
  <c r="F3778" i="1"/>
  <c r="G3586" i="1"/>
  <c r="H3586" i="1"/>
  <c r="D3586" i="1"/>
  <c r="A3586" i="1"/>
  <c r="C3586" i="1"/>
  <c r="E3586" i="1"/>
  <c r="F3586" i="1"/>
  <c r="G1246" i="1"/>
  <c r="H1246" i="1"/>
  <c r="D1246" i="1"/>
  <c r="A1246" i="1"/>
  <c r="C1246" i="1"/>
  <c r="E1246" i="1"/>
  <c r="F1246" i="1"/>
  <c r="G2157" i="1"/>
  <c r="H2157" i="1"/>
  <c r="D2157" i="1"/>
  <c r="A2157" i="1"/>
  <c r="C2157" i="1"/>
  <c r="E2157" i="1"/>
  <c r="F2157" i="1"/>
  <c r="G3038" i="1"/>
  <c r="H3038" i="1"/>
  <c r="D3038" i="1"/>
  <c r="A3038" i="1"/>
  <c r="C3038" i="1"/>
  <c r="E3038" i="1"/>
  <c r="F3038" i="1"/>
  <c r="G1675" i="1"/>
  <c r="H1675" i="1"/>
  <c r="D1675" i="1"/>
  <c r="A1675" i="1"/>
  <c r="C1675" i="1"/>
  <c r="E1675" i="1"/>
  <c r="F1675" i="1"/>
  <c r="G1673" i="1"/>
  <c r="H1673" i="1"/>
  <c r="D1673" i="1"/>
  <c r="A1673" i="1"/>
  <c r="C1673" i="1"/>
  <c r="E1673" i="1"/>
  <c r="F1673" i="1"/>
  <c r="G1674" i="1"/>
  <c r="H1674" i="1"/>
  <c r="D1674" i="1"/>
  <c r="A1674" i="1"/>
  <c r="C1674" i="1"/>
  <c r="E1674" i="1"/>
  <c r="F1674" i="1"/>
  <c r="G3591" i="1"/>
  <c r="H3591" i="1"/>
  <c r="D3591" i="1"/>
  <c r="A3591" i="1"/>
  <c r="C3591" i="1"/>
  <c r="E3591" i="1"/>
  <c r="F3591" i="1"/>
  <c r="G4652" i="1"/>
  <c r="H4652" i="1"/>
  <c r="D4652" i="1"/>
  <c r="A4652" i="1"/>
  <c r="C4652" i="1"/>
  <c r="E4652" i="1"/>
  <c r="F4652" i="1"/>
  <c r="G5085" i="1"/>
  <c r="H5085" i="1"/>
  <c r="D5085" i="1"/>
  <c r="A5085" i="1"/>
  <c r="C5085" i="1"/>
  <c r="E5085" i="1"/>
  <c r="F5085" i="1"/>
  <c r="G4316" i="1"/>
  <c r="H4316" i="1"/>
  <c r="D4316" i="1"/>
  <c r="A4316" i="1"/>
  <c r="C4316" i="1"/>
  <c r="E4316" i="1"/>
  <c r="F4316" i="1"/>
  <c r="G4411" i="1"/>
  <c r="H4411" i="1"/>
  <c r="D4411" i="1"/>
  <c r="A4411" i="1"/>
  <c r="C4411" i="1"/>
  <c r="E4411" i="1"/>
  <c r="F4411" i="1"/>
  <c r="G1105" i="1"/>
  <c r="H1105" i="1"/>
  <c r="D1105" i="1"/>
  <c r="A1105" i="1"/>
  <c r="C1105" i="1"/>
  <c r="E1105" i="1"/>
  <c r="F1105" i="1"/>
  <c r="G3331" i="1"/>
  <c r="H3331" i="1"/>
  <c r="D3331" i="1"/>
  <c r="A3331" i="1"/>
  <c r="C3331" i="1"/>
  <c r="E3331" i="1"/>
  <c r="F3331" i="1"/>
  <c r="G1735" i="1"/>
  <c r="H1735" i="1"/>
  <c r="D1735" i="1"/>
  <c r="A1735" i="1"/>
  <c r="C1735" i="1"/>
  <c r="E1735" i="1"/>
  <c r="F1735" i="1"/>
  <c r="G1753" i="1"/>
  <c r="H1753" i="1"/>
  <c r="D1753" i="1"/>
  <c r="A1753" i="1"/>
  <c r="C1753" i="1"/>
  <c r="E1753" i="1"/>
  <c r="F1753" i="1"/>
  <c r="G3051" i="1"/>
  <c r="H3051" i="1"/>
  <c r="D3051" i="1"/>
  <c r="A3051" i="1"/>
  <c r="C3051" i="1"/>
  <c r="E3051" i="1"/>
  <c r="F3051" i="1"/>
  <c r="G659" i="1"/>
  <c r="H659" i="1"/>
  <c r="D659" i="1"/>
  <c r="A659" i="1"/>
  <c r="C659" i="1"/>
  <c r="E659" i="1"/>
  <c r="F659" i="1"/>
  <c r="G2180" i="1"/>
  <c r="H2180" i="1"/>
  <c r="D2180" i="1"/>
  <c r="A2180" i="1"/>
  <c r="C2180" i="1"/>
  <c r="E2180" i="1"/>
  <c r="F2180" i="1"/>
  <c r="G3355" i="1"/>
  <c r="H3355" i="1"/>
  <c r="D3355" i="1"/>
  <c r="A3355" i="1"/>
  <c r="C3355" i="1"/>
  <c r="E3355" i="1"/>
  <c r="F3355" i="1"/>
  <c r="G1517" i="1"/>
  <c r="H1517" i="1"/>
  <c r="D1517" i="1"/>
  <c r="A1517" i="1"/>
  <c r="C1517" i="1"/>
  <c r="E1517" i="1"/>
  <c r="F1517" i="1"/>
  <c r="G176" i="1"/>
  <c r="H176" i="1"/>
  <c r="D176" i="1"/>
  <c r="A176" i="1"/>
  <c r="C176" i="1"/>
  <c r="E176" i="1"/>
  <c r="F176" i="1"/>
  <c r="G3686" i="1"/>
  <c r="H3686" i="1"/>
  <c r="D3686" i="1"/>
  <c r="A3686" i="1"/>
  <c r="C3686" i="1"/>
  <c r="E3686" i="1"/>
  <c r="F3686" i="1"/>
  <c r="G2806" i="1"/>
  <c r="H2806" i="1"/>
  <c r="D2806" i="1"/>
  <c r="A2806" i="1"/>
  <c r="C2806" i="1"/>
  <c r="E2806" i="1"/>
  <c r="F2806" i="1"/>
  <c r="G2951" i="1"/>
  <c r="H2951" i="1"/>
  <c r="D2951" i="1"/>
  <c r="A2951" i="1"/>
  <c r="C2951" i="1"/>
  <c r="E2951" i="1"/>
  <c r="F2951" i="1"/>
  <c r="G368" i="1"/>
  <c r="H368" i="1"/>
  <c r="D368" i="1"/>
  <c r="A368" i="1"/>
  <c r="C368" i="1"/>
  <c r="E368" i="1"/>
  <c r="F368" i="1"/>
  <c r="G367" i="1"/>
  <c r="H367" i="1"/>
  <c r="D367" i="1"/>
  <c r="A367" i="1"/>
  <c r="C367" i="1"/>
  <c r="E367" i="1"/>
  <c r="F367" i="1"/>
  <c r="G348" i="1"/>
  <c r="H348" i="1"/>
  <c r="D348" i="1"/>
  <c r="A348" i="1"/>
  <c r="C348" i="1"/>
  <c r="E348" i="1"/>
  <c r="F348" i="1"/>
  <c r="G4001" i="1"/>
  <c r="H4001" i="1"/>
  <c r="D4001" i="1"/>
  <c r="A4001" i="1"/>
  <c r="C4001" i="1"/>
  <c r="E4001" i="1"/>
  <c r="F4001" i="1"/>
  <c r="G1858" i="1"/>
  <c r="H1858" i="1"/>
  <c r="D1858" i="1"/>
  <c r="A1858" i="1"/>
  <c r="C1858" i="1"/>
  <c r="E1858" i="1"/>
  <c r="F1858" i="1"/>
  <c r="G35" i="1"/>
  <c r="H35" i="1"/>
  <c r="D35" i="1"/>
  <c r="A35" i="1"/>
  <c r="C35" i="1"/>
  <c r="E35" i="1"/>
  <c r="F35" i="1"/>
  <c r="G3235" i="1"/>
  <c r="H3235" i="1"/>
  <c r="D3235" i="1"/>
  <c r="A3235" i="1"/>
  <c r="C3235" i="1"/>
  <c r="E3235" i="1"/>
  <c r="F3235" i="1"/>
  <c r="G3599" i="1"/>
  <c r="H3599" i="1"/>
  <c r="D3599" i="1"/>
  <c r="A3599" i="1"/>
  <c r="C3599" i="1"/>
  <c r="E3599" i="1"/>
  <c r="F3599" i="1"/>
  <c r="G909" i="1"/>
  <c r="H909" i="1"/>
  <c r="D909" i="1"/>
  <c r="A909" i="1"/>
  <c r="C909" i="1"/>
  <c r="E909" i="1"/>
  <c r="F909" i="1"/>
  <c r="G2191" i="1"/>
  <c r="H2191" i="1"/>
  <c r="D2191" i="1"/>
  <c r="A2191" i="1"/>
  <c r="C2191" i="1"/>
  <c r="E2191" i="1"/>
  <c r="F2191" i="1"/>
  <c r="G257" i="1"/>
  <c r="H257" i="1"/>
  <c r="D257" i="1"/>
  <c r="A257" i="1"/>
  <c r="C257" i="1"/>
  <c r="E257" i="1"/>
  <c r="F257" i="1"/>
  <c r="G811" i="1"/>
  <c r="H811" i="1"/>
  <c r="D811" i="1"/>
  <c r="A811" i="1"/>
  <c r="C811" i="1"/>
  <c r="E811" i="1"/>
  <c r="F811" i="1"/>
  <c r="G1042" i="1"/>
  <c r="H1042" i="1"/>
  <c r="D1042" i="1"/>
  <c r="A1042" i="1"/>
  <c r="C1042" i="1"/>
  <c r="E1042" i="1"/>
  <c r="F1042" i="1"/>
  <c r="G724" i="1"/>
  <c r="H724" i="1"/>
  <c r="D724" i="1"/>
  <c r="A724" i="1"/>
  <c r="C724" i="1"/>
  <c r="E724" i="1"/>
  <c r="F724" i="1"/>
  <c r="G3761" i="1"/>
  <c r="H3761" i="1"/>
  <c r="D3761" i="1"/>
  <c r="A3761" i="1"/>
  <c r="C3761" i="1"/>
  <c r="E3761" i="1"/>
  <c r="F3761" i="1"/>
  <c r="G1251" i="1"/>
  <c r="H1251" i="1"/>
  <c r="D1251" i="1"/>
  <c r="A1251" i="1"/>
  <c r="C1251" i="1"/>
  <c r="E1251" i="1"/>
  <c r="F1251" i="1"/>
  <c r="G1046" i="1"/>
  <c r="H1046" i="1"/>
  <c r="D1046" i="1"/>
  <c r="A1046" i="1"/>
  <c r="C1046" i="1"/>
  <c r="E1046" i="1"/>
  <c r="F1046" i="1"/>
  <c r="G3042" i="1"/>
  <c r="H3042" i="1"/>
  <c r="D3042" i="1"/>
  <c r="A3042" i="1"/>
  <c r="C3042" i="1"/>
  <c r="E3042" i="1"/>
  <c r="F3042" i="1"/>
  <c r="G3510" i="1"/>
  <c r="H3510" i="1"/>
  <c r="D3510" i="1"/>
  <c r="A3510" i="1"/>
  <c r="C3510" i="1"/>
  <c r="E3510" i="1"/>
  <c r="F3510" i="1"/>
  <c r="G2602" i="1"/>
  <c r="H2602" i="1"/>
  <c r="D2602" i="1"/>
  <c r="A2602" i="1"/>
  <c r="C2602" i="1"/>
  <c r="E2602" i="1"/>
  <c r="F2602" i="1"/>
  <c r="G2698" i="1"/>
  <c r="H2698" i="1"/>
  <c r="D2698" i="1"/>
  <c r="A2698" i="1"/>
  <c r="C2698" i="1"/>
  <c r="E2698" i="1"/>
  <c r="F2698" i="1"/>
  <c r="G1786" i="1"/>
  <c r="H1786" i="1"/>
  <c r="D1786" i="1"/>
  <c r="A1786" i="1"/>
  <c r="C1786" i="1"/>
  <c r="E1786" i="1"/>
  <c r="F1786" i="1"/>
  <c r="G2703" i="1"/>
  <c r="H2703" i="1"/>
  <c r="D2703" i="1"/>
  <c r="A2703" i="1"/>
  <c r="C2703" i="1"/>
  <c r="E2703" i="1"/>
  <c r="F2703" i="1"/>
  <c r="G4032" i="1"/>
  <c r="H4032" i="1"/>
  <c r="D4032" i="1"/>
  <c r="A4032" i="1"/>
  <c r="C4032" i="1"/>
  <c r="E4032" i="1"/>
  <c r="F4032" i="1"/>
  <c r="G5064" i="1"/>
  <c r="H5064" i="1"/>
  <c r="D5064" i="1"/>
  <c r="A5064" i="1"/>
  <c r="C5064" i="1"/>
  <c r="E5064" i="1"/>
  <c r="F5064" i="1"/>
  <c r="G2828" i="1"/>
  <c r="H2828" i="1"/>
  <c r="D2828" i="1"/>
  <c r="A2828" i="1"/>
  <c r="C2828" i="1"/>
  <c r="E2828" i="1"/>
  <c r="F2828" i="1"/>
  <c r="G3805" i="1"/>
  <c r="H3805" i="1"/>
  <c r="D3805" i="1"/>
  <c r="A3805" i="1"/>
  <c r="C3805" i="1"/>
  <c r="E3805" i="1"/>
  <c r="F3805" i="1"/>
  <c r="G1846" i="1"/>
  <c r="H1846" i="1"/>
  <c r="D1846" i="1"/>
  <c r="A1846" i="1"/>
  <c r="C1846" i="1"/>
  <c r="E1846" i="1"/>
  <c r="F1846" i="1"/>
  <c r="G2367" i="1"/>
  <c r="H2367" i="1"/>
  <c r="D2367" i="1"/>
  <c r="A2367" i="1"/>
  <c r="C2367" i="1"/>
  <c r="E2367" i="1"/>
  <c r="F2367" i="1"/>
  <c r="G2870" i="1"/>
  <c r="H2870" i="1"/>
  <c r="D2870" i="1"/>
  <c r="A2870" i="1"/>
  <c r="C2870" i="1"/>
  <c r="E2870" i="1"/>
  <c r="F2870" i="1"/>
  <c r="G3218" i="1"/>
  <c r="H3218" i="1"/>
  <c r="D3218" i="1"/>
  <c r="A3218" i="1"/>
  <c r="C3218" i="1"/>
  <c r="E3218" i="1"/>
  <c r="F3218" i="1"/>
  <c r="G3219" i="1"/>
  <c r="H3219" i="1"/>
  <c r="D3219" i="1"/>
  <c r="A3219" i="1"/>
  <c r="C3219" i="1"/>
  <c r="E3219" i="1"/>
  <c r="F3219" i="1"/>
  <c r="G183" i="1"/>
  <c r="H183" i="1"/>
  <c r="D183" i="1"/>
  <c r="A183" i="1"/>
  <c r="C183" i="1"/>
  <c r="E183" i="1"/>
  <c r="F183" i="1"/>
  <c r="G3560" i="1"/>
  <c r="H3560" i="1"/>
  <c r="D3560" i="1"/>
  <c r="A3560" i="1"/>
  <c r="C3560" i="1"/>
  <c r="E3560" i="1"/>
  <c r="F3560" i="1"/>
  <c r="G3993" i="1"/>
  <c r="H3993" i="1"/>
  <c r="D3993" i="1"/>
  <c r="A3993" i="1"/>
  <c r="C3993" i="1"/>
  <c r="E3993" i="1"/>
  <c r="F3993" i="1"/>
  <c r="G4782" i="1"/>
  <c r="H4782" i="1"/>
  <c r="D4782" i="1"/>
  <c r="A4782" i="1"/>
  <c r="C4782" i="1"/>
  <c r="E4782" i="1"/>
  <c r="F4782" i="1"/>
  <c r="G4779" i="1"/>
  <c r="H4779" i="1"/>
  <c r="D4779" i="1"/>
  <c r="A4779" i="1"/>
  <c r="C4779" i="1"/>
  <c r="E4779" i="1"/>
  <c r="F4779" i="1"/>
  <c r="G3283" i="1"/>
  <c r="H3283" i="1"/>
  <c r="D3283" i="1"/>
  <c r="A3283" i="1"/>
  <c r="C3283" i="1"/>
  <c r="E3283" i="1"/>
  <c r="F3283" i="1"/>
  <c r="G3497" i="1"/>
  <c r="H3497" i="1"/>
  <c r="D3497" i="1"/>
  <c r="A3497" i="1"/>
  <c r="C3497" i="1"/>
  <c r="E3497" i="1"/>
  <c r="F3497" i="1"/>
  <c r="G4938" i="1"/>
  <c r="H4938" i="1"/>
  <c r="D4938" i="1"/>
  <c r="A4938" i="1"/>
  <c r="C4938" i="1"/>
  <c r="E4938" i="1"/>
  <c r="F4938" i="1"/>
  <c r="G113" i="1"/>
  <c r="H113" i="1"/>
  <c r="D113" i="1"/>
  <c r="A113" i="1"/>
  <c r="C113" i="1"/>
  <c r="E113" i="1"/>
  <c r="F113" i="1"/>
  <c r="G4244" i="1"/>
  <c r="H4244" i="1"/>
  <c r="D4244" i="1"/>
  <c r="A4244" i="1"/>
  <c r="C4244" i="1"/>
  <c r="E4244" i="1"/>
  <c r="F4244" i="1"/>
  <c r="G3679" i="1"/>
  <c r="H3679" i="1"/>
  <c r="D3679" i="1"/>
  <c r="A3679" i="1"/>
  <c r="C3679" i="1"/>
  <c r="E3679" i="1"/>
  <c r="F3679" i="1"/>
  <c r="G5065" i="1"/>
  <c r="H5065" i="1"/>
  <c r="D5065" i="1"/>
  <c r="A5065" i="1"/>
  <c r="C5065" i="1"/>
  <c r="E5065" i="1"/>
  <c r="F5065" i="1"/>
  <c r="G12" i="1"/>
  <c r="H12" i="1"/>
  <c r="D12" i="1"/>
  <c r="A12" i="1"/>
  <c r="C12" i="1"/>
  <c r="E12" i="1"/>
  <c r="F12" i="1"/>
  <c r="G2990" i="1"/>
  <c r="H2990" i="1"/>
  <c r="D2990" i="1"/>
  <c r="A2990" i="1"/>
  <c r="C2990" i="1"/>
  <c r="E2990" i="1"/>
  <c r="F2990" i="1"/>
  <c r="G3487" i="1"/>
  <c r="H3487" i="1"/>
  <c r="D3487" i="1"/>
  <c r="A3487" i="1"/>
  <c r="C3487" i="1"/>
  <c r="E3487" i="1"/>
  <c r="F3487" i="1"/>
  <c r="G2613" i="1"/>
  <c r="H2613" i="1"/>
  <c r="D2613" i="1"/>
  <c r="A2613" i="1"/>
  <c r="C2613" i="1"/>
  <c r="E2613" i="1"/>
  <c r="F2613" i="1"/>
  <c r="G2868" i="1"/>
  <c r="H2868" i="1"/>
  <c r="D2868" i="1"/>
  <c r="A2868" i="1"/>
  <c r="C2868" i="1"/>
  <c r="E2868" i="1"/>
  <c r="F2868" i="1"/>
  <c r="G2270" i="1"/>
  <c r="H2270" i="1"/>
  <c r="D2270" i="1"/>
  <c r="A2270" i="1"/>
  <c r="C2270" i="1"/>
  <c r="E2270" i="1"/>
  <c r="F2270" i="1"/>
  <c r="G4515" i="1"/>
  <c r="H4515" i="1"/>
  <c r="D4515" i="1"/>
  <c r="A4515" i="1"/>
  <c r="C4515" i="1"/>
  <c r="E4515" i="1"/>
  <c r="F4515" i="1"/>
  <c r="G4685" i="1"/>
  <c r="H4685" i="1"/>
  <c r="D4685" i="1"/>
  <c r="A4685" i="1"/>
  <c r="C4685" i="1"/>
  <c r="E4685" i="1"/>
  <c r="F4685" i="1"/>
  <c r="G312" i="1"/>
  <c r="H312" i="1"/>
  <c r="D312" i="1"/>
  <c r="A312" i="1"/>
  <c r="C312" i="1"/>
  <c r="E312" i="1"/>
  <c r="F312" i="1"/>
  <c r="G4125" i="1"/>
  <c r="H4125" i="1"/>
  <c r="D4125" i="1"/>
  <c r="A4125" i="1"/>
  <c r="C4125" i="1"/>
  <c r="E4125" i="1"/>
  <c r="F4125" i="1"/>
  <c r="G2810" i="1"/>
  <c r="H2810" i="1"/>
  <c r="D2810" i="1"/>
  <c r="A2810" i="1"/>
  <c r="C2810" i="1"/>
  <c r="E2810" i="1"/>
  <c r="F2810" i="1"/>
  <c r="G1490" i="1"/>
  <c r="H1490" i="1"/>
  <c r="D1490" i="1"/>
  <c r="A1490" i="1"/>
  <c r="C1490" i="1"/>
  <c r="E1490" i="1"/>
  <c r="F1490" i="1"/>
  <c r="G395" i="1"/>
  <c r="H395" i="1"/>
  <c r="D395" i="1"/>
  <c r="A395" i="1"/>
  <c r="C395" i="1"/>
  <c r="E395" i="1"/>
  <c r="F395" i="1"/>
  <c r="G3319" i="1"/>
  <c r="H3319" i="1"/>
  <c r="D3319" i="1"/>
  <c r="A3319" i="1"/>
  <c r="C3319" i="1"/>
  <c r="E3319" i="1"/>
  <c r="F3319" i="1"/>
  <c r="G3236" i="1"/>
  <c r="H3236" i="1"/>
  <c r="D3236" i="1"/>
  <c r="A3236" i="1"/>
  <c r="C3236" i="1"/>
  <c r="E3236" i="1"/>
  <c r="F3236" i="1"/>
  <c r="G3668" i="1"/>
  <c r="H3668" i="1"/>
  <c r="D3668" i="1"/>
  <c r="A3668" i="1"/>
  <c r="C3668" i="1"/>
  <c r="E3668" i="1"/>
  <c r="F3668" i="1"/>
  <c r="G4993" i="1"/>
  <c r="H4993" i="1"/>
  <c r="D4993" i="1"/>
  <c r="A4993" i="1"/>
  <c r="C4993" i="1"/>
  <c r="E4993" i="1"/>
  <c r="F4993" i="1"/>
  <c r="G4760" i="1"/>
  <c r="H4760" i="1"/>
  <c r="D4760" i="1"/>
  <c r="A4760" i="1"/>
  <c r="C4760" i="1"/>
  <c r="E4760" i="1"/>
  <c r="F4760" i="1"/>
  <c r="G2138" i="1"/>
  <c r="H2138" i="1"/>
  <c r="D2138" i="1"/>
  <c r="A2138" i="1"/>
  <c r="C2138" i="1"/>
  <c r="E2138" i="1"/>
  <c r="F2138" i="1"/>
  <c r="G1988" i="1"/>
  <c r="H1988" i="1"/>
  <c r="D1988" i="1"/>
  <c r="A1988" i="1"/>
  <c r="C1988" i="1"/>
  <c r="E1988" i="1"/>
  <c r="F1988" i="1"/>
  <c r="G2330" i="1"/>
  <c r="H2330" i="1"/>
  <c r="D2330" i="1"/>
  <c r="A2330" i="1"/>
  <c r="C2330" i="1"/>
  <c r="E2330" i="1"/>
  <c r="F2330" i="1"/>
  <c r="G3389" i="1"/>
  <c r="H3389" i="1"/>
  <c r="D3389" i="1"/>
  <c r="A3389" i="1"/>
  <c r="C3389" i="1"/>
  <c r="E3389" i="1"/>
  <c r="F3389" i="1"/>
  <c r="G4081" i="1"/>
  <c r="H4081" i="1"/>
  <c r="D4081" i="1"/>
  <c r="A4081" i="1"/>
  <c r="C4081" i="1"/>
  <c r="E4081" i="1"/>
  <c r="F4081" i="1"/>
  <c r="G3395" i="1"/>
  <c r="H3395" i="1"/>
  <c r="D3395" i="1"/>
  <c r="A3395" i="1"/>
  <c r="C3395" i="1"/>
  <c r="E3395" i="1"/>
  <c r="F3395" i="1"/>
  <c r="G3423" i="1"/>
  <c r="H3423" i="1"/>
  <c r="D3423" i="1"/>
  <c r="A3423" i="1"/>
  <c r="C3423" i="1"/>
  <c r="E3423" i="1"/>
  <c r="F3423" i="1"/>
  <c r="G207" i="1"/>
  <c r="H207" i="1"/>
  <c r="D207" i="1"/>
  <c r="A207" i="1"/>
  <c r="C207" i="1"/>
  <c r="E207" i="1"/>
  <c r="F207" i="1"/>
  <c r="G229" i="1"/>
  <c r="H229" i="1"/>
  <c r="D229" i="1"/>
  <c r="A229" i="1"/>
  <c r="C229" i="1"/>
  <c r="E229" i="1"/>
  <c r="F229" i="1"/>
  <c r="G953" i="1"/>
  <c r="H953" i="1"/>
  <c r="D953" i="1"/>
  <c r="A953" i="1"/>
  <c r="C953" i="1"/>
  <c r="E953" i="1"/>
  <c r="F953" i="1"/>
  <c r="G4394" i="1"/>
  <c r="H4394" i="1"/>
  <c r="D4394" i="1"/>
  <c r="A4394" i="1"/>
  <c r="C4394" i="1"/>
  <c r="E4394" i="1"/>
  <c r="F4394" i="1"/>
  <c r="G1985" i="1"/>
  <c r="H1985" i="1"/>
  <c r="D1985" i="1"/>
  <c r="A1985" i="1"/>
  <c r="C1985" i="1"/>
  <c r="E1985" i="1"/>
  <c r="F1985" i="1"/>
  <c r="G2149" i="1"/>
  <c r="H2149" i="1"/>
  <c r="D2149" i="1"/>
  <c r="A2149" i="1"/>
  <c r="C2149" i="1"/>
  <c r="E2149" i="1"/>
  <c r="F2149" i="1"/>
  <c r="G604" i="1"/>
  <c r="H604" i="1"/>
  <c r="D604" i="1"/>
  <c r="A604" i="1"/>
  <c r="C604" i="1"/>
  <c r="E604" i="1"/>
  <c r="F604" i="1"/>
  <c r="G579" i="1"/>
  <c r="H579" i="1"/>
  <c r="D579" i="1"/>
  <c r="A579" i="1"/>
  <c r="C579" i="1"/>
  <c r="E579" i="1"/>
  <c r="F579" i="1"/>
  <c r="G580" i="1"/>
  <c r="H580" i="1"/>
  <c r="D580" i="1"/>
  <c r="A580" i="1"/>
  <c r="C580" i="1"/>
  <c r="E580" i="1"/>
  <c r="F580" i="1"/>
  <c r="G2678" i="1"/>
  <c r="H2678" i="1"/>
  <c r="D2678" i="1"/>
  <c r="A2678" i="1"/>
  <c r="C2678" i="1"/>
  <c r="E2678" i="1"/>
  <c r="F2678" i="1"/>
  <c r="G275" i="1"/>
  <c r="H275" i="1"/>
  <c r="D275" i="1"/>
  <c r="A275" i="1"/>
  <c r="C275" i="1"/>
  <c r="E275" i="1"/>
  <c r="F275" i="1"/>
  <c r="G1002" i="1"/>
  <c r="H1002" i="1"/>
  <c r="D1002" i="1"/>
  <c r="A1002" i="1"/>
  <c r="C1002" i="1"/>
  <c r="E1002" i="1"/>
  <c r="F1002" i="1"/>
  <c r="G1003" i="1"/>
  <c r="H1003" i="1"/>
  <c r="D1003" i="1"/>
  <c r="A1003" i="1"/>
  <c r="C1003" i="1"/>
  <c r="E1003" i="1"/>
  <c r="F1003" i="1"/>
  <c r="G4720" i="1"/>
  <c r="H4720" i="1"/>
  <c r="D4720" i="1"/>
  <c r="A4720" i="1"/>
  <c r="C4720" i="1"/>
  <c r="E4720" i="1"/>
  <c r="F4720" i="1"/>
  <c r="G601" i="1"/>
  <c r="H601" i="1"/>
  <c r="D601" i="1"/>
  <c r="A601" i="1"/>
  <c r="C601" i="1"/>
  <c r="E601" i="1"/>
  <c r="F601" i="1"/>
  <c r="G906" i="1"/>
  <c r="H906" i="1"/>
  <c r="D906" i="1"/>
  <c r="A906" i="1"/>
  <c r="C906" i="1"/>
  <c r="E906" i="1"/>
  <c r="F906" i="1"/>
  <c r="G1774" i="1"/>
  <c r="H1774" i="1"/>
  <c r="D1774" i="1"/>
  <c r="A1774" i="1"/>
  <c r="C1774" i="1"/>
  <c r="E1774" i="1"/>
  <c r="F1774" i="1"/>
  <c r="G346" i="1"/>
  <c r="H346" i="1"/>
  <c r="D346" i="1"/>
  <c r="A346" i="1"/>
  <c r="C346" i="1"/>
  <c r="E346" i="1"/>
  <c r="F346" i="1"/>
  <c r="G1917" i="1"/>
  <c r="H1917" i="1"/>
  <c r="D1917" i="1"/>
  <c r="A1917" i="1"/>
  <c r="C1917" i="1"/>
  <c r="E1917" i="1"/>
  <c r="F1917" i="1"/>
  <c r="G1918" i="1"/>
  <c r="H1918" i="1"/>
  <c r="D1918" i="1"/>
  <c r="A1918" i="1"/>
  <c r="C1918" i="1"/>
  <c r="E1918" i="1"/>
  <c r="F1918" i="1"/>
  <c r="G1916" i="1"/>
  <c r="H1916" i="1"/>
  <c r="D1916" i="1"/>
  <c r="A1916" i="1"/>
  <c r="C1916" i="1"/>
  <c r="E1916" i="1"/>
  <c r="F1916" i="1"/>
  <c r="G1920" i="1"/>
  <c r="H1920" i="1"/>
  <c r="D1920" i="1"/>
  <c r="A1920" i="1"/>
  <c r="C1920" i="1"/>
  <c r="E1920" i="1"/>
  <c r="F1920" i="1"/>
  <c r="G81" i="1"/>
  <c r="H81" i="1"/>
  <c r="D81" i="1"/>
  <c r="A81" i="1"/>
  <c r="C81" i="1"/>
  <c r="E81" i="1"/>
  <c r="F81" i="1"/>
  <c r="G4669" i="1"/>
  <c r="H4669" i="1"/>
  <c r="D4669" i="1"/>
  <c r="A4669" i="1"/>
  <c r="C4669" i="1"/>
  <c r="E4669" i="1"/>
  <c r="F4669" i="1"/>
  <c r="G2261" i="1"/>
  <c r="H2261" i="1"/>
  <c r="D2261" i="1"/>
  <c r="A2261" i="1"/>
  <c r="C2261" i="1"/>
  <c r="E2261" i="1"/>
  <c r="F2261" i="1"/>
  <c r="G2670" i="1"/>
  <c r="H2670" i="1"/>
  <c r="D2670" i="1"/>
  <c r="A2670" i="1"/>
  <c r="C2670" i="1"/>
  <c r="E2670" i="1"/>
  <c r="F2670" i="1"/>
  <c r="G4390" i="1"/>
  <c r="H4390" i="1"/>
  <c r="D4390" i="1"/>
  <c r="A4390" i="1"/>
  <c r="C4390" i="1"/>
  <c r="E4390" i="1"/>
  <c r="F4390" i="1"/>
  <c r="G4643" i="1"/>
  <c r="H4643" i="1"/>
  <c r="D4643" i="1"/>
  <c r="A4643" i="1"/>
  <c r="C4643" i="1"/>
  <c r="E4643" i="1"/>
  <c r="F4643" i="1"/>
  <c r="G665" i="1"/>
  <c r="H665" i="1"/>
  <c r="D665" i="1"/>
  <c r="A665" i="1"/>
  <c r="C665" i="1"/>
  <c r="E665" i="1"/>
  <c r="F665" i="1"/>
  <c r="G475" i="1"/>
  <c r="H475" i="1"/>
  <c r="D475" i="1"/>
  <c r="A475" i="1"/>
  <c r="C475" i="1"/>
  <c r="E475" i="1"/>
  <c r="F475" i="1"/>
  <c r="G1657" i="1"/>
  <c r="H1657" i="1"/>
  <c r="D1657" i="1"/>
  <c r="A1657" i="1"/>
  <c r="C1657" i="1"/>
  <c r="E1657" i="1"/>
  <c r="F1657" i="1"/>
  <c r="G1659" i="1"/>
  <c r="H1659" i="1"/>
  <c r="D1659" i="1"/>
  <c r="A1659" i="1"/>
  <c r="C1659" i="1"/>
  <c r="E1659" i="1"/>
  <c r="F1659" i="1"/>
  <c r="G2537" i="1"/>
  <c r="H2537" i="1"/>
  <c r="D2537" i="1"/>
  <c r="A2537" i="1"/>
  <c r="C2537" i="1"/>
  <c r="E2537" i="1"/>
  <c r="F2537" i="1"/>
  <c r="G4149" i="1"/>
  <c r="H4149" i="1"/>
  <c r="D4149" i="1"/>
  <c r="A4149" i="1"/>
  <c r="C4149" i="1"/>
  <c r="E4149" i="1"/>
  <c r="F4149" i="1"/>
  <c r="G3449" i="1"/>
  <c r="H3449" i="1"/>
  <c r="D3449" i="1"/>
  <c r="A3449" i="1"/>
  <c r="C3449" i="1"/>
  <c r="E3449" i="1"/>
  <c r="F3449" i="1"/>
  <c r="G3135" i="1"/>
  <c r="H3135" i="1"/>
  <c r="D3135" i="1"/>
  <c r="A3135" i="1"/>
  <c r="C3135" i="1"/>
  <c r="E3135" i="1"/>
  <c r="F3135" i="1"/>
  <c r="G3824" i="1"/>
  <c r="H3824" i="1"/>
  <c r="D3824" i="1"/>
  <c r="A3824" i="1"/>
  <c r="C3824" i="1"/>
  <c r="E3824" i="1"/>
  <c r="F3824" i="1"/>
  <c r="G445" i="1"/>
  <c r="H445" i="1"/>
  <c r="D445" i="1"/>
  <c r="A445" i="1"/>
  <c r="C445" i="1"/>
  <c r="E445" i="1"/>
  <c r="F445" i="1"/>
  <c r="G3899" i="1"/>
  <c r="H3899" i="1"/>
  <c r="D3899" i="1"/>
  <c r="A3899" i="1"/>
  <c r="C3899" i="1"/>
  <c r="E3899" i="1"/>
  <c r="F3899" i="1"/>
  <c r="G4451" i="1"/>
  <c r="H4451" i="1"/>
  <c r="D4451" i="1"/>
  <c r="A4451" i="1"/>
  <c r="C4451" i="1"/>
  <c r="E4451" i="1"/>
  <c r="F4451" i="1"/>
  <c r="G4021" i="1"/>
  <c r="H4021" i="1"/>
  <c r="D4021" i="1"/>
  <c r="A4021" i="1"/>
  <c r="C4021" i="1"/>
  <c r="E4021" i="1"/>
  <c r="F4021" i="1"/>
  <c r="G3013" i="1"/>
  <c r="H3013" i="1"/>
  <c r="D3013" i="1"/>
  <c r="A3013" i="1"/>
  <c r="C3013" i="1"/>
  <c r="E3013" i="1"/>
  <c r="F3013" i="1"/>
  <c r="G2783" i="1"/>
  <c r="H2783" i="1"/>
  <c r="D2783" i="1"/>
  <c r="A2783" i="1"/>
  <c r="C2783" i="1"/>
  <c r="E2783" i="1"/>
  <c r="F2783" i="1"/>
  <c r="G970" i="1"/>
  <c r="H970" i="1"/>
  <c r="D970" i="1"/>
  <c r="A970" i="1"/>
  <c r="C970" i="1"/>
  <c r="E970" i="1"/>
  <c r="F970" i="1"/>
  <c r="G2292" i="1"/>
  <c r="H2292" i="1"/>
  <c r="D2292" i="1"/>
  <c r="A2292" i="1"/>
  <c r="C2292" i="1"/>
  <c r="E2292" i="1"/>
  <c r="F2292" i="1"/>
  <c r="G753" i="1"/>
  <c r="H753" i="1"/>
  <c r="D753" i="1"/>
  <c r="A753" i="1"/>
  <c r="C753" i="1"/>
  <c r="E753" i="1"/>
  <c r="F753" i="1"/>
  <c r="G1606" i="1"/>
  <c r="H1606" i="1"/>
  <c r="D1606" i="1"/>
  <c r="A1606" i="1"/>
  <c r="C1606" i="1"/>
  <c r="E1606" i="1"/>
  <c r="F1606" i="1"/>
  <c r="G3210" i="1"/>
  <c r="H3210" i="1"/>
  <c r="D3210" i="1"/>
  <c r="A3210" i="1"/>
  <c r="C3210" i="1"/>
  <c r="E3210" i="1"/>
  <c r="F3210" i="1"/>
  <c r="G1555" i="1"/>
  <c r="H1555" i="1"/>
  <c r="D1555" i="1"/>
  <c r="A1555" i="1"/>
  <c r="C1555" i="1"/>
  <c r="E1555" i="1"/>
  <c r="F1555" i="1"/>
  <c r="G1750" i="1"/>
  <c r="H1750" i="1"/>
  <c r="D1750" i="1"/>
  <c r="A1750" i="1"/>
  <c r="C1750" i="1"/>
  <c r="E1750" i="1"/>
  <c r="F1750" i="1"/>
  <c r="G1833" i="1"/>
  <c r="H1833" i="1"/>
  <c r="D1833" i="1"/>
  <c r="A1833" i="1"/>
  <c r="C1833" i="1"/>
  <c r="E1833" i="1"/>
  <c r="F1833" i="1"/>
  <c r="G682" i="1"/>
  <c r="H682" i="1"/>
  <c r="D682" i="1"/>
  <c r="A682" i="1"/>
  <c r="C682" i="1"/>
  <c r="E682" i="1"/>
  <c r="F682" i="1"/>
  <c r="G2984" i="1"/>
  <c r="H2984" i="1"/>
  <c r="D2984" i="1"/>
  <c r="A2984" i="1"/>
  <c r="C2984" i="1"/>
  <c r="E2984" i="1"/>
  <c r="F2984" i="1"/>
  <c r="G4494" i="1"/>
  <c r="H4494" i="1"/>
  <c r="D4494" i="1"/>
  <c r="A4494" i="1"/>
  <c r="C4494" i="1"/>
  <c r="E4494" i="1"/>
  <c r="F4494" i="1"/>
  <c r="G4332" i="1"/>
  <c r="H4332" i="1"/>
  <c r="D4332" i="1"/>
  <c r="A4332" i="1"/>
  <c r="C4332" i="1"/>
  <c r="E4332" i="1"/>
  <c r="F4332" i="1"/>
  <c r="G37" i="1"/>
  <c r="H37" i="1"/>
  <c r="D37" i="1"/>
  <c r="A37" i="1"/>
  <c r="C37" i="1"/>
  <c r="E37" i="1"/>
  <c r="F37" i="1"/>
  <c r="G8" i="1"/>
  <c r="H8" i="1"/>
  <c r="D8" i="1"/>
  <c r="A8" i="1"/>
  <c r="C8" i="1"/>
  <c r="E8" i="1"/>
  <c r="F8" i="1"/>
  <c r="G4183" i="1"/>
  <c r="H4183" i="1"/>
  <c r="D4183" i="1"/>
  <c r="A4183" i="1"/>
  <c r="C4183" i="1"/>
  <c r="E4183" i="1"/>
  <c r="F4183" i="1"/>
  <c r="G4982" i="1"/>
  <c r="H4982" i="1"/>
  <c r="D4982" i="1"/>
  <c r="A4982" i="1"/>
  <c r="C4982" i="1"/>
  <c r="E4982" i="1"/>
  <c r="F4982" i="1"/>
  <c r="G107" i="1"/>
  <c r="H107" i="1"/>
  <c r="D107" i="1"/>
  <c r="A107" i="1"/>
  <c r="C107" i="1"/>
  <c r="E107" i="1"/>
  <c r="F107" i="1"/>
  <c r="G4531" i="1"/>
  <c r="H4531" i="1"/>
  <c r="D4531" i="1"/>
  <c r="A4531" i="1"/>
  <c r="C4531" i="1"/>
  <c r="E4531" i="1"/>
  <c r="F4531" i="1"/>
  <c r="G5054" i="1"/>
  <c r="H5054" i="1"/>
  <c r="D5054" i="1"/>
  <c r="A5054" i="1"/>
  <c r="C5054" i="1"/>
  <c r="E5054" i="1"/>
  <c r="F5054" i="1"/>
  <c r="G2265" i="1"/>
  <c r="H2265" i="1"/>
  <c r="D2265" i="1"/>
  <c r="A2265" i="1"/>
  <c r="C2265" i="1"/>
  <c r="E2265" i="1"/>
  <c r="F2265" i="1"/>
  <c r="G4787" i="1"/>
  <c r="H4787" i="1"/>
  <c r="D4787" i="1"/>
  <c r="A4787" i="1"/>
  <c r="C4787" i="1"/>
  <c r="E4787" i="1"/>
  <c r="F4787" i="1"/>
  <c r="G4608" i="1"/>
  <c r="H4608" i="1"/>
  <c r="D4608" i="1"/>
  <c r="A4608" i="1"/>
  <c r="C4608" i="1"/>
  <c r="E4608" i="1"/>
  <c r="F4608" i="1"/>
  <c r="G338" i="1"/>
  <c r="H338" i="1"/>
  <c r="D338" i="1"/>
  <c r="A338" i="1"/>
  <c r="C338" i="1"/>
  <c r="E338" i="1"/>
  <c r="F338" i="1"/>
  <c r="G432" i="1"/>
  <c r="H432" i="1"/>
  <c r="D432" i="1"/>
  <c r="A432" i="1"/>
  <c r="C432" i="1"/>
  <c r="E432" i="1"/>
  <c r="F432" i="1"/>
  <c r="G2798" i="1"/>
  <c r="H2798" i="1"/>
  <c r="D2798" i="1"/>
  <c r="A2798" i="1"/>
  <c r="C2798" i="1"/>
  <c r="E2798" i="1"/>
  <c r="F2798" i="1"/>
  <c r="G2853" i="1"/>
  <c r="H2853" i="1"/>
  <c r="D2853" i="1"/>
  <c r="A2853" i="1"/>
  <c r="C2853" i="1"/>
  <c r="E2853" i="1"/>
  <c r="F2853" i="1"/>
  <c r="G1804" i="1"/>
  <c r="H1804" i="1"/>
  <c r="D1804" i="1"/>
  <c r="A1804" i="1"/>
  <c r="C1804" i="1"/>
  <c r="E1804" i="1"/>
  <c r="F1804" i="1"/>
  <c r="G1803" i="1"/>
  <c r="H1803" i="1"/>
  <c r="D1803" i="1"/>
  <c r="A1803" i="1"/>
  <c r="C1803" i="1"/>
  <c r="E1803" i="1"/>
  <c r="F1803" i="1"/>
  <c r="G40" i="1"/>
  <c r="H40" i="1"/>
  <c r="D40" i="1"/>
  <c r="A40" i="1"/>
  <c r="C40" i="1"/>
  <c r="E40" i="1"/>
  <c r="F40" i="1"/>
  <c r="G417" i="1"/>
  <c r="H417" i="1"/>
  <c r="D417" i="1"/>
  <c r="A417" i="1"/>
  <c r="C417" i="1"/>
  <c r="E417" i="1"/>
  <c r="F417" i="1"/>
  <c r="G1559" i="1"/>
  <c r="H1559" i="1"/>
  <c r="D1559" i="1"/>
  <c r="A1559" i="1"/>
  <c r="C1559" i="1"/>
  <c r="E1559" i="1"/>
  <c r="F1559" i="1"/>
  <c r="G3569" i="1"/>
  <c r="H3569" i="1"/>
  <c r="D3569" i="1"/>
  <c r="A3569" i="1"/>
  <c r="C3569" i="1"/>
  <c r="E3569" i="1"/>
  <c r="F3569" i="1"/>
  <c r="G2326" i="1"/>
  <c r="H2326" i="1"/>
  <c r="D2326" i="1"/>
  <c r="A2326" i="1"/>
  <c r="C2326" i="1"/>
  <c r="E2326" i="1"/>
  <c r="F2326" i="1"/>
  <c r="G2799" i="1"/>
  <c r="H2799" i="1"/>
  <c r="D2799" i="1"/>
  <c r="A2799" i="1"/>
  <c r="C2799" i="1"/>
  <c r="E2799" i="1"/>
  <c r="F2799" i="1"/>
  <c r="G4881" i="1"/>
  <c r="H4881" i="1"/>
  <c r="D4881" i="1"/>
  <c r="A4881" i="1"/>
  <c r="C4881" i="1"/>
  <c r="E4881" i="1"/>
  <c r="F4881" i="1"/>
  <c r="G4010" i="1"/>
  <c r="H4010" i="1"/>
  <c r="D4010" i="1"/>
  <c r="A4010" i="1"/>
  <c r="C4010" i="1"/>
  <c r="E4010" i="1"/>
  <c r="F4010" i="1"/>
  <c r="G632" i="1"/>
  <c r="H632" i="1"/>
  <c r="D632" i="1"/>
  <c r="A632" i="1"/>
  <c r="C632" i="1"/>
  <c r="E632" i="1"/>
  <c r="F632" i="1"/>
  <c r="G1034" i="1"/>
  <c r="H1034" i="1"/>
  <c r="D1034" i="1"/>
  <c r="A1034" i="1"/>
  <c r="C1034" i="1"/>
  <c r="E1034" i="1"/>
  <c r="F1034" i="1"/>
  <c r="G2363" i="1"/>
  <c r="H2363" i="1"/>
  <c r="D2363" i="1"/>
  <c r="A2363" i="1"/>
  <c r="C2363" i="1"/>
  <c r="E2363" i="1"/>
  <c r="F2363" i="1"/>
  <c r="G4805" i="1"/>
  <c r="H4805" i="1"/>
  <c r="D4805" i="1"/>
  <c r="A4805" i="1"/>
  <c r="C4805" i="1"/>
  <c r="E4805" i="1"/>
  <c r="F4805" i="1"/>
  <c r="G4965" i="1"/>
  <c r="H4965" i="1"/>
  <c r="D4965" i="1"/>
  <c r="A4965" i="1"/>
  <c r="C4965" i="1"/>
  <c r="E4965" i="1"/>
  <c r="F4965" i="1"/>
  <c r="G4865" i="1"/>
  <c r="H4865" i="1"/>
  <c r="D4865" i="1"/>
  <c r="A4865" i="1"/>
  <c r="C4865" i="1"/>
  <c r="E4865" i="1"/>
  <c r="F4865" i="1"/>
  <c r="G3415" i="1"/>
  <c r="H3415" i="1"/>
  <c r="D3415" i="1"/>
  <c r="A3415" i="1"/>
  <c r="C3415" i="1"/>
  <c r="E3415" i="1"/>
  <c r="F3415" i="1"/>
  <c r="G2546" i="1"/>
  <c r="H2546" i="1"/>
  <c r="D2546" i="1"/>
  <c r="A2546" i="1"/>
  <c r="C2546" i="1"/>
  <c r="E2546" i="1"/>
  <c r="F2546" i="1"/>
  <c r="G397" i="1"/>
  <c r="H397" i="1"/>
  <c r="D397" i="1"/>
  <c r="A397" i="1"/>
  <c r="C397" i="1"/>
  <c r="E397" i="1"/>
  <c r="F397" i="1"/>
  <c r="G128" i="1"/>
  <c r="H128" i="1"/>
  <c r="D128" i="1"/>
  <c r="A128" i="1"/>
  <c r="C128" i="1"/>
  <c r="E128" i="1"/>
  <c r="F128" i="1"/>
  <c r="G1521" i="1"/>
  <c r="H1521" i="1"/>
  <c r="D1521" i="1"/>
  <c r="A1521" i="1"/>
  <c r="C1521" i="1"/>
  <c r="E1521" i="1"/>
  <c r="F1521" i="1"/>
  <c r="G3872" i="1"/>
  <c r="H3872" i="1"/>
  <c r="D3872" i="1"/>
  <c r="A3872" i="1"/>
  <c r="C3872" i="1"/>
  <c r="E3872" i="1"/>
  <c r="F3872" i="1"/>
  <c r="G4189" i="1"/>
  <c r="H4189" i="1"/>
  <c r="D4189" i="1"/>
  <c r="A4189" i="1"/>
  <c r="C4189" i="1"/>
  <c r="E4189" i="1"/>
  <c r="F4189" i="1"/>
  <c r="G635" i="1"/>
  <c r="H635" i="1"/>
  <c r="D635" i="1"/>
  <c r="A635" i="1"/>
  <c r="C635" i="1"/>
  <c r="E635" i="1"/>
  <c r="F635" i="1"/>
  <c r="G3474" i="1"/>
  <c r="H3474" i="1"/>
  <c r="D3474" i="1"/>
  <c r="A3474" i="1"/>
  <c r="C3474" i="1"/>
  <c r="E3474" i="1"/>
  <c r="F3474" i="1"/>
  <c r="G186" i="1"/>
  <c r="H186" i="1"/>
  <c r="D186" i="1"/>
  <c r="A186" i="1"/>
  <c r="C186" i="1"/>
  <c r="E186" i="1"/>
  <c r="F186" i="1"/>
  <c r="G4380" i="1"/>
  <c r="H4380" i="1"/>
  <c r="D4380" i="1"/>
  <c r="A4380" i="1"/>
  <c r="C4380" i="1"/>
  <c r="E4380" i="1"/>
  <c r="F4380" i="1"/>
  <c r="G4013" i="1"/>
  <c r="H4013" i="1"/>
  <c r="D4013" i="1"/>
  <c r="A4013" i="1"/>
  <c r="C4013" i="1"/>
  <c r="E4013" i="1"/>
  <c r="F4013" i="1"/>
  <c r="G1976" i="1"/>
  <c r="H1976" i="1"/>
  <c r="D1976" i="1"/>
  <c r="A1976" i="1"/>
  <c r="C1976" i="1"/>
  <c r="E1976" i="1"/>
  <c r="F1976" i="1"/>
  <c r="G2325" i="1"/>
  <c r="H2325" i="1"/>
  <c r="D2325" i="1"/>
  <c r="A2325" i="1"/>
  <c r="C2325" i="1"/>
  <c r="E2325" i="1"/>
  <c r="F2325" i="1"/>
  <c r="G816" i="1"/>
  <c r="H816" i="1"/>
  <c r="D816" i="1"/>
  <c r="A816" i="1"/>
  <c r="C816" i="1"/>
  <c r="E816" i="1"/>
  <c r="F816" i="1"/>
  <c r="G809" i="1"/>
  <c r="H809" i="1"/>
  <c r="D809" i="1"/>
  <c r="A809" i="1"/>
  <c r="C809" i="1"/>
  <c r="E809" i="1"/>
  <c r="F809" i="1"/>
  <c r="G1566" i="1"/>
  <c r="H1566" i="1"/>
  <c r="D1566" i="1"/>
  <c r="A1566" i="1"/>
  <c r="C1566" i="1"/>
  <c r="E1566" i="1"/>
  <c r="F1566" i="1"/>
  <c r="G2882" i="1"/>
  <c r="H2882" i="1"/>
  <c r="D2882" i="1"/>
  <c r="A2882" i="1"/>
  <c r="C2882" i="1"/>
  <c r="E2882" i="1"/>
  <c r="F2882" i="1"/>
  <c r="G3515" i="1"/>
  <c r="H3515" i="1"/>
  <c r="D3515" i="1"/>
  <c r="A3515" i="1"/>
  <c r="C3515" i="1"/>
  <c r="E3515" i="1"/>
  <c r="F3515" i="1"/>
  <c r="G813" i="1"/>
  <c r="H813" i="1"/>
  <c r="D813" i="1"/>
  <c r="A813" i="1"/>
  <c r="C813" i="1"/>
  <c r="E813" i="1"/>
  <c r="F813" i="1"/>
  <c r="G1831" i="1"/>
  <c r="H1831" i="1"/>
  <c r="D1831" i="1"/>
  <c r="A1831" i="1"/>
  <c r="C1831" i="1"/>
  <c r="E1831" i="1"/>
  <c r="F1831" i="1"/>
  <c r="G903" i="1"/>
  <c r="H903" i="1"/>
  <c r="D903" i="1"/>
  <c r="A903" i="1"/>
  <c r="C903" i="1"/>
  <c r="E903" i="1"/>
  <c r="F903" i="1"/>
  <c r="G902" i="1"/>
  <c r="H902" i="1"/>
  <c r="D902" i="1"/>
  <c r="A902" i="1"/>
  <c r="C902" i="1"/>
  <c r="E902" i="1"/>
  <c r="F902" i="1"/>
  <c r="G3976" i="1"/>
  <c r="H3976" i="1"/>
  <c r="D3976" i="1"/>
  <c r="A3976" i="1"/>
  <c r="C3976" i="1"/>
  <c r="E3976" i="1"/>
  <c r="F3976" i="1"/>
  <c r="G398" i="1"/>
  <c r="H398" i="1"/>
  <c r="D398" i="1"/>
  <c r="A398" i="1"/>
  <c r="C398" i="1"/>
  <c r="E398" i="1"/>
  <c r="F398" i="1"/>
  <c r="G3134" i="1"/>
  <c r="H3134" i="1"/>
  <c r="D3134" i="1"/>
  <c r="A3134" i="1"/>
  <c r="C3134" i="1"/>
  <c r="E3134" i="1"/>
  <c r="F3134" i="1"/>
  <c r="G4440" i="1"/>
  <c r="H4440" i="1"/>
  <c r="D4440" i="1"/>
  <c r="A4440" i="1"/>
  <c r="C4440" i="1"/>
  <c r="E4440" i="1"/>
  <c r="F4440" i="1"/>
  <c r="G798" i="1"/>
  <c r="H798" i="1"/>
  <c r="D798" i="1"/>
  <c r="A798" i="1"/>
  <c r="C798" i="1"/>
  <c r="E798" i="1"/>
  <c r="F798" i="1"/>
  <c r="G3473" i="1"/>
  <c r="H3473" i="1"/>
  <c r="D3473" i="1"/>
  <c r="A3473" i="1"/>
  <c r="C3473" i="1"/>
  <c r="E3473" i="1"/>
  <c r="F3473" i="1"/>
  <c r="G827" i="1"/>
  <c r="H827" i="1"/>
  <c r="D827" i="1"/>
  <c r="A827" i="1"/>
  <c r="C827" i="1"/>
  <c r="E827" i="1"/>
  <c r="F827" i="1"/>
  <c r="G3535" i="1"/>
  <c r="H3535" i="1"/>
  <c r="D3535" i="1"/>
  <c r="A3535" i="1"/>
  <c r="C3535" i="1"/>
  <c r="E3535" i="1"/>
  <c r="F3535" i="1"/>
  <c r="G4273" i="1"/>
  <c r="H4273" i="1"/>
  <c r="D4273" i="1"/>
  <c r="A4273" i="1"/>
  <c r="C4273" i="1"/>
  <c r="E4273" i="1"/>
  <c r="F4273" i="1"/>
  <c r="G1560" i="1"/>
  <c r="H1560" i="1"/>
  <c r="D1560" i="1"/>
  <c r="A1560" i="1"/>
  <c r="C1560" i="1"/>
  <c r="E1560" i="1"/>
  <c r="F1560" i="1"/>
  <c r="G92" i="1"/>
  <c r="H92" i="1"/>
  <c r="D92" i="1"/>
  <c r="A92" i="1"/>
  <c r="C92" i="1"/>
  <c r="E92" i="1"/>
  <c r="F92" i="1"/>
  <c r="G2872" i="1"/>
  <c r="H2872" i="1"/>
  <c r="D2872" i="1"/>
  <c r="A2872" i="1"/>
  <c r="C2872" i="1"/>
  <c r="E2872" i="1"/>
  <c r="F2872" i="1"/>
  <c r="G4825" i="1"/>
  <c r="H4825" i="1"/>
  <c r="D4825" i="1"/>
  <c r="A4825" i="1"/>
  <c r="C4825" i="1"/>
  <c r="E4825" i="1"/>
  <c r="F4825" i="1"/>
  <c r="G2178" i="1"/>
  <c r="H2178" i="1"/>
  <c r="D2178" i="1"/>
  <c r="A2178" i="1"/>
  <c r="C2178" i="1"/>
  <c r="E2178" i="1"/>
  <c r="F2178" i="1"/>
  <c r="G2240" i="1"/>
  <c r="H2240" i="1"/>
  <c r="D2240" i="1"/>
  <c r="A2240" i="1"/>
  <c r="C2240" i="1"/>
  <c r="E2240" i="1"/>
  <c r="F2240" i="1"/>
  <c r="G801" i="1"/>
  <c r="H801" i="1"/>
  <c r="D801" i="1"/>
  <c r="A801" i="1"/>
  <c r="C801" i="1"/>
  <c r="E801" i="1"/>
  <c r="F801" i="1"/>
  <c r="G4682" i="1"/>
  <c r="H4682" i="1"/>
  <c r="D4682" i="1"/>
  <c r="A4682" i="1"/>
  <c r="C4682" i="1"/>
  <c r="E4682" i="1"/>
  <c r="F4682" i="1"/>
  <c r="G2387" i="1"/>
  <c r="H2387" i="1"/>
  <c r="D2387" i="1"/>
  <c r="A2387" i="1"/>
  <c r="C2387" i="1"/>
  <c r="E2387" i="1"/>
  <c r="F2387" i="1"/>
  <c r="G4004" i="1"/>
  <c r="H4004" i="1"/>
  <c r="D4004" i="1"/>
  <c r="A4004" i="1"/>
  <c r="C4004" i="1"/>
  <c r="E4004" i="1"/>
  <c r="F4004" i="1"/>
  <c r="G3414" i="1"/>
  <c r="H3414" i="1"/>
  <c r="D3414" i="1"/>
  <c r="A3414" i="1"/>
  <c r="C3414" i="1"/>
  <c r="E3414" i="1"/>
  <c r="F3414" i="1"/>
  <c r="G1845" i="1"/>
  <c r="H1845" i="1"/>
  <c r="D1845" i="1"/>
  <c r="A1845" i="1"/>
  <c r="C1845" i="1"/>
  <c r="E1845" i="1"/>
  <c r="F1845" i="1"/>
  <c r="G3571" i="1"/>
  <c r="H3571" i="1"/>
  <c r="D3571" i="1"/>
  <c r="A3571" i="1"/>
  <c r="C3571" i="1"/>
  <c r="E3571" i="1"/>
  <c r="F3571" i="1"/>
  <c r="G2750" i="1"/>
  <c r="H2750" i="1"/>
  <c r="D2750" i="1"/>
  <c r="A2750" i="1"/>
  <c r="C2750" i="1"/>
  <c r="E2750" i="1"/>
  <c r="F2750" i="1"/>
  <c r="G483" i="1"/>
  <c r="H483" i="1"/>
  <c r="D483" i="1"/>
  <c r="A483" i="1"/>
  <c r="C483" i="1"/>
  <c r="E483" i="1"/>
  <c r="F483" i="1"/>
  <c r="G2309" i="1"/>
  <c r="H2309" i="1"/>
  <c r="D2309" i="1"/>
  <c r="A2309" i="1"/>
  <c r="C2309" i="1"/>
  <c r="E2309" i="1"/>
  <c r="F2309" i="1"/>
  <c r="G4729" i="1"/>
  <c r="H4729" i="1"/>
  <c r="D4729" i="1"/>
  <c r="A4729" i="1"/>
  <c r="C4729" i="1"/>
  <c r="E4729" i="1"/>
  <c r="F4729" i="1"/>
  <c r="G3037" i="1"/>
  <c r="H3037" i="1"/>
  <c r="D3037" i="1"/>
  <c r="A3037" i="1"/>
  <c r="C3037" i="1"/>
  <c r="E3037" i="1"/>
  <c r="F3037" i="1"/>
  <c r="G3048" i="1"/>
  <c r="H3048" i="1"/>
  <c r="D3048" i="1"/>
  <c r="A3048" i="1"/>
  <c r="C3048" i="1"/>
  <c r="E3048" i="1"/>
  <c r="F3048" i="1"/>
  <c r="G197" i="1"/>
  <c r="H197" i="1"/>
  <c r="D197" i="1"/>
  <c r="A197" i="1"/>
  <c r="C197" i="1"/>
  <c r="E197" i="1"/>
  <c r="F197" i="1"/>
  <c r="G4756" i="1"/>
  <c r="H4756" i="1"/>
  <c r="D4756" i="1"/>
  <c r="A4756" i="1"/>
  <c r="C4756" i="1"/>
  <c r="E4756" i="1"/>
  <c r="F4756" i="1"/>
  <c r="G2897" i="1"/>
  <c r="H2897" i="1"/>
  <c r="D2897" i="1"/>
  <c r="A2897" i="1"/>
  <c r="C2897" i="1"/>
  <c r="E2897" i="1"/>
  <c r="F2897" i="1"/>
  <c r="G3249" i="1"/>
  <c r="H3249" i="1"/>
  <c r="D3249" i="1"/>
  <c r="A3249" i="1"/>
  <c r="C3249" i="1"/>
  <c r="E3249" i="1"/>
  <c r="F3249" i="1"/>
  <c r="G3819" i="1"/>
  <c r="H3819" i="1"/>
  <c r="D3819" i="1"/>
  <c r="A3819" i="1"/>
  <c r="C3819" i="1"/>
  <c r="E3819" i="1"/>
  <c r="F3819" i="1"/>
  <c r="G3538" i="1"/>
  <c r="H3538" i="1"/>
  <c r="D3538" i="1"/>
  <c r="A3538" i="1"/>
  <c r="C3538" i="1"/>
  <c r="E3538" i="1"/>
  <c r="F3538" i="1"/>
  <c r="G4349" i="1"/>
  <c r="H4349" i="1"/>
  <c r="D4349" i="1"/>
  <c r="A4349" i="1"/>
  <c r="C4349" i="1"/>
  <c r="E4349" i="1"/>
  <c r="F4349" i="1"/>
  <c r="G5031" i="1"/>
  <c r="H5031" i="1"/>
  <c r="D5031" i="1"/>
  <c r="A5031" i="1"/>
  <c r="C5031" i="1"/>
  <c r="E5031" i="1"/>
  <c r="F5031" i="1"/>
  <c r="G2229" i="1"/>
  <c r="H2229" i="1"/>
  <c r="D2229" i="1"/>
  <c r="A2229" i="1"/>
  <c r="C2229" i="1"/>
  <c r="E2229" i="1"/>
  <c r="F2229" i="1"/>
  <c r="G2786" i="1"/>
  <c r="H2786" i="1"/>
  <c r="D2786" i="1"/>
  <c r="A2786" i="1"/>
  <c r="C2786" i="1"/>
  <c r="E2786" i="1"/>
  <c r="F2786" i="1"/>
  <c r="G3116" i="1"/>
  <c r="H3116" i="1"/>
  <c r="D3116" i="1"/>
  <c r="A3116" i="1"/>
  <c r="C3116" i="1"/>
  <c r="E3116" i="1"/>
  <c r="F3116" i="1"/>
  <c r="G3975" i="1"/>
  <c r="H3975" i="1"/>
  <c r="D3975" i="1"/>
  <c r="A3975" i="1"/>
  <c r="C3975" i="1"/>
  <c r="E3975" i="1"/>
  <c r="F3975" i="1"/>
  <c r="G355" i="1"/>
  <c r="H355" i="1"/>
  <c r="D355" i="1"/>
  <c r="A355" i="1"/>
  <c r="C355" i="1"/>
  <c r="E355" i="1"/>
  <c r="F355" i="1"/>
  <c r="G135" i="1"/>
  <c r="H135" i="1"/>
  <c r="D135" i="1"/>
  <c r="A135" i="1"/>
  <c r="C135" i="1"/>
  <c r="E135" i="1"/>
  <c r="F135" i="1"/>
  <c r="G3223" i="1"/>
  <c r="H3223" i="1"/>
  <c r="D3223" i="1"/>
  <c r="A3223" i="1"/>
  <c r="C3223" i="1"/>
  <c r="E3223" i="1"/>
  <c r="F3223" i="1"/>
  <c r="G2977" i="1"/>
  <c r="H2977" i="1"/>
  <c r="D2977" i="1"/>
  <c r="A2977" i="1"/>
  <c r="C2977" i="1"/>
  <c r="E2977" i="1"/>
  <c r="F2977" i="1"/>
  <c r="G4153" i="1"/>
  <c r="H4153" i="1"/>
  <c r="D4153" i="1"/>
  <c r="A4153" i="1"/>
  <c r="C4153" i="1"/>
  <c r="E4153" i="1"/>
  <c r="F4153" i="1"/>
  <c r="G5028" i="1"/>
  <c r="H5028" i="1"/>
  <c r="D5028" i="1"/>
  <c r="A5028" i="1"/>
  <c r="C5028" i="1"/>
  <c r="E5028" i="1"/>
  <c r="F5028" i="1"/>
  <c r="G4015" i="1"/>
  <c r="H4015" i="1"/>
  <c r="D4015" i="1"/>
  <c r="A4015" i="1"/>
  <c r="C4015" i="1"/>
  <c r="E4015" i="1"/>
  <c r="F4015" i="1"/>
  <c r="G1310" i="1"/>
  <c r="H1310" i="1"/>
  <c r="D1310" i="1"/>
  <c r="A1310" i="1"/>
  <c r="C1310" i="1"/>
  <c r="E1310" i="1"/>
  <c r="F1310" i="1"/>
  <c r="G2945" i="1"/>
  <c r="H2945" i="1"/>
  <c r="D2945" i="1"/>
  <c r="A2945" i="1"/>
  <c r="C2945" i="1"/>
  <c r="E2945" i="1"/>
  <c r="F2945" i="1"/>
  <c r="G333" i="1"/>
  <c r="H333" i="1"/>
  <c r="D333" i="1"/>
  <c r="A333" i="1"/>
  <c r="C333" i="1"/>
  <c r="E333" i="1"/>
  <c r="F333" i="1"/>
  <c r="G4817" i="1"/>
  <c r="H4817" i="1"/>
  <c r="D4817" i="1"/>
  <c r="A4817" i="1"/>
  <c r="C4817" i="1"/>
  <c r="E4817" i="1"/>
  <c r="F4817" i="1"/>
  <c r="G2706" i="1"/>
  <c r="H2706" i="1"/>
  <c r="D2706" i="1"/>
  <c r="A2706" i="1"/>
  <c r="C2706" i="1"/>
  <c r="E2706" i="1"/>
  <c r="F2706" i="1"/>
  <c r="G1548" i="1"/>
  <c r="H1548" i="1"/>
  <c r="D1548" i="1"/>
  <c r="A1548" i="1"/>
  <c r="C1548" i="1"/>
  <c r="E1548" i="1"/>
  <c r="F1548" i="1"/>
  <c r="G55" i="1"/>
  <c r="H55" i="1"/>
  <c r="D55" i="1"/>
  <c r="A55" i="1"/>
  <c r="C55" i="1"/>
  <c r="E55" i="1"/>
  <c r="F55" i="1"/>
  <c r="G4895" i="1"/>
  <c r="H4895" i="1"/>
  <c r="D4895" i="1"/>
  <c r="A4895" i="1"/>
  <c r="C4895" i="1"/>
  <c r="E4895" i="1"/>
  <c r="F4895" i="1"/>
  <c r="G2037" i="1"/>
  <c r="H2037" i="1"/>
  <c r="D2037" i="1"/>
  <c r="A2037" i="1"/>
  <c r="C2037" i="1"/>
  <c r="E2037" i="1"/>
  <c r="F2037" i="1"/>
  <c r="G1854" i="1"/>
  <c r="H1854" i="1"/>
  <c r="D1854" i="1"/>
  <c r="A1854" i="1"/>
  <c r="C1854" i="1"/>
  <c r="E1854" i="1"/>
  <c r="F1854" i="1"/>
  <c r="G2778" i="1"/>
  <c r="H2778" i="1"/>
  <c r="D2778" i="1"/>
  <c r="A2778" i="1"/>
  <c r="C2778" i="1"/>
  <c r="E2778" i="1"/>
  <c r="F2778" i="1"/>
  <c r="G260" i="1"/>
  <c r="H260" i="1"/>
  <c r="D260" i="1"/>
  <c r="A260" i="1"/>
  <c r="C260" i="1"/>
  <c r="E260" i="1"/>
  <c r="F260" i="1"/>
  <c r="G54" i="1"/>
  <c r="H54" i="1"/>
  <c r="D54" i="1"/>
  <c r="A54" i="1"/>
  <c r="C54" i="1"/>
  <c r="E54" i="1"/>
  <c r="F54" i="1"/>
  <c r="G500" i="1"/>
  <c r="H500" i="1"/>
  <c r="D500" i="1"/>
  <c r="A500" i="1"/>
  <c r="C500" i="1"/>
  <c r="E500" i="1"/>
  <c r="F500" i="1"/>
  <c r="G501" i="1"/>
  <c r="H501" i="1"/>
  <c r="D501" i="1"/>
  <c r="A501" i="1"/>
  <c r="C501" i="1"/>
  <c r="E501" i="1"/>
  <c r="F501" i="1"/>
  <c r="G1266" i="1"/>
  <c r="H1266" i="1"/>
  <c r="D1266" i="1"/>
  <c r="A1266" i="1"/>
  <c r="C1266" i="1"/>
  <c r="E1266" i="1"/>
  <c r="F1266" i="1"/>
  <c r="G283" i="1"/>
  <c r="H283" i="1"/>
  <c r="D283" i="1"/>
  <c r="A283" i="1"/>
  <c r="C283" i="1"/>
  <c r="E283" i="1"/>
  <c r="F283" i="1"/>
  <c r="G1563" i="1"/>
  <c r="H1563" i="1"/>
  <c r="D1563" i="1"/>
  <c r="A1563" i="1"/>
  <c r="C1563" i="1"/>
  <c r="E1563" i="1"/>
  <c r="F1563" i="1"/>
  <c r="G208" i="1"/>
  <c r="H208" i="1"/>
  <c r="D208" i="1"/>
  <c r="A208" i="1"/>
  <c r="C208" i="1"/>
  <c r="E208" i="1"/>
  <c r="F208" i="1"/>
  <c r="G3099" i="1"/>
  <c r="H3099" i="1"/>
  <c r="D3099" i="1"/>
  <c r="A3099" i="1"/>
  <c r="C3099" i="1"/>
  <c r="E3099" i="1"/>
  <c r="F3099" i="1"/>
  <c r="G3895" i="1"/>
  <c r="H3895" i="1"/>
  <c r="D3895" i="1"/>
  <c r="A3895" i="1"/>
  <c r="C3895" i="1"/>
  <c r="E3895" i="1"/>
  <c r="F3895" i="1"/>
  <c r="G4156" i="1"/>
  <c r="H4156" i="1"/>
  <c r="D4156" i="1"/>
  <c r="A4156" i="1"/>
  <c r="C4156" i="1"/>
  <c r="E4156" i="1"/>
  <c r="F4156" i="1"/>
  <c r="G1839" i="1"/>
  <c r="H1839" i="1"/>
  <c r="D1839" i="1"/>
  <c r="A1839" i="1"/>
  <c r="C1839" i="1"/>
  <c r="E1839" i="1"/>
  <c r="F1839" i="1"/>
  <c r="G1538" i="1"/>
  <c r="H1538" i="1"/>
  <c r="D1538" i="1"/>
  <c r="A1538" i="1"/>
  <c r="C1538" i="1"/>
  <c r="E1538" i="1"/>
  <c r="F1538" i="1"/>
  <c r="G2041" i="1"/>
  <c r="H2041" i="1"/>
  <c r="D2041" i="1"/>
  <c r="A2041" i="1"/>
  <c r="C2041" i="1"/>
  <c r="E2041" i="1"/>
  <c r="F2041" i="1"/>
  <c r="G3265" i="1"/>
  <c r="H3265" i="1"/>
  <c r="D3265" i="1"/>
  <c r="A3265" i="1"/>
  <c r="C3265" i="1"/>
  <c r="E3265" i="1"/>
  <c r="F3265" i="1"/>
  <c r="G4569" i="1"/>
  <c r="H4569" i="1"/>
  <c r="D4569" i="1"/>
  <c r="A4569" i="1"/>
  <c r="C4569" i="1"/>
  <c r="E4569" i="1"/>
  <c r="F4569" i="1"/>
  <c r="G66" i="1"/>
  <c r="H66" i="1"/>
  <c r="D66" i="1"/>
  <c r="A66" i="1"/>
  <c r="C66" i="1"/>
  <c r="E66" i="1"/>
  <c r="F66" i="1"/>
  <c r="G3931" i="1"/>
  <c r="H3931" i="1"/>
  <c r="D3931" i="1"/>
  <c r="A3931" i="1"/>
  <c r="C3931" i="1"/>
  <c r="E3931" i="1"/>
  <c r="F3931" i="1"/>
  <c r="G4748" i="1"/>
  <c r="H4748" i="1"/>
  <c r="D4748" i="1"/>
  <c r="A4748" i="1"/>
  <c r="C4748" i="1"/>
  <c r="E4748" i="1"/>
  <c r="F4748" i="1"/>
  <c r="G1539" i="1"/>
  <c r="H1539" i="1"/>
  <c r="D1539" i="1"/>
  <c r="A1539" i="1"/>
  <c r="C1539" i="1"/>
  <c r="E1539" i="1"/>
  <c r="F1539" i="1"/>
  <c r="G4664" i="1"/>
  <c r="H4664" i="1"/>
  <c r="D4664" i="1"/>
  <c r="A4664" i="1"/>
  <c r="C4664" i="1"/>
  <c r="E4664" i="1"/>
  <c r="F4664" i="1"/>
  <c r="G4665" i="1"/>
  <c r="H4665" i="1"/>
  <c r="D4665" i="1"/>
  <c r="A4665" i="1"/>
  <c r="C4665" i="1"/>
  <c r="E4665" i="1"/>
  <c r="F4665" i="1"/>
  <c r="G573" i="1"/>
  <c r="H573" i="1"/>
  <c r="D573" i="1"/>
  <c r="A573" i="1"/>
  <c r="C573" i="1"/>
  <c r="E573" i="1"/>
  <c r="F573" i="1"/>
  <c r="G455" i="1"/>
  <c r="H455" i="1"/>
  <c r="D455" i="1"/>
  <c r="A455" i="1"/>
  <c r="C455" i="1"/>
  <c r="E455" i="1"/>
  <c r="F455" i="1"/>
  <c r="G3304" i="1"/>
  <c r="H3304" i="1"/>
  <c r="D3304" i="1"/>
  <c r="A3304" i="1"/>
  <c r="C3304" i="1"/>
  <c r="E3304" i="1"/>
  <c r="F3304" i="1"/>
  <c r="G3141" i="1"/>
  <c r="H3141" i="1"/>
  <c r="D3141" i="1"/>
  <c r="A3141" i="1"/>
  <c r="C3141" i="1"/>
  <c r="E3141" i="1"/>
  <c r="F3141" i="1"/>
  <c r="G3306" i="1"/>
  <c r="H3306" i="1"/>
  <c r="D3306" i="1"/>
  <c r="A3306" i="1"/>
  <c r="C3306" i="1"/>
  <c r="E3306" i="1"/>
  <c r="F3306" i="1"/>
  <c r="G3631" i="1"/>
  <c r="H3631" i="1"/>
  <c r="D3631" i="1"/>
  <c r="A3631" i="1"/>
  <c r="C3631" i="1"/>
  <c r="E3631" i="1"/>
  <c r="F3631" i="1"/>
  <c r="G3299" i="1"/>
  <c r="H3299" i="1"/>
  <c r="D3299" i="1"/>
  <c r="A3299" i="1"/>
  <c r="C3299" i="1"/>
  <c r="E3299" i="1"/>
  <c r="F3299" i="1"/>
  <c r="G3584" i="1"/>
  <c r="H3584" i="1"/>
  <c r="D3584" i="1"/>
  <c r="A3584" i="1"/>
  <c r="C3584" i="1"/>
  <c r="E3584" i="1"/>
  <c r="F3584" i="1"/>
  <c r="G710" i="1"/>
  <c r="H710" i="1"/>
  <c r="D710" i="1"/>
  <c r="A710" i="1"/>
  <c r="C710" i="1"/>
  <c r="E710" i="1"/>
  <c r="F710" i="1"/>
  <c r="G603" i="1"/>
  <c r="H603" i="1"/>
  <c r="D603" i="1"/>
  <c r="A603" i="1"/>
  <c r="C603" i="1"/>
  <c r="E603" i="1"/>
  <c r="F603" i="1"/>
  <c r="G2319" i="1"/>
  <c r="H2319" i="1"/>
  <c r="D2319" i="1"/>
  <c r="A2319" i="1"/>
  <c r="C2319" i="1"/>
  <c r="E2319" i="1"/>
  <c r="F2319" i="1"/>
  <c r="G3478" i="1"/>
  <c r="H3478" i="1"/>
  <c r="D3478" i="1"/>
  <c r="A3478" i="1"/>
  <c r="C3478" i="1"/>
  <c r="E3478" i="1"/>
  <c r="F3478" i="1"/>
  <c r="G301" i="1"/>
  <c r="H301" i="1"/>
  <c r="D301" i="1"/>
  <c r="A301" i="1"/>
  <c r="C301" i="1"/>
  <c r="E301" i="1"/>
  <c r="F301" i="1"/>
  <c r="G775" i="1"/>
  <c r="H775" i="1"/>
  <c r="D775" i="1"/>
  <c r="A775" i="1"/>
  <c r="C775" i="1"/>
  <c r="E775" i="1"/>
  <c r="F775" i="1"/>
  <c r="G2110" i="1"/>
  <c r="H2110" i="1"/>
  <c r="D2110" i="1"/>
  <c r="A2110" i="1"/>
  <c r="C2110" i="1"/>
  <c r="E2110" i="1"/>
  <c r="F2110" i="1"/>
  <c r="G4138" i="1"/>
  <c r="H4138" i="1"/>
  <c r="D4138" i="1"/>
  <c r="A4138" i="1"/>
  <c r="C4138" i="1"/>
  <c r="E4138" i="1"/>
  <c r="F4138" i="1"/>
  <c r="G3751" i="1"/>
  <c r="H3751" i="1"/>
  <c r="D3751" i="1"/>
  <c r="A3751" i="1"/>
  <c r="C3751" i="1"/>
  <c r="E3751" i="1"/>
  <c r="F3751" i="1"/>
  <c r="G1814" i="1"/>
  <c r="H1814" i="1"/>
  <c r="D1814" i="1"/>
  <c r="A1814" i="1"/>
  <c r="C1814" i="1"/>
  <c r="E1814" i="1"/>
  <c r="F1814" i="1"/>
  <c r="G50" i="1"/>
  <c r="H50" i="1"/>
  <c r="D50" i="1"/>
  <c r="A50" i="1"/>
  <c r="C50" i="1"/>
  <c r="E50" i="1"/>
  <c r="F50" i="1"/>
  <c r="G216" i="1"/>
  <c r="H216" i="1"/>
  <c r="D216" i="1"/>
  <c r="A216" i="1"/>
  <c r="C216" i="1"/>
  <c r="E216" i="1"/>
  <c r="F216" i="1"/>
  <c r="G2785" i="1"/>
  <c r="H2785" i="1"/>
  <c r="D2785" i="1"/>
  <c r="A2785" i="1"/>
  <c r="C2785" i="1"/>
  <c r="E2785" i="1"/>
  <c r="F2785" i="1"/>
  <c r="G3388" i="1"/>
  <c r="H3388" i="1"/>
  <c r="D3388" i="1"/>
  <c r="A3388" i="1"/>
  <c r="C3388" i="1"/>
  <c r="E3388" i="1"/>
  <c r="F3388" i="1"/>
  <c r="G3142" i="1"/>
  <c r="H3142" i="1"/>
  <c r="D3142" i="1"/>
  <c r="A3142" i="1"/>
  <c r="C3142" i="1"/>
  <c r="E3142" i="1"/>
  <c r="F3142" i="1"/>
  <c r="G3370" i="1"/>
  <c r="H3370" i="1"/>
  <c r="D3370" i="1"/>
  <c r="A3370" i="1"/>
  <c r="C3370" i="1"/>
  <c r="E3370" i="1"/>
  <c r="F3370" i="1"/>
  <c r="G4838" i="1"/>
  <c r="H4838" i="1"/>
  <c r="D4838" i="1"/>
  <c r="A4838" i="1"/>
  <c r="C4838" i="1"/>
  <c r="E4838" i="1"/>
  <c r="F4838" i="1"/>
  <c r="G2876" i="1"/>
  <c r="H2876" i="1"/>
  <c r="D2876" i="1"/>
  <c r="A2876" i="1"/>
  <c r="C2876" i="1"/>
  <c r="E2876" i="1"/>
  <c r="F2876" i="1"/>
  <c r="G4171" i="1"/>
  <c r="H4171" i="1"/>
  <c r="D4171" i="1"/>
  <c r="A4171" i="1"/>
  <c r="C4171" i="1"/>
  <c r="E4171" i="1"/>
  <c r="F4171" i="1"/>
  <c r="G4073" i="1"/>
  <c r="H4073" i="1"/>
  <c r="D4073" i="1"/>
  <c r="A4073" i="1"/>
  <c r="C4073" i="1"/>
  <c r="E4073" i="1"/>
  <c r="F4073" i="1"/>
  <c r="G1601" i="1"/>
  <c r="H1601" i="1"/>
  <c r="D1601" i="1"/>
  <c r="A1601" i="1"/>
  <c r="C1601" i="1"/>
  <c r="E1601" i="1"/>
  <c r="F1601" i="1"/>
  <c r="G1519" i="1"/>
  <c r="H1519" i="1"/>
  <c r="D1519" i="1"/>
  <c r="A1519" i="1"/>
  <c r="C1519" i="1"/>
  <c r="E1519" i="1"/>
  <c r="F1519" i="1"/>
  <c r="G2277" i="1"/>
  <c r="H2277" i="1"/>
  <c r="D2277" i="1"/>
  <c r="A2277" i="1"/>
  <c r="C2277" i="1"/>
  <c r="E2277" i="1"/>
  <c r="F2277" i="1"/>
  <c r="G2254" i="1"/>
  <c r="H2254" i="1"/>
  <c r="D2254" i="1"/>
  <c r="A2254" i="1"/>
  <c r="C2254" i="1"/>
  <c r="E2254" i="1"/>
  <c r="F2254" i="1"/>
  <c r="G3357" i="1"/>
  <c r="H3357" i="1"/>
  <c r="D3357" i="1"/>
  <c r="A3357" i="1"/>
  <c r="C3357" i="1"/>
  <c r="E3357" i="1"/>
  <c r="F3357" i="1"/>
  <c r="G4060" i="1"/>
  <c r="H4060" i="1"/>
  <c r="D4060" i="1"/>
  <c r="A4060" i="1"/>
  <c r="C4060" i="1"/>
  <c r="E4060" i="1"/>
  <c r="F4060" i="1"/>
  <c r="G233" i="1"/>
  <c r="H233" i="1"/>
  <c r="D233" i="1"/>
  <c r="A233" i="1"/>
  <c r="C233" i="1"/>
  <c r="E233" i="1"/>
  <c r="F233" i="1"/>
  <c r="G4271" i="1"/>
  <c r="H4271" i="1"/>
  <c r="D4271" i="1"/>
  <c r="A4271" i="1"/>
  <c r="C4271" i="1"/>
  <c r="E4271" i="1"/>
  <c r="F4271" i="1"/>
  <c r="G620" i="1"/>
  <c r="H620" i="1"/>
  <c r="D620" i="1"/>
  <c r="A620" i="1"/>
  <c r="C620" i="1"/>
  <c r="E620" i="1"/>
  <c r="F620" i="1"/>
  <c r="G352" i="1"/>
  <c r="H352" i="1"/>
  <c r="D352" i="1"/>
  <c r="A352" i="1"/>
  <c r="C352" i="1"/>
  <c r="E352" i="1"/>
  <c r="F352" i="1"/>
  <c r="G519" i="1"/>
  <c r="H519" i="1"/>
  <c r="D519" i="1"/>
  <c r="A519" i="1"/>
  <c r="C519" i="1"/>
  <c r="E519" i="1"/>
  <c r="F519" i="1"/>
  <c r="G4793" i="1"/>
  <c r="H4793" i="1"/>
  <c r="D4793" i="1"/>
  <c r="A4793" i="1"/>
  <c r="C4793" i="1"/>
  <c r="E4793" i="1"/>
  <c r="F4793" i="1"/>
  <c r="G4142" i="1"/>
  <c r="H4142" i="1"/>
  <c r="D4142" i="1"/>
  <c r="A4142" i="1"/>
  <c r="C4142" i="1"/>
  <c r="E4142" i="1"/>
  <c r="F4142" i="1"/>
  <c r="G4052" i="1"/>
  <c r="H4052" i="1"/>
  <c r="D4052" i="1"/>
  <c r="A4052" i="1"/>
  <c r="C4052" i="1"/>
  <c r="E4052" i="1"/>
  <c r="F4052" i="1"/>
  <c r="G4442" i="1"/>
  <c r="H4442" i="1"/>
  <c r="D4442" i="1"/>
  <c r="A4442" i="1"/>
  <c r="C4442" i="1"/>
  <c r="E4442" i="1"/>
  <c r="F4442" i="1"/>
  <c r="G4040" i="1"/>
  <c r="H4040" i="1"/>
  <c r="D4040" i="1"/>
  <c r="A4040" i="1"/>
  <c r="C4040" i="1"/>
  <c r="E4040" i="1"/>
  <c r="F4040" i="1"/>
  <c r="G1618" i="1"/>
  <c r="H1618" i="1"/>
  <c r="D1618" i="1"/>
  <c r="A1618" i="1"/>
  <c r="C1618" i="1"/>
  <c r="E1618" i="1"/>
  <c r="F1618" i="1"/>
  <c r="G2072" i="1"/>
  <c r="H2072" i="1"/>
  <c r="D2072" i="1"/>
  <c r="A2072" i="1"/>
  <c r="C2072" i="1"/>
  <c r="E2072" i="1"/>
  <c r="F2072" i="1"/>
  <c r="G2257" i="1"/>
  <c r="H2257" i="1"/>
  <c r="D2257" i="1"/>
  <c r="A2257" i="1"/>
  <c r="C2257" i="1"/>
  <c r="E2257" i="1"/>
  <c r="F2257" i="1"/>
  <c r="G1473" i="1"/>
  <c r="H1473" i="1"/>
  <c r="D1473" i="1"/>
  <c r="A1473" i="1"/>
  <c r="C1473" i="1"/>
  <c r="E1473" i="1"/>
  <c r="F1473" i="1"/>
  <c r="G4147" i="1"/>
  <c r="H4147" i="1"/>
  <c r="D4147" i="1"/>
  <c r="A4147" i="1"/>
  <c r="C4147" i="1"/>
  <c r="E4147" i="1"/>
  <c r="F4147" i="1"/>
  <c r="G679" i="1"/>
  <c r="H679" i="1"/>
  <c r="D679" i="1"/>
  <c r="A679" i="1"/>
  <c r="C679" i="1"/>
  <c r="E679" i="1"/>
  <c r="F679" i="1"/>
  <c r="G4833" i="1"/>
  <c r="H4833" i="1"/>
  <c r="D4833" i="1"/>
  <c r="A4833" i="1"/>
  <c r="C4833" i="1"/>
  <c r="E4833" i="1"/>
  <c r="F4833" i="1"/>
  <c r="G4467" i="1"/>
  <c r="H4467" i="1"/>
  <c r="D4467" i="1"/>
  <c r="A4467" i="1"/>
  <c r="C4467" i="1"/>
  <c r="E4467" i="1"/>
  <c r="F4467" i="1"/>
  <c r="G166" i="1"/>
  <c r="H166" i="1"/>
  <c r="D166" i="1"/>
  <c r="A166" i="1"/>
  <c r="C166" i="1"/>
  <c r="E166" i="1"/>
  <c r="F166" i="1"/>
  <c r="G4308" i="1"/>
  <c r="H4308" i="1"/>
  <c r="D4308" i="1"/>
  <c r="A4308" i="1"/>
  <c r="C4308" i="1"/>
  <c r="E4308" i="1"/>
  <c r="F4308" i="1"/>
  <c r="G3239" i="1"/>
  <c r="H3239" i="1"/>
  <c r="D3239" i="1"/>
  <c r="A3239" i="1"/>
  <c r="C3239" i="1"/>
  <c r="E3239" i="1"/>
  <c r="F3239" i="1"/>
  <c r="G5071" i="1"/>
  <c r="H5071" i="1"/>
  <c r="D5071" i="1"/>
  <c r="A5071" i="1"/>
  <c r="C5071" i="1"/>
  <c r="E5071" i="1"/>
  <c r="F5071" i="1"/>
  <c r="G290" i="1"/>
  <c r="H290" i="1"/>
  <c r="D290" i="1"/>
  <c r="A290" i="1"/>
  <c r="C290" i="1"/>
  <c r="E290" i="1"/>
  <c r="F290" i="1"/>
  <c r="G3870" i="1"/>
  <c r="H3870" i="1"/>
  <c r="D3870" i="1"/>
  <c r="A3870" i="1"/>
  <c r="C3870" i="1"/>
  <c r="E3870" i="1"/>
  <c r="F3870" i="1"/>
  <c r="G3431" i="1"/>
  <c r="H3431" i="1"/>
  <c r="D3431" i="1"/>
  <c r="A3431" i="1"/>
  <c r="C3431" i="1"/>
  <c r="E3431" i="1"/>
  <c r="F3431" i="1"/>
  <c r="G3806" i="1"/>
  <c r="H3806" i="1"/>
  <c r="D3806" i="1"/>
  <c r="A3806" i="1"/>
  <c r="C3806" i="1"/>
  <c r="E3806" i="1"/>
  <c r="F3806" i="1"/>
  <c r="G4274" i="1"/>
  <c r="H4274" i="1"/>
  <c r="D4274" i="1"/>
  <c r="A4274" i="1"/>
  <c r="C4274" i="1"/>
  <c r="E4274" i="1"/>
  <c r="F4274" i="1"/>
  <c r="G3671" i="1"/>
  <c r="H3671" i="1"/>
  <c r="D3671" i="1"/>
  <c r="A3671" i="1"/>
  <c r="C3671" i="1"/>
  <c r="E3671" i="1"/>
  <c r="F3671" i="1"/>
  <c r="G427" i="1"/>
  <c r="H427" i="1"/>
  <c r="D427" i="1"/>
  <c r="A427" i="1"/>
  <c r="C427" i="1"/>
  <c r="E427" i="1"/>
  <c r="F427" i="1"/>
  <c r="G1866" i="1"/>
  <c r="H1866" i="1"/>
  <c r="D1866" i="1"/>
  <c r="A1866" i="1"/>
  <c r="C1866" i="1"/>
  <c r="E1866" i="1"/>
  <c r="F1866" i="1"/>
  <c r="G4447" i="1"/>
  <c r="H4447" i="1"/>
  <c r="D4447" i="1"/>
  <c r="A4447" i="1"/>
  <c r="C4447" i="1"/>
  <c r="E4447" i="1"/>
  <c r="F4447" i="1"/>
  <c r="G522" i="1"/>
  <c r="H522" i="1"/>
  <c r="D522" i="1"/>
  <c r="A522" i="1"/>
  <c r="C522" i="1"/>
  <c r="E522" i="1"/>
  <c r="F522" i="1"/>
  <c r="G4551" i="1"/>
  <c r="H4551" i="1"/>
  <c r="D4551" i="1"/>
  <c r="A4551" i="1"/>
  <c r="C4551" i="1"/>
  <c r="E4551" i="1"/>
  <c r="F4551" i="1"/>
  <c r="G5061" i="1"/>
  <c r="H5061" i="1"/>
  <c r="D5061" i="1"/>
  <c r="A5061" i="1"/>
  <c r="C5061" i="1"/>
  <c r="E5061" i="1"/>
  <c r="F5061" i="1"/>
  <c r="G3404" i="1"/>
  <c r="H3404" i="1"/>
  <c r="D3404" i="1"/>
  <c r="A3404" i="1"/>
  <c r="C3404" i="1"/>
  <c r="E3404" i="1"/>
  <c r="F3404" i="1"/>
  <c r="G2165" i="1"/>
  <c r="H2165" i="1"/>
  <c r="D2165" i="1"/>
  <c r="A2165" i="1"/>
  <c r="C2165" i="1"/>
  <c r="E2165" i="1"/>
  <c r="F2165" i="1"/>
  <c r="G3140" i="1"/>
  <c r="H3140" i="1"/>
  <c r="D3140" i="1"/>
  <c r="A3140" i="1"/>
  <c r="C3140" i="1"/>
  <c r="E3140" i="1"/>
  <c r="F3140" i="1"/>
  <c r="G2188" i="1"/>
  <c r="H2188" i="1"/>
  <c r="D2188" i="1"/>
  <c r="A2188" i="1"/>
  <c r="C2188" i="1"/>
  <c r="E2188" i="1"/>
  <c r="F2188" i="1"/>
  <c r="G2396" i="1"/>
  <c r="H2396" i="1"/>
  <c r="D2396" i="1"/>
  <c r="A2396" i="1"/>
  <c r="C2396" i="1"/>
  <c r="E2396" i="1"/>
  <c r="F2396" i="1"/>
  <c r="G4954" i="1"/>
  <c r="H4954" i="1"/>
  <c r="D4954" i="1"/>
  <c r="A4954" i="1"/>
  <c r="C4954" i="1"/>
  <c r="E4954" i="1"/>
  <c r="F4954" i="1"/>
  <c r="G1930" i="1"/>
  <c r="H1930" i="1"/>
  <c r="D1930" i="1"/>
  <c r="A1930" i="1"/>
  <c r="C1930" i="1"/>
  <c r="E1930" i="1"/>
  <c r="F1930" i="1"/>
  <c r="G2148" i="1"/>
  <c r="H2148" i="1"/>
  <c r="D2148" i="1"/>
  <c r="A2148" i="1"/>
  <c r="C2148" i="1"/>
  <c r="E2148" i="1"/>
  <c r="F2148" i="1"/>
  <c r="G132" i="1"/>
  <c r="H132" i="1"/>
  <c r="D132" i="1"/>
  <c r="A132" i="1"/>
  <c r="C132" i="1"/>
  <c r="E132" i="1"/>
  <c r="F132" i="1"/>
  <c r="G1570" i="1"/>
  <c r="H1570" i="1"/>
  <c r="D1570" i="1"/>
  <c r="A1570" i="1"/>
  <c r="C1570" i="1"/>
  <c r="E1570" i="1"/>
  <c r="F1570" i="1"/>
  <c r="G2129" i="1"/>
  <c r="H2129" i="1"/>
  <c r="D2129" i="1"/>
  <c r="A2129" i="1"/>
  <c r="C2129" i="1"/>
  <c r="E2129" i="1"/>
  <c r="F2129" i="1"/>
  <c r="G2251" i="1"/>
  <c r="H2251" i="1"/>
  <c r="D2251" i="1"/>
  <c r="A2251" i="1"/>
  <c r="C2251" i="1"/>
  <c r="E2251" i="1"/>
  <c r="F2251" i="1"/>
  <c r="G3291" i="1"/>
  <c r="H3291" i="1"/>
  <c r="D3291" i="1"/>
  <c r="A3291" i="1"/>
  <c r="C3291" i="1"/>
  <c r="E3291" i="1"/>
  <c r="F3291" i="1"/>
  <c r="G4046" i="1"/>
  <c r="H4046" i="1"/>
  <c r="D4046" i="1"/>
  <c r="A4046" i="1"/>
  <c r="C4046" i="1"/>
  <c r="E4046" i="1"/>
  <c r="F4046" i="1"/>
  <c r="G2666" i="1"/>
  <c r="H2666" i="1"/>
  <c r="D2666" i="1"/>
  <c r="A2666" i="1"/>
  <c r="C2666" i="1"/>
  <c r="E2666" i="1"/>
  <c r="F2666" i="1"/>
  <c r="G1905" i="1"/>
  <c r="H1905" i="1"/>
  <c r="D1905" i="1"/>
  <c r="C1905" i="1"/>
  <c r="E1905" i="1"/>
  <c r="F1905" i="1"/>
  <c r="G4568" i="1"/>
  <c r="H4568" i="1"/>
  <c r="D4568" i="1"/>
  <c r="A4568" i="1"/>
  <c r="C4568" i="1"/>
  <c r="E4568" i="1"/>
  <c r="F4568" i="1"/>
  <c r="G911" i="1"/>
  <c r="H911" i="1"/>
  <c r="D911" i="1"/>
  <c r="A911" i="1"/>
  <c r="C911" i="1"/>
  <c r="E911" i="1"/>
  <c r="F911" i="1"/>
  <c r="G3055" i="1"/>
  <c r="H3055" i="1"/>
  <c r="D3055" i="1"/>
  <c r="A3055" i="1"/>
  <c r="C3055" i="1"/>
  <c r="E3055" i="1"/>
  <c r="F3055" i="1"/>
  <c r="G293" i="1"/>
  <c r="H293" i="1"/>
  <c r="D293" i="1"/>
  <c r="A293" i="1"/>
  <c r="C293" i="1"/>
  <c r="E293" i="1"/>
  <c r="F293" i="1"/>
  <c r="G643" i="1"/>
  <c r="H643" i="1"/>
  <c r="D643" i="1"/>
  <c r="A643" i="1"/>
  <c r="C643" i="1"/>
  <c r="E643" i="1"/>
  <c r="F643" i="1"/>
  <c r="G4220" i="1"/>
  <c r="H4220" i="1"/>
  <c r="D4220" i="1"/>
  <c r="A4220" i="1"/>
  <c r="C4220" i="1"/>
  <c r="E4220" i="1"/>
  <c r="F4220" i="1"/>
  <c r="G783" i="1"/>
  <c r="H783" i="1"/>
  <c r="D783" i="1"/>
  <c r="A783" i="1"/>
  <c r="C783" i="1"/>
  <c r="E783" i="1"/>
  <c r="F783" i="1"/>
  <c r="G1045" i="1"/>
  <c r="H1045" i="1"/>
  <c r="D1045" i="1"/>
  <c r="A1045" i="1"/>
  <c r="C1045" i="1"/>
  <c r="E1045" i="1"/>
  <c r="F1045" i="1"/>
  <c r="G784" i="1"/>
  <c r="H784" i="1"/>
  <c r="D784" i="1"/>
  <c r="A784" i="1"/>
  <c r="C784" i="1"/>
  <c r="E784" i="1"/>
  <c r="F784" i="1"/>
  <c r="G3422" i="1"/>
  <c r="H3422" i="1"/>
  <c r="D3422" i="1"/>
  <c r="A3422" i="1"/>
  <c r="C3422" i="1"/>
  <c r="E3422" i="1"/>
  <c r="F3422" i="1"/>
  <c r="G769" i="1"/>
  <c r="H769" i="1"/>
  <c r="D769" i="1"/>
  <c r="A769" i="1"/>
  <c r="C769" i="1"/>
  <c r="E769" i="1"/>
  <c r="F769" i="1"/>
  <c r="G664" i="1"/>
  <c r="H664" i="1"/>
  <c r="D664" i="1"/>
  <c r="A664" i="1"/>
  <c r="C664" i="1"/>
  <c r="E664" i="1"/>
  <c r="F664" i="1"/>
  <c r="G663" i="1"/>
  <c r="H663" i="1"/>
  <c r="D663" i="1"/>
  <c r="A663" i="1"/>
  <c r="C663" i="1"/>
  <c r="E663" i="1"/>
  <c r="F663" i="1"/>
  <c r="G3305" i="1"/>
  <c r="H3305" i="1"/>
  <c r="D3305" i="1"/>
  <c r="A3305" i="1"/>
  <c r="C3305" i="1"/>
  <c r="E3305" i="1"/>
  <c r="F3305" i="1"/>
  <c r="G4221" i="1"/>
  <c r="H4221" i="1"/>
  <c r="D4221" i="1"/>
  <c r="A4221" i="1"/>
  <c r="C4221" i="1"/>
  <c r="E4221" i="1"/>
  <c r="F4221" i="1"/>
  <c r="G1808" i="1"/>
  <c r="H1808" i="1"/>
  <c r="D1808" i="1"/>
  <c r="A1808" i="1"/>
  <c r="C1808" i="1"/>
  <c r="E1808" i="1"/>
  <c r="F1808" i="1"/>
  <c r="G808" i="1"/>
  <c r="H808" i="1"/>
  <c r="D808" i="1"/>
  <c r="A808" i="1"/>
  <c r="C808" i="1"/>
  <c r="E808" i="1"/>
  <c r="F808" i="1"/>
  <c r="G1123" i="1"/>
  <c r="H1123" i="1"/>
  <c r="D1123" i="1"/>
  <c r="A1123" i="1"/>
  <c r="C1123" i="1"/>
  <c r="E1123" i="1"/>
  <c r="F1123" i="1"/>
  <c r="G1739" i="1"/>
  <c r="H1739" i="1"/>
  <c r="D1739" i="1"/>
  <c r="A1739" i="1"/>
  <c r="C1739" i="1"/>
  <c r="E1739" i="1"/>
  <c r="F1739" i="1"/>
  <c r="G666" i="1"/>
  <c r="H666" i="1"/>
  <c r="D666" i="1"/>
  <c r="A666" i="1"/>
  <c r="C666" i="1"/>
  <c r="E666" i="1"/>
  <c r="F666" i="1"/>
  <c r="G1291" i="1"/>
  <c r="H1291" i="1"/>
  <c r="D1291" i="1"/>
  <c r="A1291" i="1"/>
  <c r="C1291" i="1"/>
  <c r="E1291" i="1"/>
  <c r="F1291" i="1"/>
  <c r="G792" i="1"/>
  <c r="H792" i="1"/>
  <c r="D792" i="1"/>
  <c r="A792" i="1"/>
  <c r="C792" i="1"/>
  <c r="E792" i="1"/>
  <c r="F792" i="1"/>
  <c r="G18" i="1"/>
  <c r="H18" i="1"/>
  <c r="D18" i="1"/>
  <c r="A18" i="1"/>
  <c r="C18" i="1"/>
  <c r="E18" i="1"/>
  <c r="F18" i="1"/>
  <c r="G294" i="1"/>
  <c r="H294" i="1"/>
  <c r="D294" i="1"/>
  <c r="A294" i="1"/>
  <c r="C294" i="1"/>
  <c r="E294" i="1"/>
  <c r="F294" i="1"/>
  <c r="G3622" i="1"/>
  <c r="H3622" i="1"/>
  <c r="D3622" i="1"/>
  <c r="A3622" i="1"/>
  <c r="C3622" i="1"/>
  <c r="E3622" i="1"/>
  <c r="F3622" i="1"/>
  <c r="G3979" i="1"/>
  <c r="H3979" i="1"/>
  <c r="D3979" i="1"/>
  <c r="A3979" i="1"/>
  <c r="C3979" i="1"/>
  <c r="E3979" i="1"/>
  <c r="F3979" i="1"/>
  <c r="G2009" i="1"/>
  <c r="H2009" i="1"/>
  <c r="D2009" i="1"/>
  <c r="A2009" i="1"/>
  <c r="C2009" i="1"/>
  <c r="E2009" i="1"/>
  <c r="F2009" i="1"/>
  <c r="G3241" i="1"/>
  <c r="H3241" i="1"/>
  <c r="D3241" i="1"/>
  <c r="A3241" i="1"/>
  <c r="C3241" i="1"/>
  <c r="E3241" i="1"/>
  <c r="F3241" i="1"/>
  <c r="G4414" i="1"/>
  <c r="H4414" i="1"/>
  <c r="D4414" i="1"/>
  <c r="A4414" i="1"/>
  <c r="C4414" i="1"/>
  <c r="E4414" i="1"/>
  <c r="F4414" i="1"/>
  <c r="G4287" i="1"/>
  <c r="H4287" i="1"/>
  <c r="D4287" i="1"/>
  <c r="A4287" i="1"/>
  <c r="C4287" i="1"/>
  <c r="E4287" i="1"/>
  <c r="F4287" i="1"/>
  <c r="G3076" i="1"/>
  <c r="H3076" i="1"/>
  <c r="D3076" i="1"/>
  <c r="A3076" i="1"/>
  <c r="C3076" i="1"/>
  <c r="E3076" i="1"/>
  <c r="F3076" i="1"/>
  <c r="G4924" i="1"/>
  <c r="H4924" i="1"/>
  <c r="D4924" i="1"/>
  <c r="A4924" i="1"/>
  <c r="C4924" i="1"/>
  <c r="E4924" i="1"/>
  <c r="F4924" i="1"/>
  <c r="G3238" i="1"/>
  <c r="H3238" i="1"/>
  <c r="D3238" i="1"/>
  <c r="A3238" i="1"/>
  <c r="C3238" i="1"/>
  <c r="E3238" i="1"/>
  <c r="F3238" i="1"/>
  <c r="G2569" i="1"/>
  <c r="H2569" i="1"/>
  <c r="D2569" i="1"/>
  <c r="A2569" i="1"/>
  <c r="C2569" i="1"/>
  <c r="E2569" i="1"/>
  <c r="F2569" i="1"/>
  <c r="G2570" i="1"/>
  <c r="H2570" i="1"/>
  <c r="D2570" i="1"/>
  <c r="A2570" i="1"/>
  <c r="C2570" i="1"/>
  <c r="E2570" i="1"/>
  <c r="F2570" i="1"/>
  <c r="G4902" i="1"/>
  <c r="H4902" i="1"/>
  <c r="D4902" i="1"/>
  <c r="A4902" i="1"/>
  <c r="C4902" i="1"/>
  <c r="E4902" i="1"/>
  <c r="F4902" i="1"/>
  <c r="G4786" i="1"/>
  <c r="H4786" i="1"/>
  <c r="D4786" i="1"/>
  <c r="A4786" i="1"/>
  <c r="C4786" i="1"/>
  <c r="E4786" i="1"/>
  <c r="F4786" i="1"/>
  <c r="G4844" i="1"/>
  <c r="H4844" i="1"/>
  <c r="D4844" i="1"/>
  <c r="A4844" i="1"/>
  <c r="C4844" i="1"/>
  <c r="E4844" i="1"/>
  <c r="F4844" i="1"/>
  <c r="G4843" i="1"/>
  <c r="H4843" i="1"/>
  <c r="D4843" i="1"/>
  <c r="A4843" i="1"/>
  <c r="C4843" i="1"/>
  <c r="E4843" i="1"/>
  <c r="F4843" i="1"/>
  <c r="G3320" i="1"/>
  <c r="H3320" i="1"/>
  <c r="D3320" i="1"/>
  <c r="A3320" i="1"/>
  <c r="C3320" i="1"/>
  <c r="E3320" i="1"/>
  <c r="F3320" i="1"/>
  <c r="G2947" i="1"/>
  <c r="H2947" i="1"/>
  <c r="D2947" i="1"/>
  <c r="A2947" i="1"/>
  <c r="C2947" i="1"/>
  <c r="E2947" i="1"/>
  <c r="F2947" i="1"/>
  <c r="G730" i="1"/>
  <c r="H730" i="1"/>
  <c r="D730" i="1"/>
  <c r="A730" i="1"/>
  <c r="C730" i="1"/>
  <c r="E730" i="1"/>
  <c r="F730" i="1"/>
  <c r="G1076" i="1"/>
  <c r="H1076" i="1"/>
  <c r="D1076" i="1"/>
  <c r="A1076" i="1"/>
  <c r="C1076" i="1"/>
  <c r="E1076" i="1"/>
  <c r="F1076" i="1"/>
  <c r="G557" i="1"/>
  <c r="H557" i="1"/>
  <c r="D557" i="1"/>
  <c r="A557" i="1"/>
  <c r="C557" i="1"/>
  <c r="E557" i="1"/>
  <c r="F557" i="1"/>
  <c r="G1256" i="1"/>
  <c r="H1256" i="1"/>
  <c r="D1256" i="1"/>
  <c r="A1256" i="1"/>
  <c r="C1256" i="1"/>
  <c r="E1256" i="1"/>
  <c r="F1256" i="1"/>
  <c r="G4839" i="1"/>
  <c r="H4839" i="1"/>
  <c r="D4839" i="1"/>
  <c r="A4839" i="1"/>
  <c r="C4839" i="1"/>
  <c r="E4839" i="1"/>
  <c r="F4839" i="1"/>
  <c r="G34" i="1"/>
  <c r="H34" i="1"/>
  <c r="D34" i="1"/>
  <c r="A34" i="1"/>
  <c r="C34" i="1"/>
  <c r="E34" i="1"/>
  <c r="F34" i="1"/>
  <c r="G791" i="1"/>
  <c r="H791" i="1"/>
  <c r="D791" i="1"/>
  <c r="A791" i="1"/>
  <c r="C791" i="1"/>
  <c r="E791" i="1"/>
  <c r="F791" i="1"/>
  <c r="G3062" i="1"/>
  <c r="H3062" i="1"/>
  <c r="D3062" i="1"/>
  <c r="A3062" i="1"/>
  <c r="C3062" i="1"/>
  <c r="E3062" i="1"/>
  <c r="F3062" i="1"/>
  <c r="G563" i="1"/>
  <c r="H563" i="1"/>
  <c r="D563" i="1"/>
  <c r="A563" i="1"/>
  <c r="C563" i="1"/>
  <c r="E563" i="1"/>
  <c r="F563" i="1"/>
  <c r="G3460" i="1"/>
  <c r="H3460" i="1"/>
  <c r="D3460" i="1"/>
  <c r="A3460" i="1"/>
  <c r="C3460" i="1"/>
  <c r="E3460" i="1"/>
  <c r="F3460" i="1"/>
  <c r="G3115" i="1"/>
  <c r="H3115" i="1"/>
  <c r="D3115" i="1"/>
  <c r="A3115" i="1"/>
  <c r="C3115" i="1"/>
  <c r="E3115" i="1"/>
  <c r="F3115" i="1"/>
  <c r="G4889" i="1"/>
  <c r="H4889" i="1"/>
  <c r="D4889" i="1"/>
  <c r="A4889" i="1"/>
  <c r="C4889" i="1"/>
  <c r="E4889" i="1"/>
  <c r="F4889" i="1"/>
  <c r="G73" i="1"/>
  <c r="H73" i="1"/>
  <c r="D73" i="1"/>
  <c r="A73" i="1"/>
  <c r="C73" i="1"/>
  <c r="E73" i="1"/>
  <c r="F73" i="1"/>
  <c r="G448" i="1"/>
  <c r="H448" i="1"/>
  <c r="D448" i="1"/>
  <c r="A448" i="1"/>
  <c r="C448" i="1"/>
  <c r="E448" i="1"/>
  <c r="F448" i="1"/>
  <c r="G4470" i="1"/>
  <c r="H4470" i="1"/>
  <c r="D4470" i="1"/>
  <c r="A4470" i="1"/>
  <c r="C4470" i="1"/>
  <c r="E4470" i="1"/>
  <c r="F4470" i="1"/>
  <c r="G3018" i="1"/>
  <c r="H3018" i="1"/>
  <c r="D3018" i="1"/>
  <c r="A3018" i="1"/>
  <c r="C3018" i="1"/>
  <c r="E3018" i="1"/>
  <c r="F3018" i="1"/>
  <c r="G3052" i="1"/>
  <c r="H3052" i="1"/>
  <c r="D3052" i="1"/>
  <c r="A3052" i="1"/>
  <c r="C3052" i="1"/>
  <c r="E3052" i="1"/>
  <c r="F3052" i="1"/>
  <c r="G4121" i="1"/>
  <c r="H4121" i="1"/>
  <c r="D4121" i="1"/>
  <c r="A4121" i="1"/>
  <c r="C4121" i="1"/>
  <c r="E4121" i="1"/>
  <c r="F4121" i="1"/>
  <c r="G2246" i="1"/>
  <c r="H2246" i="1"/>
  <c r="D2246" i="1"/>
  <c r="A2246" i="1"/>
  <c r="C2246" i="1"/>
  <c r="E2246" i="1"/>
  <c r="F2246" i="1"/>
  <c r="G1919" i="1"/>
  <c r="H1919" i="1"/>
  <c r="D1919" i="1"/>
  <c r="A1919" i="1"/>
  <c r="C1919" i="1"/>
  <c r="E1919" i="1"/>
  <c r="F1919" i="1"/>
  <c r="G3810" i="1"/>
  <c r="H3810" i="1"/>
  <c r="D3810" i="1"/>
  <c r="A3810" i="1"/>
  <c r="C3810" i="1"/>
  <c r="E3810" i="1"/>
  <c r="F3810" i="1"/>
  <c r="G790" i="1"/>
  <c r="H790" i="1"/>
  <c r="D790" i="1"/>
  <c r="A790" i="1"/>
  <c r="C790" i="1"/>
  <c r="E790" i="1"/>
  <c r="F790" i="1"/>
  <c r="G1649" i="1"/>
  <c r="H1649" i="1"/>
  <c r="D1649" i="1"/>
  <c r="A1649" i="1"/>
  <c r="C1649" i="1"/>
  <c r="E1649" i="1"/>
  <c r="F1649" i="1"/>
  <c r="G3011" i="1"/>
  <c r="H3011" i="1"/>
  <c r="D3011" i="1"/>
  <c r="A3011" i="1"/>
  <c r="C3011" i="1"/>
  <c r="E3011" i="1"/>
  <c r="F3011" i="1"/>
  <c r="G1567" i="1"/>
  <c r="H1567" i="1"/>
  <c r="D1567" i="1"/>
  <c r="A1567" i="1"/>
  <c r="C1567" i="1"/>
  <c r="E1567" i="1"/>
  <c r="F1567" i="1"/>
  <c r="G3242" i="1"/>
  <c r="H3242" i="1"/>
  <c r="D3242" i="1"/>
  <c r="A3242" i="1"/>
  <c r="C3242" i="1"/>
  <c r="E3242" i="1"/>
  <c r="F3242" i="1"/>
  <c r="G2516" i="1"/>
  <c r="H2516" i="1"/>
  <c r="D2516" i="1"/>
  <c r="A2516" i="1"/>
  <c r="C2516" i="1"/>
  <c r="E2516" i="1"/>
  <c r="F2516" i="1"/>
  <c r="G2286" i="1"/>
  <c r="H2286" i="1"/>
  <c r="D2286" i="1"/>
  <c r="A2286" i="1"/>
  <c r="C2286" i="1"/>
  <c r="E2286" i="1"/>
  <c r="F2286" i="1"/>
  <c r="G4166" i="1"/>
  <c r="H4166" i="1"/>
  <c r="D4166" i="1"/>
  <c r="A4166" i="1"/>
  <c r="C4166" i="1"/>
  <c r="E4166" i="1"/>
  <c r="F4166" i="1"/>
  <c r="G2923" i="1"/>
  <c r="H2923" i="1"/>
  <c r="D2923" i="1"/>
  <c r="A2923" i="1"/>
  <c r="C2923" i="1"/>
  <c r="E2923" i="1"/>
  <c r="F2923" i="1"/>
  <c r="G2737" i="1"/>
  <c r="H2737" i="1"/>
  <c r="D2737" i="1"/>
  <c r="A2737" i="1"/>
  <c r="C2737" i="1"/>
  <c r="E2737" i="1"/>
  <c r="F2737" i="1"/>
  <c r="G615" i="1"/>
  <c r="H615" i="1"/>
  <c r="D615" i="1"/>
  <c r="A615" i="1"/>
  <c r="C615" i="1"/>
  <c r="E615" i="1"/>
  <c r="F615" i="1"/>
  <c r="G905" i="1"/>
  <c r="H905" i="1"/>
  <c r="D905" i="1"/>
  <c r="A905" i="1"/>
  <c r="C905" i="1"/>
  <c r="E905" i="1"/>
  <c r="F905" i="1"/>
  <c r="G1344" i="1"/>
  <c r="H1344" i="1"/>
  <c r="D1344" i="1"/>
  <c r="A1344" i="1"/>
  <c r="C1344" i="1"/>
  <c r="E1344" i="1"/>
  <c r="F1344" i="1"/>
  <c r="G3922" i="1"/>
  <c r="H3922" i="1"/>
  <c r="D3922" i="1"/>
  <c r="A3922" i="1"/>
  <c r="C3922" i="1"/>
  <c r="E3922" i="1"/>
  <c r="F3922" i="1"/>
  <c r="G1124" i="1"/>
  <c r="H1124" i="1"/>
  <c r="D1124" i="1"/>
  <c r="A1124" i="1"/>
  <c r="C1124" i="1"/>
  <c r="E1124" i="1"/>
  <c r="F1124" i="1"/>
  <c r="G1741" i="1"/>
  <c r="H1741" i="1"/>
  <c r="D1741" i="1"/>
  <c r="A1741" i="1"/>
  <c r="C1741" i="1"/>
  <c r="E1741" i="1"/>
  <c r="F1741" i="1"/>
  <c r="G1742" i="1"/>
  <c r="H1742" i="1"/>
  <c r="D1742" i="1"/>
  <c r="A1742" i="1"/>
  <c r="C1742" i="1"/>
  <c r="E1742" i="1"/>
  <c r="F1742" i="1"/>
  <c r="G2824" i="1"/>
  <c r="H2824" i="1"/>
  <c r="D2824" i="1"/>
  <c r="A2824" i="1"/>
  <c r="C2824" i="1"/>
  <c r="E2824" i="1"/>
  <c r="F2824" i="1"/>
  <c r="G2821" i="1"/>
  <c r="H2821" i="1"/>
  <c r="D2821" i="1"/>
  <c r="A2821" i="1"/>
  <c r="C2821" i="1"/>
  <c r="E2821" i="1"/>
  <c r="F2821" i="1"/>
  <c r="G1050" i="1"/>
  <c r="H1050" i="1"/>
  <c r="D1050" i="1"/>
  <c r="A1050" i="1"/>
  <c r="C1050" i="1"/>
  <c r="E1050" i="1"/>
  <c r="F1050" i="1"/>
  <c r="G1049" i="1"/>
  <c r="H1049" i="1"/>
  <c r="D1049" i="1"/>
  <c r="A1049" i="1"/>
  <c r="C1049" i="1"/>
  <c r="E1049" i="1"/>
  <c r="F1049" i="1"/>
  <c r="G3421" i="1"/>
  <c r="H3421" i="1"/>
  <c r="D3421" i="1"/>
  <c r="A3421" i="1"/>
  <c r="C3421" i="1"/>
  <c r="E3421" i="1"/>
  <c r="F3421" i="1"/>
  <c r="G1984" i="1"/>
  <c r="H1984" i="1"/>
  <c r="D1984" i="1"/>
  <c r="A1984" i="1"/>
  <c r="C1984" i="1"/>
  <c r="E1984" i="1"/>
  <c r="F1984" i="1"/>
  <c r="G3485" i="1"/>
  <c r="H3485" i="1"/>
  <c r="D3485" i="1"/>
  <c r="A3485" i="1"/>
  <c r="C3485" i="1"/>
  <c r="E3485" i="1"/>
  <c r="F3485" i="1"/>
  <c r="G3500" i="1"/>
  <c r="H3500" i="1"/>
  <c r="D3500" i="1"/>
  <c r="A3500" i="1"/>
  <c r="C3500" i="1"/>
  <c r="E3500" i="1"/>
  <c r="F3500" i="1"/>
  <c r="G4254" i="1"/>
  <c r="H4254" i="1"/>
  <c r="D4254" i="1"/>
  <c r="A4254" i="1"/>
  <c r="C4254" i="1"/>
  <c r="E4254" i="1"/>
  <c r="F4254" i="1"/>
  <c r="G2680" i="1"/>
  <c r="H2680" i="1"/>
  <c r="D2680" i="1"/>
  <c r="A2680" i="1"/>
  <c r="C2680" i="1"/>
  <c r="E2680" i="1"/>
  <c r="F2680" i="1"/>
  <c r="G789" i="1"/>
  <c r="H789" i="1"/>
  <c r="D789" i="1"/>
  <c r="A789" i="1"/>
  <c r="C789" i="1"/>
  <c r="E789" i="1"/>
  <c r="F789" i="1"/>
  <c r="G2921" i="1"/>
  <c r="H2921" i="1"/>
  <c r="D2921" i="1"/>
  <c r="A2921" i="1"/>
  <c r="C2921" i="1"/>
  <c r="E2921" i="1"/>
  <c r="F2921" i="1"/>
  <c r="G1182" i="1"/>
  <c r="H1182" i="1"/>
  <c r="D1182" i="1"/>
  <c r="A1182" i="1"/>
  <c r="C1182" i="1"/>
  <c r="E1182" i="1"/>
  <c r="F1182" i="1"/>
  <c r="G3452" i="1"/>
  <c r="H3452" i="1"/>
  <c r="D3452" i="1"/>
  <c r="A3452" i="1"/>
  <c r="C3452" i="1"/>
  <c r="E3452" i="1"/>
  <c r="F3452" i="1"/>
  <c r="G4234" i="1"/>
  <c r="H4234" i="1"/>
  <c r="D4234" i="1"/>
  <c r="C4234" i="1"/>
  <c r="E4234" i="1"/>
  <c r="F4234" i="1"/>
  <c r="G319" i="1"/>
  <c r="H319" i="1"/>
  <c r="D319" i="1"/>
  <c r="A319" i="1"/>
  <c r="C319" i="1"/>
  <c r="E319" i="1"/>
  <c r="F319" i="1"/>
  <c r="G4648" i="1"/>
  <c r="H4648" i="1"/>
  <c r="D4648" i="1"/>
  <c r="A4648" i="1"/>
  <c r="C4648" i="1"/>
  <c r="E4648" i="1"/>
  <c r="F4648" i="1"/>
  <c r="G1514" i="1"/>
  <c r="H1514" i="1"/>
  <c r="D1514" i="1"/>
  <c r="A1514" i="1"/>
  <c r="C1514" i="1"/>
  <c r="E1514" i="1"/>
  <c r="F1514" i="1"/>
  <c r="G2118" i="1"/>
  <c r="H2118" i="1"/>
  <c r="D2118" i="1"/>
  <c r="A2118" i="1"/>
  <c r="C2118" i="1"/>
  <c r="E2118" i="1"/>
  <c r="F2118" i="1"/>
  <c r="G3262" i="1"/>
  <c r="H3262" i="1"/>
  <c r="D3262" i="1"/>
  <c r="A3262" i="1"/>
  <c r="C3262" i="1"/>
  <c r="E3262" i="1"/>
  <c r="F3262" i="1"/>
  <c r="G3861" i="1"/>
  <c r="H3861" i="1"/>
  <c r="D3861" i="1"/>
  <c r="A3861" i="1"/>
  <c r="C3861" i="1"/>
  <c r="E3861" i="1"/>
  <c r="F3861" i="1"/>
  <c r="G1827" i="1"/>
  <c r="H1827" i="1"/>
  <c r="D1827" i="1"/>
  <c r="A1827" i="1"/>
  <c r="C1827" i="1"/>
  <c r="E1827" i="1"/>
  <c r="F1827" i="1"/>
  <c r="G3152" i="1"/>
  <c r="H3152" i="1"/>
  <c r="D3152" i="1"/>
  <c r="A3152" i="1"/>
  <c r="C3152" i="1"/>
  <c r="E3152" i="1"/>
  <c r="F3152" i="1"/>
  <c r="G4800" i="1"/>
  <c r="H4800" i="1"/>
  <c r="D4800" i="1"/>
  <c r="A4800" i="1"/>
  <c r="C4800" i="1"/>
  <c r="E4800" i="1"/>
  <c r="F4800" i="1"/>
  <c r="G16" i="1"/>
  <c r="H16" i="1"/>
  <c r="D16" i="1"/>
  <c r="A16" i="1"/>
  <c r="C16" i="1"/>
  <c r="E16" i="1"/>
  <c r="F16" i="1"/>
  <c r="G129" i="1"/>
  <c r="H129" i="1"/>
  <c r="D129" i="1"/>
  <c r="A129" i="1"/>
  <c r="C129" i="1"/>
  <c r="E129" i="1"/>
  <c r="F129" i="1"/>
  <c r="G2119" i="1"/>
  <c r="H2119" i="1"/>
  <c r="D2119" i="1"/>
  <c r="A2119" i="1"/>
  <c r="C2119" i="1"/>
  <c r="E2119" i="1"/>
  <c r="F2119" i="1"/>
  <c r="G3364" i="1"/>
  <c r="H3364" i="1"/>
  <c r="D3364" i="1"/>
  <c r="A3364" i="1"/>
  <c r="C3364" i="1"/>
  <c r="E3364" i="1"/>
  <c r="F3364" i="1"/>
  <c r="G4480" i="1"/>
  <c r="H4480" i="1"/>
  <c r="D4480" i="1"/>
  <c r="A4480" i="1"/>
  <c r="C4480" i="1"/>
  <c r="E4480" i="1"/>
  <c r="F4480" i="1"/>
  <c r="G1241" i="1"/>
  <c r="H1241" i="1"/>
  <c r="D1241" i="1"/>
  <c r="A1241" i="1"/>
  <c r="C1241" i="1"/>
  <c r="E1241" i="1"/>
  <c r="F1241" i="1"/>
  <c r="G4661" i="1"/>
  <c r="H4661" i="1"/>
  <c r="D4661" i="1"/>
  <c r="A4661" i="1"/>
  <c r="C4661" i="1"/>
  <c r="E4661" i="1"/>
  <c r="F4661" i="1"/>
  <c r="G1895" i="1"/>
  <c r="H1895" i="1"/>
  <c r="D1895" i="1"/>
  <c r="A1895" i="1"/>
  <c r="C1895" i="1"/>
  <c r="E1895" i="1"/>
  <c r="F1895" i="1"/>
  <c r="G4430" i="1"/>
  <c r="H4430" i="1"/>
  <c r="D4430" i="1"/>
  <c r="A4430" i="1"/>
  <c r="C4430" i="1"/>
  <c r="E4430" i="1"/>
  <c r="F4430" i="1"/>
  <c r="G1896" i="1"/>
  <c r="H1896" i="1"/>
  <c r="D1896" i="1"/>
  <c r="A1896" i="1"/>
  <c r="C1896" i="1"/>
  <c r="E1896" i="1"/>
  <c r="F1896" i="1"/>
  <c r="G1174" i="1"/>
  <c r="H1174" i="1"/>
  <c r="D1174" i="1"/>
  <c r="A1174" i="1"/>
  <c r="C1174" i="1"/>
  <c r="E1174" i="1"/>
  <c r="F1174" i="1"/>
  <c r="G963" i="1"/>
  <c r="H963" i="1"/>
  <c r="D963" i="1"/>
  <c r="A963" i="1"/>
  <c r="C963" i="1"/>
  <c r="E963" i="1"/>
  <c r="F963" i="1"/>
  <c r="G1043" i="1"/>
  <c r="H1043" i="1"/>
  <c r="D1043" i="1"/>
  <c r="A1043" i="1"/>
  <c r="C1043" i="1"/>
  <c r="E1043" i="1"/>
  <c r="F1043" i="1"/>
  <c r="G4319" i="1"/>
  <c r="H4319" i="1"/>
  <c r="D4319" i="1"/>
  <c r="A4319" i="1"/>
  <c r="C4319" i="1"/>
  <c r="E4319" i="1"/>
  <c r="F4319" i="1"/>
  <c r="G460" i="1"/>
  <c r="H460" i="1"/>
  <c r="D460" i="1"/>
  <c r="A460" i="1"/>
  <c r="C460" i="1"/>
  <c r="E460" i="1"/>
  <c r="F460" i="1"/>
  <c r="G1607" i="1"/>
  <c r="H1607" i="1"/>
  <c r="D1607" i="1"/>
  <c r="A1607" i="1"/>
  <c r="C1607" i="1"/>
  <c r="E1607" i="1"/>
  <c r="F1607" i="1"/>
  <c r="G2215" i="1"/>
  <c r="H2215" i="1"/>
  <c r="D2215" i="1"/>
  <c r="A2215" i="1"/>
  <c r="C2215" i="1"/>
  <c r="E2215" i="1"/>
  <c r="F2215" i="1"/>
  <c r="G4498" i="1"/>
  <c r="H4498" i="1"/>
  <c r="D4498" i="1"/>
  <c r="A4498" i="1"/>
  <c r="C4498" i="1"/>
  <c r="E4498" i="1"/>
  <c r="F4498" i="1"/>
  <c r="G2114" i="1"/>
  <c r="H2114" i="1"/>
  <c r="D2114" i="1"/>
  <c r="A2114" i="1"/>
  <c r="C2114" i="1"/>
  <c r="E2114" i="1"/>
  <c r="F2114" i="1"/>
  <c r="G19" i="1"/>
  <c r="H19" i="1"/>
  <c r="D19" i="1"/>
  <c r="A19" i="1"/>
  <c r="C19" i="1"/>
  <c r="E19" i="1"/>
  <c r="F19" i="1"/>
  <c r="G4282" i="1"/>
  <c r="H4282" i="1"/>
  <c r="D4282" i="1"/>
  <c r="A4282" i="1"/>
  <c r="C4282" i="1"/>
  <c r="E4282" i="1"/>
  <c r="F4282" i="1"/>
  <c r="G3376" i="1"/>
  <c r="H3376" i="1"/>
  <c r="D3376" i="1"/>
  <c r="A3376" i="1"/>
  <c r="C3376" i="1"/>
  <c r="E3376" i="1"/>
  <c r="F3376" i="1"/>
  <c r="G3209" i="1"/>
  <c r="H3209" i="1"/>
  <c r="D3209" i="1"/>
  <c r="A3209" i="1"/>
  <c r="C3209" i="1"/>
  <c r="E3209" i="1"/>
  <c r="F3209" i="1"/>
  <c r="G2784" i="1"/>
  <c r="H2784" i="1"/>
  <c r="D2784" i="1"/>
  <c r="A2784" i="1"/>
  <c r="C2784" i="1"/>
  <c r="E2784" i="1"/>
  <c r="F2784" i="1"/>
  <c r="G3146" i="1"/>
  <c r="H3146" i="1"/>
  <c r="D3146" i="1"/>
  <c r="A3146" i="1"/>
  <c r="C3146" i="1"/>
  <c r="E3146" i="1"/>
  <c r="F3146" i="1"/>
  <c r="G4654" i="1"/>
  <c r="H4654" i="1"/>
  <c r="D4654" i="1"/>
  <c r="A4654" i="1"/>
  <c r="C4654" i="1"/>
  <c r="E4654" i="1"/>
  <c r="F4654" i="1"/>
  <c r="G4941" i="1"/>
  <c r="H4941" i="1"/>
  <c r="D4941" i="1"/>
  <c r="A4941" i="1"/>
  <c r="C4941" i="1"/>
  <c r="E4941" i="1"/>
  <c r="F4941" i="1"/>
  <c r="G2663" i="1"/>
  <c r="H2663" i="1"/>
  <c r="D2663" i="1"/>
  <c r="A2663" i="1"/>
  <c r="C2663" i="1"/>
  <c r="E2663" i="1"/>
  <c r="F2663" i="1"/>
  <c r="G4151" i="1"/>
  <c r="H4151" i="1"/>
  <c r="D4151" i="1"/>
  <c r="A4151" i="1"/>
  <c r="C4151" i="1"/>
  <c r="E4151" i="1"/>
  <c r="F4151" i="1"/>
  <c r="G4700" i="1"/>
  <c r="H4700" i="1"/>
  <c r="D4700" i="1"/>
  <c r="A4700" i="1"/>
  <c r="C4700" i="1"/>
  <c r="E4700" i="1"/>
  <c r="F4700" i="1"/>
  <c r="G1978" i="1"/>
  <c r="H1978" i="1"/>
  <c r="D1978" i="1"/>
  <c r="A1978" i="1"/>
  <c r="C1978" i="1"/>
  <c r="E1978" i="1"/>
  <c r="F1978" i="1"/>
  <c r="G1958" i="1"/>
  <c r="H1958" i="1"/>
  <c r="D1958" i="1"/>
  <c r="A1958" i="1"/>
  <c r="C1958" i="1"/>
  <c r="E1958" i="1"/>
  <c r="F1958" i="1"/>
  <c r="G3880" i="1"/>
  <c r="H3880" i="1"/>
  <c r="D3880" i="1"/>
  <c r="A3880" i="1"/>
  <c r="C3880" i="1"/>
  <c r="E3880" i="1"/>
  <c r="F3880" i="1"/>
  <c r="G3977" i="1"/>
  <c r="H3977" i="1"/>
  <c r="D3977" i="1"/>
  <c r="A3977" i="1"/>
  <c r="C3977" i="1"/>
  <c r="E3977" i="1"/>
  <c r="F3977" i="1"/>
  <c r="G304" i="1"/>
  <c r="H304" i="1"/>
  <c r="D304" i="1"/>
  <c r="A304" i="1"/>
  <c r="C304" i="1"/>
  <c r="E304" i="1"/>
  <c r="F304" i="1"/>
  <c r="G1698" i="1"/>
  <c r="H1698" i="1"/>
  <c r="D1698" i="1"/>
  <c r="A1698" i="1"/>
  <c r="C1698" i="1"/>
  <c r="E1698" i="1"/>
  <c r="F1698" i="1"/>
  <c r="G3823" i="1"/>
  <c r="H3823" i="1"/>
  <c r="D3823" i="1"/>
  <c r="A3823" i="1"/>
  <c r="C3823" i="1"/>
  <c r="E3823" i="1"/>
  <c r="F3823" i="1"/>
  <c r="G118" i="1"/>
  <c r="H118" i="1"/>
  <c r="D118" i="1"/>
  <c r="A118" i="1"/>
  <c r="C118" i="1"/>
  <c r="E118" i="1"/>
  <c r="F118" i="1"/>
  <c r="G3133" i="1"/>
  <c r="H3133" i="1"/>
  <c r="D3133" i="1"/>
  <c r="A3133" i="1"/>
  <c r="C3133" i="1"/>
  <c r="E3133" i="1"/>
  <c r="F3133" i="1"/>
  <c r="G1681" i="1"/>
  <c r="H1681" i="1"/>
  <c r="D1681" i="1"/>
  <c r="A1681" i="1"/>
  <c r="C1681" i="1"/>
  <c r="E1681" i="1"/>
  <c r="F1681" i="1"/>
  <c r="G1870" i="1"/>
  <c r="H1870" i="1"/>
  <c r="D1870" i="1"/>
  <c r="A1870" i="1"/>
  <c r="C1870" i="1"/>
  <c r="E1870" i="1"/>
  <c r="F1870" i="1"/>
  <c r="G1709" i="1"/>
  <c r="H1709" i="1"/>
  <c r="A1709" i="1"/>
  <c r="C1709" i="1"/>
  <c r="E1709" i="1"/>
  <c r="F1709" i="1"/>
  <c r="G3118" i="1"/>
  <c r="H3118" i="1"/>
  <c r="D3118" i="1"/>
  <c r="A3118" i="1"/>
  <c r="C3118" i="1"/>
  <c r="E3118" i="1"/>
  <c r="F3118" i="1"/>
  <c r="G3026" i="1"/>
  <c r="H3026" i="1"/>
  <c r="D3026" i="1"/>
  <c r="A3026" i="1"/>
  <c r="C3026" i="1"/>
  <c r="E3026" i="1"/>
  <c r="F3026" i="1"/>
  <c r="G347" i="1"/>
  <c r="H347" i="1"/>
  <c r="D347" i="1"/>
  <c r="A347" i="1"/>
  <c r="C347" i="1"/>
  <c r="E347" i="1"/>
  <c r="F347" i="1"/>
  <c r="G2235" i="1"/>
  <c r="H2235" i="1"/>
  <c r="D2235" i="1"/>
  <c r="A2235" i="1"/>
  <c r="C2235" i="1"/>
  <c r="E2235" i="1"/>
  <c r="F2235" i="1"/>
  <c r="G1316" i="1"/>
  <c r="H1316" i="1"/>
  <c r="D1316" i="1"/>
  <c r="A1316" i="1"/>
  <c r="C1316" i="1"/>
  <c r="E1316" i="1"/>
  <c r="F1316" i="1"/>
  <c r="G2045" i="1"/>
  <c r="H2045" i="1"/>
  <c r="D2045" i="1"/>
  <c r="A2045" i="1"/>
  <c r="C2045" i="1"/>
  <c r="E2045" i="1"/>
  <c r="F2045" i="1"/>
  <c r="G3968" i="1"/>
  <c r="H3968" i="1"/>
  <c r="D3968" i="1"/>
  <c r="A3968" i="1"/>
  <c r="C3968" i="1"/>
  <c r="E3968" i="1"/>
  <c r="F3968" i="1"/>
  <c r="G3967" i="1"/>
  <c r="H3967" i="1"/>
  <c r="D3967" i="1"/>
  <c r="A3967" i="1"/>
  <c r="C3967" i="1"/>
  <c r="E3967" i="1"/>
  <c r="F3967" i="1"/>
  <c r="G3969" i="1"/>
  <c r="H3969" i="1"/>
  <c r="D3969" i="1"/>
  <c r="A3969" i="1"/>
  <c r="C3969" i="1"/>
  <c r="E3969" i="1"/>
  <c r="F3969" i="1"/>
  <c r="G3970" i="1"/>
  <c r="H3970" i="1"/>
  <c r="D3970" i="1"/>
  <c r="A3970" i="1"/>
  <c r="C3970" i="1"/>
  <c r="E3970" i="1"/>
  <c r="F3970" i="1"/>
  <c r="G4418" i="1"/>
  <c r="H4418" i="1"/>
  <c r="D4418" i="1"/>
  <c r="A4418" i="1"/>
  <c r="C4418" i="1"/>
  <c r="E4418" i="1"/>
  <c r="F4418" i="1"/>
  <c r="G2792" i="1"/>
  <c r="H2792" i="1"/>
  <c r="D2792" i="1"/>
  <c r="A2792" i="1"/>
  <c r="C2792" i="1"/>
  <c r="E2792" i="1"/>
  <c r="F2792" i="1"/>
  <c r="G1613" i="1"/>
  <c r="H1613" i="1"/>
  <c r="D1613" i="1"/>
  <c r="A1613" i="1"/>
  <c r="C1613" i="1"/>
  <c r="E1613" i="1"/>
  <c r="F1613" i="1"/>
  <c r="G4133" i="1"/>
  <c r="H4133" i="1"/>
  <c r="D4133" i="1"/>
  <c r="A4133" i="1"/>
  <c r="C4133" i="1"/>
  <c r="E4133" i="1"/>
  <c r="F4133" i="1"/>
  <c r="G4114" i="1"/>
  <c r="H4114" i="1"/>
  <c r="D4114" i="1"/>
  <c r="A4114" i="1"/>
  <c r="C4114" i="1"/>
  <c r="E4114" i="1"/>
  <c r="F4114" i="1"/>
  <c r="G3470" i="1"/>
  <c r="H3470" i="1"/>
  <c r="D3470" i="1"/>
  <c r="A3470" i="1"/>
  <c r="C3470" i="1"/>
  <c r="E3470" i="1"/>
  <c r="F3470" i="1"/>
  <c r="G2924" i="1"/>
  <c r="H2924" i="1"/>
  <c r="D2924" i="1"/>
  <c r="A2924" i="1"/>
  <c r="C2924" i="1"/>
  <c r="E2924" i="1"/>
  <c r="F2924" i="1"/>
  <c r="G2631" i="1"/>
  <c r="H2631" i="1"/>
  <c r="D2631" i="1"/>
  <c r="A2631" i="1"/>
  <c r="C2631" i="1"/>
  <c r="E2631" i="1"/>
  <c r="F2631" i="1"/>
  <c r="G1481" i="1"/>
  <c r="H1481" i="1"/>
  <c r="D1481" i="1"/>
  <c r="A1481" i="1"/>
  <c r="C1481" i="1"/>
  <c r="E1481" i="1"/>
  <c r="F1481" i="1"/>
  <c r="G3842" i="1"/>
  <c r="H3842" i="1"/>
  <c r="D3842" i="1"/>
  <c r="A3842" i="1"/>
  <c r="C3842" i="1"/>
  <c r="E3842" i="1"/>
  <c r="F3842" i="1"/>
  <c r="G1962" i="1"/>
  <c r="H1962" i="1"/>
  <c r="D1962" i="1"/>
  <c r="A1962" i="1"/>
  <c r="C1962" i="1"/>
  <c r="E1962" i="1"/>
  <c r="F1962" i="1"/>
  <c r="G1487" i="1"/>
  <c r="H1487" i="1"/>
  <c r="D1487" i="1"/>
  <c r="A1487" i="1"/>
  <c r="C1487" i="1"/>
  <c r="E1487" i="1"/>
  <c r="F1487" i="1"/>
  <c r="G211" i="1"/>
  <c r="H211" i="1"/>
  <c r="D211" i="1"/>
  <c r="A211" i="1"/>
  <c r="C211" i="1"/>
  <c r="E211" i="1"/>
  <c r="F211" i="1"/>
  <c r="G2404" i="1"/>
  <c r="H2404" i="1"/>
  <c r="D2404" i="1"/>
  <c r="A2404" i="1"/>
  <c r="C2404" i="1"/>
  <c r="E2404" i="1"/>
  <c r="F2404" i="1"/>
  <c r="G1614" i="1"/>
  <c r="H1614" i="1"/>
  <c r="D1614" i="1"/>
  <c r="A1614" i="1"/>
  <c r="C1614" i="1"/>
  <c r="E1614" i="1"/>
  <c r="F1614" i="1"/>
  <c r="G4989" i="1"/>
  <c r="H4989" i="1"/>
  <c r="D4989" i="1"/>
  <c r="A4989" i="1"/>
  <c r="C4989" i="1"/>
  <c r="E4989" i="1"/>
  <c r="F4989" i="1"/>
  <c r="G428" i="1"/>
  <c r="H428" i="1"/>
  <c r="D428" i="1"/>
  <c r="A428" i="1"/>
  <c r="C428" i="1"/>
  <c r="E428" i="1"/>
  <c r="F428" i="1"/>
  <c r="G4630" i="1"/>
  <c r="H4630" i="1"/>
  <c r="D4630" i="1"/>
  <c r="A4630" i="1"/>
  <c r="C4630" i="1"/>
  <c r="E4630" i="1"/>
  <c r="F4630" i="1"/>
  <c r="G1773" i="1"/>
  <c r="H1773" i="1"/>
  <c r="D1773" i="1"/>
  <c r="A1773" i="1"/>
  <c r="C1773" i="1"/>
  <c r="E1773" i="1"/>
  <c r="F1773" i="1"/>
  <c r="G2939" i="1"/>
  <c r="H2939" i="1"/>
  <c r="D2939" i="1"/>
  <c r="A2939" i="1"/>
  <c r="C2939" i="1"/>
  <c r="E2939" i="1"/>
  <c r="F2939" i="1"/>
  <c r="G799" i="1"/>
  <c r="H799" i="1"/>
  <c r="D799" i="1"/>
  <c r="A799" i="1"/>
  <c r="C799" i="1"/>
  <c r="E799" i="1"/>
  <c r="F799" i="1"/>
  <c r="G812" i="1"/>
  <c r="H812" i="1"/>
  <c r="D812" i="1"/>
  <c r="A812" i="1"/>
  <c r="C812" i="1"/>
  <c r="E812" i="1"/>
  <c r="F812" i="1"/>
  <c r="G2186" i="1"/>
  <c r="H2186" i="1"/>
  <c r="D2186" i="1"/>
  <c r="A2186" i="1"/>
  <c r="C2186" i="1"/>
  <c r="E2186" i="1"/>
  <c r="F2186" i="1"/>
  <c r="G1602" i="1"/>
  <c r="H1602" i="1"/>
  <c r="D1602" i="1"/>
  <c r="A1602" i="1"/>
  <c r="C1602" i="1"/>
  <c r="E1602" i="1"/>
  <c r="F1602" i="1"/>
  <c r="G2222" i="1"/>
  <c r="H2222" i="1"/>
  <c r="D2222" i="1"/>
  <c r="A2222" i="1"/>
  <c r="C2222" i="1"/>
  <c r="E2222" i="1"/>
  <c r="F2222" i="1"/>
  <c r="G53" i="1"/>
  <c r="H53" i="1"/>
  <c r="D53" i="1"/>
  <c r="A53" i="1"/>
  <c r="C53" i="1"/>
  <c r="E53" i="1"/>
  <c r="F53" i="1"/>
  <c r="G1714" i="1"/>
  <c r="H1714" i="1"/>
  <c r="D1714" i="1"/>
  <c r="A1714" i="1"/>
  <c r="C1714" i="1"/>
  <c r="E1714" i="1"/>
  <c r="F1714" i="1"/>
  <c r="G2249" i="1"/>
  <c r="H2249" i="1"/>
  <c r="D2249" i="1"/>
  <c r="A2249" i="1"/>
  <c r="C2249" i="1"/>
  <c r="E2249" i="1"/>
  <c r="F2249" i="1"/>
  <c r="G190" i="1"/>
  <c r="H190" i="1"/>
  <c r="D190" i="1"/>
  <c r="A190" i="1"/>
  <c r="C190" i="1"/>
  <c r="E190" i="1"/>
  <c r="F190" i="1"/>
  <c r="G4564" i="1"/>
  <c r="H4564" i="1"/>
  <c r="D4564" i="1"/>
  <c r="A4564" i="1"/>
  <c r="C4564" i="1"/>
  <c r="E4564" i="1"/>
  <c r="F4564" i="1"/>
  <c r="G1967" i="1"/>
  <c r="H1967" i="1"/>
  <c r="D1967" i="1"/>
  <c r="A1967" i="1"/>
  <c r="C1967" i="1"/>
  <c r="E1967" i="1"/>
  <c r="F1967" i="1"/>
  <c r="G4770" i="1"/>
  <c r="H4770" i="1"/>
  <c r="D4770" i="1"/>
  <c r="A4770" i="1"/>
  <c r="C4770" i="1"/>
  <c r="E4770" i="1"/>
  <c r="F4770" i="1"/>
  <c r="G2982" i="1"/>
  <c r="H2982" i="1"/>
  <c r="D2982" i="1"/>
  <c r="A2982" i="1"/>
  <c r="C2982" i="1"/>
  <c r="E2982" i="1"/>
  <c r="F2982" i="1"/>
  <c r="G1303" i="1"/>
  <c r="H1303" i="1"/>
  <c r="D1303" i="1"/>
  <c r="A1303" i="1"/>
  <c r="C1303" i="1"/>
  <c r="E1303" i="1"/>
  <c r="F1303" i="1"/>
  <c r="G1074" i="1"/>
  <c r="H1074" i="1"/>
  <c r="D1074" i="1"/>
  <c r="A1074" i="1"/>
  <c r="C1074" i="1"/>
  <c r="E1074" i="1"/>
  <c r="F1074" i="1"/>
  <c r="G2614" i="1"/>
  <c r="H2614" i="1"/>
  <c r="D2614" i="1"/>
  <c r="A2614" i="1"/>
  <c r="C2614" i="1"/>
  <c r="E2614" i="1"/>
  <c r="F2614" i="1"/>
  <c r="G2294" i="1"/>
  <c r="H2294" i="1"/>
  <c r="D2294" i="1"/>
  <c r="A2294" i="1"/>
  <c r="C2294" i="1"/>
  <c r="E2294" i="1"/>
  <c r="F2294" i="1"/>
  <c r="G2607" i="1"/>
  <c r="H2607" i="1"/>
  <c r="D2607" i="1"/>
  <c r="A2607" i="1"/>
  <c r="C2607" i="1"/>
  <c r="E2607" i="1"/>
  <c r="F2607" i="1"/>
  <c r="G2615" i="1"/>
  <c r="H2615" i="1"/>
  <c r="D2615" i="1"/>
  <c r="A2615" i="1"/>
  <c r="C2615" i="1"/>
  <c r="E2615" i="1"/>
  <c r="F2615" i="1"/>
  <c r="G4640" i="1"/>
  <c r="H4640" i="1"/>
  <c r="D4640" i="1"/>
  <c r="A4640" i="1"/>
  <c r="C4640" i="1"/>
  <c r="E4640" i="1"/>
  <c r="F4640" i="1"/>
  <c r="G3101" i="1"/>
  <c r="H3101" i="1"/>
  <c r="D3101" i="1"/>
  <c r="A3101" i="1"/>
  <c r="C3101" i="1"/>
  <c r="E3101" i="1"/>
  <c r="F3101" i="1"/>
  <c r="G3010" i="1"/>
  <c r="H3010" i="1"/>
  <c r="D3010" i="1"/>
  <c r="A3010" i="1"/>
  <c r="C3010" i="1"/>
  <c r="E3010" i="1"/>
  <c r="F3010" i="1"/>
  <c r="G2813" i="1"/>
  <c r="H2813" i="1"/>
  <c r="D2813" i="1"/>
  <c r="A2813" i="1"/>
  <c r="C2813" i="1"/>
  <c r="E2813" i="1"/>
  <c r="F2813" i="1"/>
  <c r="G3552" i="1"/>
  <c r="H3552" i="1"/>
  <c r="D3552" i="1"/>
  <c r="A3552" i="1"/>
  <c r="C3552" i="1"/>
  <c r="E3552" i="1"/>
  <c r="F3552" i="1"/>
  <c r="G1457" i="1"/>
  <c r="H1457" i="1"/>
  <c r="D1457" i="1"/>
  <c r="A1457" i="1"/>
  <c r="C1457" i="1"/>
  <c r="E1457" i="1"/>
  <c r="F1457" i="1"/>
  <c r="G5043" i="1"/>
  <c r="H5043" i="1"/>
  <c r="D5043" i="1"/>
  <c r="A5043" i="1"/>
  <c r="C5043" i="1"/>
  <c r="E5043" i="1"/>
  <c r="F5043" i="1"/>
  <c r="G2734" i="1"/>
  <c r="H2734" i="1"/>
  <c r="D2734" i="1"/>
  <c r="A2734" i="1"/>
  <c r="C2734" i="1"/>
  <c r="E2734" i="1"/>
  <c r="F2734" i="1"/>
  <c r="G4646" i="1"/>
  <c r="H4646" i="1"/>
  <c r="D4646" i="1"/>
  <c r="A4646" i="1"/>
  <c r="C4646" i="1"/>
  <c r="E4646" i="1"/>
  <c r="F4646" i="1"/>
  <c r="G3408" i="1"/>
  <c r="H3408" i="1"/>
  <c r="D3408" i="1"/>
  <c r="A3408" i="1"/>
  <c r="C3408" i="1"/>
  <c r="E3408" i="1"/>
  <c r="F3408" i="1"/>
  <c r="G3930" i="1"/>
  <c r="H3930" i="1"/>
  <c r="D3930" i="1"/>
  <c r="A3930" i="1"/>
  <c r="C3930" i="1"/>
  <c r="E3930" i="1"/>
  <c r="F3930" i="1"/>
  <c r="G3148" i="1"/>
  <c r="H3148" i="1"/>
  <c r="D3148" i="1"/>
  <c r="A3148" i="1"/>
  <c r="C3148" i="1"/>
  <c r="E3148" i="1"/>
  <c r="F3148" i="1"/>
  <c r="G4410" i="1"/>
  <c r="H4410" i="1"/>
  <c r="D4410" i="1"/>
  <c r="A4410" i="1"/>
  <c r="C4410" i="1"/>
  <c r="E4410" i="1"/>
  <c r="F4410" i="1"/>
  <c r="G4362" i="1"/>
  <c r="H4362" i="1"/>
  <c r="D4362" i="1"/>
  <c r="A4362" i="1"/>
  <c r="C4362" i="1"/>
  <c r="E4362" i="1"/>
  <c r="F4362" i="1"/>
  <c r="G1330" i="1"/>
  <c r="H1330" i="1"/>
  <c r="D1330" i="1"/>
  <c r="A1330" i="1"/>
  <c r="C1330" i="1"/>
  <c r="E1330" i="1"/>
  <c r="F1330" i="1"/>
  <c r="G2708" i="1"/>
  <c r="H2708" i="1"/>
  <c r="D2708" i="1"/>
  <c r="A2708" i="1"/>
  <c r="C2708" i="1"/>
  <c r="E2708" i="1"/>
  <c r="F2708" i="1"/>
  <c r="G4260" i="1"/>
  <c r="H4260" i="1"/>
  <c r="D4260" i="1"/>
  <c r="A4260" i="1"/>
  <c r="C4260" i="1"/>
  <c r="E4260" i="1"/>
  <c r="F4260" i="1"/>
  <c r="G3136" i="1"/>
  <c r="H3136" i="1"/>
  <c r="D3136" i="1"/>
  <c r="A3136" i="1"/>
  <c r="C3136" i="1"/>
  <c r="E3136" i="1"/>
  <c r="F3136" i="1"/>
  <c r="G3849" i="1"/>
  <c r="H3849" i="1"/>
  <c r="D3849" i="1"/>
  <c r="A3849" i="1"/>
  <c r="C3849" i="1"/>
  <c r="E3849" i="1"/>
  <c r="F3849" i="1"/>
  <c r="G327" i="1"/>
  <c r="H327" i="1"/>
  <c r="D327" i="1"/>
  <c r="A327" i="1"/>
  <c r="C327" i="1"/>
  <c r="E327" i="1"/>
  <c r="F327" i="1"/>
  <c r="G444" i="1"/>
  <c r="H444" i="1"/>
  <c r="D444" i="1"/>
  <c r="A444" i="1"/>
  <c r="C444" i="1"/>
  <c r="E444" i="1"/>
  <c r="F444" i="1"/>
  <c r="G2805" i="1"/>
  <c r="H2805" i="1"/>
  <c r="D2805" i="1"/>
  <c r="A2805" i="1"/>
  <c r="C2805" i="1"/>
  <c r="E2805" i="1"/>
  <c r="F2805" i="1"/>
  <c r="G5105" i="1"/>
  <c r="H5105" i="1"/>
  <c r="D5105" i="1"/>
  <c r="A5105" i="1"/>
  <c r="C5105" i="1"/>
  <c r="E5105" i="1"/>
  <c r="F5105" i="1"/>
  <c r="G2550" i="1"/>
  <c r="H2550" i="1"/>
  <c r="D2550" i="1"/>
  <c r="A2550" i="1"/>
  <c r="C2550" i="1"/>
  <c r="E2550" i="1"/>
  <c r="F2550" i="1"/>
  <c r="G870" i="1"/>
  <c r="H870" i="1"/>
  <c r="D870" i="1"/>
  <c r="A870" i="1"/>
  <c r="C870" i="1"/>
  <c r="E870" i="1"/>
  <c r="F870" i="1"/>
  <c r="G2919" i="1"/>
  <c r="H2919" i="1"/>
  <c r="D2919" i="1"/>
  <c r="A2919" i="1"/>
  <c r="C2919" i="1"/>
  <c r="E2919" i="1"/>
  <c r="F2919" i="1"/>
  <c r="G1361" i="1"/>
  <c r="H1361" i="1"/>
  <c r="D1361" i="1"/>
  <c r="A1361" i="1"/>
  <c r="C1361" i="1"/>
  <c r="E1361" i="1"/>
  <c r="F1361" i="1"/>
  <c r="G2549" i="1"/>
  <c r="H2549" i="1"/>
  <c r="D2549" i="1"/>
  <c r="A2549" i="1"/>
  <c r="C2549" i="1"/>
  <c r="E2549" i="1"/>
  <c r="F2549" i="1"/>
  <c r="G5093" i="1"/>
  <c r="H5093" i="1"/>
  <c r="D5093" i="1"/>
  <c r="A5093" i="1"/>
  <c r="C5093" i="1"/>
  <c r="E5093" i="1"/>
  <c r="F5093" i="1"/>
  <c r="G3196" i="1"/>
  <c r="H3196" i="1"/>
  <c r="D3196" i="1"/>
  <c r="A3196" i="1"/>
  <c r="C3196" i="1"/>
  <c r="E3196" i="1"/>
  <c r="F3196" i="1"/>
  <c r="G2058" i="1"/>
  <c r="H2058" i="1"/>
  <c r="D2058" i="1"/>
  <c r="A2058" i="1"/>
  <c r="C2058" i="1"/>
  <c r="E2058" i="1"/>
  <c r="F2058" i="1"/>
  <c r="G1173" i="1"/>
  <c r="H1173" i="1"/>
  <c r="D1173" i="1"/>
  <c r="A1173" i="1"/>
  <c r="C1173" i="1"/>
  <c r="E1173" i="1"/>
  <c r="F1173" i="1"/>
  <c r="G894" i="1"/>
  <c r="H894" i="1"/>
  <c r="D894" i="1"/>
  <c r="A894" i="1"/>
  <c r="C894" i="1"/>
  <c r="E894" i="1"/>
  <c r="F894" i="1"/>
  <c r="G2262" i="1"/>
  <c r="H2262" i="1"/>
  <c r="D2262" i="1"/>
  <c r="A2262" i="1"/>
  <c r="C2262" i="1"/>
  <c r="E2262" i="1"/>
  <c r="F2262" i="1"/>
  <c r="G4543" i="1"/>
  <c r="H4543" i="1"/>
  <c r="D4543" i="1"/>
  <c r="A4543" i="1"/>
  <c r="C4543" i="1"/>
  <c r="E4543" i="1"/>
  <c r="F4543" i="1"/>
  <c r="G4186" i="1"/>
  <c r="H4186" i="1"/>
  <c r="D4186" i="1"/>
  <c r="A4186" i="1"/>
  <c r="C4186" i="1"/>
  <c r="E4186" i="1"/>
  <c r="F4186" i="1"/>
  <c r="G768" i="1"/>
  <c r="H768" i="1"/>
  <c r="D768" i="1"/>
  <c r="A768" i="1"/>
  <c r="C768" i="1"/>
  <c r="E768" i="1"/>
  <c r="F768" i="1"/>
  <c r="G1158" i="1"/>
  <c r="H1158" i="1"/>
  <c r="D1158" i="1"/>
  <c r="A1158" i="1"/>
  <c r="C1158" i="1"/>
  <c r="E1158" i="1"/>
  <c r="F1158" i="1"/>
  <c r="G228" i="1"/>
  <c r="H228" i="1"/>
  <c r="D228" i="1"/>
  <c r="A228" i="1"/>
  <c r="C228" i="1"/>
  <c r="E228" i="1"/>
  <c r="F228" i="1"/>
  <c r="G3169" i="1"/>
  <c r="H3169" i="1"/>
  <c r="D3169" i="1"/>
  <c r="A3169" i="1"/>
  <c r="C3169" i="1"/>
  <c r="E3169" i="1"/>
  <c r="F3169" i="1"/>
  <c r="G3660" i="1"/>
  <c r="H3660" i="1"/>
  <c r="D3660" i="1"/>
  <c r="A3660" i="1"/>
  <c r="C3660" i="1"/>
  <c r="E3660" i="1"/>
  <c r="F3660" i="1"/>
  <c r="G163" i="1"/>
  <c r="H163" i="1"/>
  <c r="D163" i="1"/>
  <c r="A163" i="1"/>
  <c r="C163" i="1"/>
  <c r="E163" i="1"/>
  <c r="F163" i="1"/>
  <c r="G285" i="1"/>
  <c r="H285" i="1"/>
  <c r="D285" i="1"/>
  <c r="A285" i="1"/>
  <c r="C285" i="1"/>
  <c r="E285" i="1"/>
  <c r="F285" i="1"/>
  <c r="G5022" i="1"/>
  <c r="H5022" i="1"/>
  <c r="D5022" i="1"/>
  <c r="A5022" i="1"/>
  <c r="C5022" i="1"/>
  <c r="E5022" i="1"/>
  <c r="F5022" i="1"/>
  <c r="G4733" i="1"/>
  <c r="H4733" i="1"/>
  <c r="D4733" i="1"/>
  <c r="A4733" i="1"/>
  <c r="C4733" i="1"/>
  <c r="E4733" i="1"/>
  <c r="F4733" i="1"/>
  <c r="G1955" i="1"/>
  <c r="H1955" i="1"/>
  <c r="D1955" i="1"/>
  <c r="A1955" i="1"/>
  <c r="C1955" i="1"/>
  <c r="E1955" i="1"/>
  <c r="F1955" i="1"/>
  <c r="G776" i="1"/>
  <c r="H776" i="1"/>
  <c r="D776" i="1"/>
  <c r="A776" i="1"/>
  <c r="C776" i="1"/>
  <c r="E776" i="1"/>
  <c r="F776" i="1"/>
  <c r="G1790" i="1"/>
  <c r="H1790" i="1"/>
  <c r="D1790" i="1"/>
  <c r="A1790" i="1"/>
  <c r="C1790" i="1"/>
  <c r="E1790" i="1"/>
  <c r="F1790" i="1"/>
  <c r="G2133" i="1"/>
  <c r="H2133" i="1"/>
  <c r="D2133" i="1"/>
  <c r="A2133" i="1"/>
  <c r="C2133" i="1"/>
  <c r="E2133" i="1"/>
  <c r="F2133" i="1"/>
  <c r="G2132" i="1"/>
  <c r="H2132" i="1"/>
  <c r="D2132" i="1"/>
  <c r="A2132" i="1"/>
  <c r="C2132" i="1"/>
  <c r="E2132" i="1"/>
  <c r="F2132" i="1"/>
  <c r="G534" i="1"/>
  <c r="H534" i="1"/>
  <c r="D534" i="1"/>
  <c r="A534" i="1"/>
  <c r="C534" i="1"/>
  <c r="E534" i="1"/>
  <c r="F534" i="1"/>
  <c r="G1707" i="1"/>
  <c r="H1707" i="1"/>
  <c r="D1707" i="1"/>
  <c r="A1707" i="1"/>
  <c r="C1707" i="1"/>
  <c r="E1707" i="1"/>
  <c r="F1707" i="1"/>
  <c r="G3632" i="1"/>
  <c r="H3632" i="1"/>
  <c r="D3632" i="1"/>
  <c r="A3632" i="1"/>
  <c r="C3632" i="1"/>
  <c r="E3632" i="1"/>
  <c r="F3632" i="1"/>
  <c r="G350" i="1"/>
  <c r="H350" i="1"/>
  <c r="D350" i="1"/>
  <c r="A350" i="1"/>
  <c r="C350" i="1"/>
  <c r="E350" i="1"/>
  <c r="F350" i="1"/>
  <c r="G2604" i="1"/>
  <c r="H2604" i="1"/>
  <c r="D2604" i="1"/>
  <c r="A2604" i="1"/>
  <c r="C2604" i="1"/>
  <c r="E2604" i="1"/>
  <c r="F2604" i="1"/>
  <c r="G77" i="1"/>
  <c r="H77" i="1"/>
  <c r="D77" i="1"/>
  <c r="A77" i="1"/>
  <c r="C77" i="1"/>
  <c r="E77" i="1"/>
  <c r="F77" i="1"/>
  <c r="G1844" i="1"/>
  <c r="H1844" i="1"/>
  <c r="D1844" i="1"/>
  <c r="A1844" i="1"/>
  <c r="C1844" i="1"/>
  <c r="E1844" i="1"/>
  <c r="F1844" i="1"/>
  <c r="G4439" i="1"/>
  <c r="H4439" i="1"/>
  <c r="D4439" i="1"/>
  <c r="A4439" i="1"/>
  <c r="C4439" i="1"/>
  <c r="E4439" i="1"/>
  <c r="F4439" i="1"/>
  <c r="G2499" i="1"/>
  <c r="H2499" i="1"/>
  <c r="D2499" i="1"/>
  <c r="A2499" i="1"/>
  <c r="C2499" i="1"/>
  <c r="E2499" i="1"/>
  <c r="F2499" i="1"/>
  <c r="G2284" i="1"/>
  <c r="H2284" i="1"/>
  <c r="D2284" i="1"/>
  <c r="A2284" i="1"/>
  <c r="C2284" i="1"/>
  <c r="E2284" i="1"/>
  <c r="F2284" i="1"/>
  <c r="G4753" i="1"/>
  <c r="H4753" i="1"/>
  <c r="D4753" i="1"/>
  <c r="A4753" i="1"/>
  <c r="C4753" i="1"/>
  <c r="E4753" i="1"/>
  <c r="F4753" i="1"/>
  <c r="G72" i="1"/>
  <c r="H72" i="1"/>
  <c r="D72" i="1"/>
  <c r="A72" i="1"/>
  <c r="C72" i="1"/>
  <c r="E72" i="1"/>
  <c r="F72" i="1"/>
  <c r="G1084" i="1"/>
  <c r="H1084" i="1"/>
  <c r="D1084" i="1"/>
  <c r="A1084" i="1"/>
  <c r="C1084" i="1"/>
  <c r="E1084" i="1"/>
  <c r="F1084" i="1"/>
  <c r="G2232" i="1"/>
  <c r="H2232" i="1"/>
  <c r="D2232" i="1"/>
  <c r="A2232" i="1"/>
  <c r="C2232" i="1"/>
  <c r="E2232" i="1"/>
  <c r="F2232" i="1"/>
  <c r="G2410" i="1"/>
  <c r="H2410" i="1"/>
  <c r="D2410" i="1"/>
  <c r="A2410" i="1"/>
  <c r="C2410" i="1"/>
  <c r="E2410" i="1"/>
  <c r="F2410" i="1"/>
  <c r="G4346" i="1"/>
  <c r="H4346" i="1"/>
  <c r="D4346" i="1"/>
  <c r="A4346" i="1"/>
  <c r="C4346" i="1"/>
  <c r="E4346" i="1"/>
  <c r="F4346" i="1"/>
  <c r="G3263" i="1"/>
  <c r="H3263" i="1"/>
  <c r="D3263" i="1"/>
  <c r="A3263" i="1"/>
  <c r="C3263" i="1"/>
  <c r="E3263" i="1"/>
  <c r="F3263" i="1"/>
  <c r="G4928" i="1"/>
  <c r="H4928" i="1"/>
  <c r="D4928" i="1"/>
  <c r="A4928" i="1"/>
  <c r="C4928" i="1"/>
  <c r="E4928" i="1"/>
  <c r="F4928" i="1"/>
  <c r="G2700" i="1"/>
  <c r="H2700" i="1"/>
  <c r="D2700" i="1"/>
  <c r="A2700" i="1"/>
  <c r="C2700" i="1"/>
  <c r="E2700" i="1"/>
  <c r="F2700" i="1"/>
  <c r="G2469" i="1"/>
  <c r="H2469" i="1"/>
  <c r="D2469" i="1"/>
  <c r="A2469" i="1"/>
  <c r="C2469" i="1"/>
  <c r="E2469" i="1"/>
  <c r="F2469" i="1"/>
  <c r="G3106" i="1"/>
  <c r="H3106" i="1"/>
  <c r="D3106" i="1"/>
  <c r="A3106" i="1"/>
  <c r="C3106" i="1"/>
  <c r="E3106" i="1"/>
  <c r="F3106" i="1"/>
  <c r="G508" i="1"/>
  <c r="H508" i="1"/>
  <c r="D508" i="1"/>
  <c r="A508" i="1"/>
  <c r="C508" i="1"/>
  <c r="E508" i="1"/>
  <c r="F508" i="1"/>
  <c r="G575" i="1"/>
  <c r="H575" i="1"/>
  <c r="D575" i="1"/>
  <c r="A575" i="1"/>
  <c r="C575" i="1"/>
  <c r="E575" i="1"/>
  <c r="F575" i="1"/>
  <c r="G574" i="1"/>
  <c r="H574" i="1"/>
  <c r="D574" i="1"/>
  <c r="A574" i="1"/>
  <c r="C574" i="1"/>
  <c r="E574" i="1"/>
  <c r="F574" i="1"/>
  <c r="G4230" i="1"/>
  <c r="H4230" i="1"/>
  <c r="D4230" i="1"/>
  <c r="A4230" i="1"/>
  <c r="C4230" i="1"/>
  <c r="E4230" i="1"/>
  <c r="F4230" i="1"/>
  <c r="G2715" i="1"/>
  <c r="H2715" i="1"/>
  <c r="D2715" i="1"/>
  <c r="A2715" i="1"/>
  <c r="C2715" i="1"/>
  <c r="E2715" i="1"/>
  <c r="F2715" i="1"/>
  <c r="G4918" i="1"/>
  <c r="H4918" i="1"/>
  <c r="D4918" i="1"/>
  <c r="A4918" i="1"/>
  <c r="C4918" i="1"/>
  <c r="E4918" i="1"/>
  <c r="F4918" i="1"/>
  <c r="G2088" i="1"/>
  <c r="H2088" i="1"/>
  <c r="D2088" i="1"/>
  <c r="A2088" i="1"/>
  <c r="C2088" i="1"/>
  <c r="E2088" i="1"/>
  <c r="F2088" i="1"/>
  <c r="G1710" i="1"/>
  <c r="H1710" i="1"/>
  <c r="D1710" i="1"/>
  <c r="A1710" i="1"/>
  <c r="C1710" i="1"/>
  <c r="E1710" i="1"/>
  <c r="F1710" i="1"/>
  <c r="G1813" i="1"/>
  <c r="H1813" i="1"/>
  <c r="D1813" i="1"/>
  <c r="A1813" i="1"/>
  <c r="C1813" i="1"/>
  <c r="E1813" i="1"/>
  <c r="F1813" i="1"/>
  <c r="G1691" i="1"/>
  <c r="H1691" i="1"/>
  <c r="D1691" i="1"/>
  <c r="A1691" i="1"/>
  <c r="C1691" i="1"/>
  <c r="E1691" i="1"/>
  <c r="F1691" i="1"/>
  <c r="G1990" i="1"/>
  <c r="H1990" i="1"/>
  <c r="D1990" i="1"/>
  <c r="A1990" i="1"/>
  <c r="C1990" i="1"/>
  <c r="E1990" i="1"/>
  <c r="F1990" i="1"/>
  <c r="G2048" i="1"/>
  <c r="H2048" i="1"/>
  <c r="D2048" i="1"/>
  <c r="A2048" i="1"/>
  <c r="C2048" i="1"/>
  <c r="E2048" i="1"/>
  <c r="F2048" i="1"/>
  <c r="G4795" i="1"/>
  <c r="H4795" i="1"/>
  <c r="D4795" i="1"/>
  <c r="A4795" i="1"/>
  <c r="C4795" i="1"/>
  <c r="E4795" i="1"/>
  <c r="F4795" i="1"/>
  <c r="G863" i="1"/>
  <c r="H863" i="1"/>
  <c r="D863" i="1"/>
  <c r="A863" i="1"/>
  <c r="C863" i="1"/>
  <c r="E863" i="1"/>
  <c r="F863" i="1"/>
  <c r="G2269" i="1"/>
  <c r="H2269" i="1"/>
  <c r="D2269" i="1"/>
  <c r="A2269" i="1"/>
  <c r="C2269" i="1"/>
  <c r="E2269" i="1"/>
  <c r="F2269" i="1"/>
  <c r="G4367" i="1"/>
  <c r="H4367" i="1"/>
  <c r="D4367" i="1"/>
  <c r="A4367" i="1"/>
  <c r="C4367" i="1"/>
  <c r="E4367" i="1"/>
  <c r="F4367" i="1"/>
  <c r="G1329" i="1"/>
  <c r="H1329" i="1"/>
  <c r="D1329" i="1"/>
  <c r="A1329" i="1"/>
  <c r="C1329" i="1"/>
  <c r="E1329" i="1"/>
  <c r="F1329" i="1"/>
  <c r="G590" i="1"/>
  <c r="H590" i="1"/>
  <c r="D590" i="1"/>
  <c r="A590" i="1"/>
  <c r="C590" i="1"/>
  <c r="E590" i="1"/>
  <c r="F590" i="1"/>
  <c r="G2822" i="1"/>
  <c r="H2822" i="1"/>
  <c r="D2822" i="1"/>
  <c r="A2822" i="1"/>
  <c r="C2822" i="1"/>
  <c r="E2822" i="1"/>
  <c r="F2822" i="1"/>
  <c r="G583" i="1"/>
  <c r="H583" i="1"/>
  <c r="D583" i="1"/>
  <c r="A583" i="1"/>
  <c r="C583" i="1"/>
  <c r="E583" i="1"/>
  <c r="F583" i="1"/>
  <c r="G585" i="1"/>
  <c r="H585" i="1"/>
  <c r="D585" i="1"/>
  <c r="A585" i="1"/>
  <c r="C585" i="1"/>
  <c r="E585" i="1"/>
  <c r="F585" i="1"/>
  <c r="G584" i="1"/>
  <c r="H584" i="1"/>
  <c r="D584" i="1"/>
  <c r="A584" i="1"/>
  <c r="C584" i="1"/>
  <c r="E584" i="1"/>
  <c r="F584" i="1"/>
  <c r="G586" i="1"/>
  <c r="H586" i="1"/>
  <c r="D586" i="1"/>
  <c r="A586" i="1"/>
  <c r="C586" i="1"/>
  <c r="E586" i="1"/>
  <c r="F586" i="1"/>
  <c r="G581" i="1"/>
  <c r="H581" i="1"/>
  <c r="D581" i="1"/>
  <c r="A581" i="1"/>
  <c r="C581" i="1"/>
  <c r="E581" i="1"/>
  <c r="F581" i="1"/>
  <c r="G617" i="1"/>
  <c r="H617" i="1"/>
  <c r="D617" i="1"/>
  <c r="A617" i="1"/>
  <c r="C617" i="1"/>
  <c r="E617" i="1"/>
  <c r="F617" i="1"/>
  <c r="G591" i="1"/>
  <c r="H591" i="1"/>
  <c r="D591" i="1"/>
  <c r="A591" i="1"/>
  <c r="C591" i="1"/>
  <c r="E591" i="1"/>
  <c r="F591" i="1"/>
  <c r="G562" i="1"/>
  <c r="H562" i="1"/>
  <c r="D562" i="1"/>
  <c r="A562" i="1"/>
  <c r="C562" i="1"/>
  <c r="E562" i="1"/>
  <c r="F562" i="1"/>
  <c r="G612" i="1"/>
  <c r="H612" i="1"/>
  <c r="D612" i="1"/>
  <c r="A612" i="1"/>
  <c r="C612" i="1"/>
  <c r="E612" i="1"/>
  <c r="F612" i="1"/>
  <c r="G3025" i="1"/>
  <c r="H3025" i="1"/>
  <c r="D3025" i="1"/>
  <c r="A3025" i="1"/>
  <c r="C3025" i="1"/>
  <c r="E3025" i="1"/>
  <c r="F3025" i="1"/>
  <c r="G1857" i="1"/>
  <c r="H1857" i="1"/>
  <c r="D1857" i="1"/>
  <c r="A1857" i="1"/>
  <c r="C1857" i="1"/>
  <c r="E1857" i="1"/>
  <c r="F1857" i="1"/>
  <c r="G4028" i="1"/>
  <c r="H4028" i="1"/>
  <c r="D4028" i="1"/>
  <c r="A4028" i="1"/>
  <c r="C4028" i="1"/>
  <c r="E4028" i="1"/>
  <c r="F4028" i="1"/>
  <c r="G578" i="1"/>
  <c r="H578" i="1"/>
  <c r="D578" i="1"/>
  <c r="A578" i="1"/>
  <c r="C578" i="1"/>
  <c r="E578" i="1"/>
  <c r="F578" i="1"/>
  <c r="G577" i="1"/>
  <c r="H577" i="1"/>
  <c r="D577" i="1"/>
  <c r="A577" i="1"/>
  <c r="C577" i="1"/>
  <c r="E577" i="1"/>
  <c r="F577" i="1"/>
  <c r="G565" i="1"/>
  <c r="H565" i="1"/>
  <c r="D565" i="1"/>
  <c r="A565" i="1"/>
  <c r="C565" i="1"/>
  <c r="E565" i="1"/>
  <c r="F565" i="1"/>
  <c r="G564" i="1"/>
  <c r="H564" i="1"/>
  <c r="D564" i="1"/>
  <c r="A564" i="1"/>
  <c r="C564" i="1"/>
  <c r="E564" i="1"/>
  <c r="F564" i="1"/>
  <c r="G560" i="1"/>
  <c r="H560" i="1"/>
  <c r="D560" i="1"/>
  <c r="A560" i="1"/>
  <c r="C560" i="1"/>
  <c r="E560" i="1"/>
  <c r="F560" i="1"/>
  <c r="G567" i="1"/>
  <c r="H567" i="1"/>
  <c r="D567" i="1"/>
  <c r="A567" i="1"/>
  <c r="C567" i="1"/>
  <c r="E567" i="1"/>
  <c r="F567" i="1"/>
  <c r="G568" i="1"/>
  <c r="H568" i="1"/>
  <c r="D568" i="1"/>
  <c r="A568" i="1"/>
  <c r="C568" i="1"/>
  <c r="E568" i="1"/>
  <c r="F568" i="1"/>
  <c r="G569" i="1"/>
  <c r="H569" i="1"/>
  <c r="D569" i="1"/>
  <c r="A569" i="1"/>
  <c r="C569" i="1"/>
  <c r="E569" i="1"/>
  <c r="F569" i="1"/>
  <c r="G1038" i="1"/>
  <c r="H1038" i="1"/>
  <c r="D1038" i="1"/>
  <c r="A1038" i="1"/>
  <c r="C1038" i="1"/>
  <c r="E1038" i="1"/>
  <c r="F1038" i="1"/>
  <c r="G589" i="1"/>
  <c r="H589" i="1"/>
  <c r="D589" i="1"/>
  <c r="A589" i="1"/>
  <c r="C589" i="1"/>
  <c r="E589" i="1"/>
  <c r="F589" i="1"/>
  <c r="G3294" i="1"/>
  <c r="H3294" i="1"/>
  <c r="D3294" i="1"/>
  <c r="A3294" i="1"/>
  <c r="C3294" i="1"/>
  <c r="E3294" i="1"/>
  <c r="F3294" i="1"/>
  <c r="G607" i="1"/>
  <c r="H607" i="1"/>
  <c r="D607" i="1"/>
  <c r="A607" i="1"/>
  <c r="C607" i="1"/>
  <c r="E607" i="1"/>
  <c r="F607" i="1"/>
  <c r="G576" i="1"/>
  <c r="H576" i="1"/>
  <c r="D576" i="1"/>
  <c r="A576" i="1"/>
  <c r="C576" i="1"/>
  <c r="E576" i="1"/>
  <c r="F576" i="1"/>
  <c r="G1154" i="1"/>
  <c r="H1154" i="1"/>
  <c r="D1154" i="1"/>
  <c r="A1154" i="1"/>
  <c r="C1154" i="1"/>
  <c r="E1154" i="1"/>
  <c r="F1154" i="1"/>
  <c r="G572" i="1"/>
  <c r="H572" i="1"/>
  <c r="D572" i="1"/>
  <c r="A572" i="1"/>
  <c r="C572" i="1"/>
  <c r="E572" i="1"/>
  <c r="F572" i="1"/>
  <c r="G582" i="1"/>
  <c r="H582" i="1"/>
  <c r="D582" i="1"/>
  <c r="A582" i="1"/>
  <c r="C582" i="1"/>
  <c r="E582" i="1"/>
  <c r="F582" i="1"/>
  <c r="G1081" i="1"/>
  <c r="H1081" i="1"/>
  <c r="D1081" i="1"/>
  <c r="A1081" i="1"/>
  <c r="C1081" i="1"/>
  <c r="E1081" i="1"/>
  <c r="F1081" i="1"/>
  <c r="G1448" i="1"/>
  <c r="H1448" i="1"/>
  <c r="D1448" i="1"/>
  <c r="A1448" i="1"/>
  <c r="C1448" i="1"/>
  <c r="E1448" i="1"/>
  <c r="F1448" i="1"/>
  <c r="G600" i="1"/>
  <c r="H600" i="1"/>
  <c r="D600" i="1"/>
  <c r="A600" i="1"/>
  <c r="C600" i="1"/>
  <c r="E600" i="1"/>
  <c r="F600" i="1"/>
  <c r="G4070" i="1"/>
  <c r="H4070" i="1"/>
  <c r="D4070" i="1"/>
  <c r="A4070" i="1"/>
  <c r="C4070" i="1"/>
  <c r="E4070" i="1"/>
  <c r="F4070" i="1"/>
  <c r="G1227" i="1"/>
  <c r="H1227" i="1"/>
  <c r="D1227" i="1"/>
  <c r="A1227" i="1"/>
  <c r="C1227" i="1"/>
  <c r="E1227" i="1"/>
  <c r="F1227" i="1"/>
  <c r="G1138" i="1"/>
  <c r="H1138" i="1"/>
  <c r="D1138" i="1"/>
  <c r="A1138" i="1"/>
  <c r="C1138" i="1"/>
  <c r="E1138" i="1"/>
  <c r="F1138" i="1"/>
  <c r="G4734" i="1"/>
  <c r="H4734" i="1"/>
  <c r="D4734" i="1"/>
  <c r="A4734" i="1"/>
  <c r="C4734" i="1"/>
  <c r="E4734" i="1"/>
  <c r="F4734" i="1"/>
  <c r="G602" i="1"/>
  <c r="H602" i="1"/>
  <c r="D602" i="1"/>
  <c r="A602" i="1"/>
  <c r="C602" i="1"/>
  <c r="E602" i="1"/>
  <c r="F602" i="1"/>
  <c r="G3009" i="1"/>
  <c r="H3009" i="1"/>
  <c r="D3009" i="1"/>
  <c r="A3009" i="1"/>
  <c r="C3009" i="1"/>
  <c r="E3009" i="1"/>
  <c r="F3009" i="1"/>
  <c r="G4019" i="1"/>
  <c r="H4019" i="1"/>
  <c r="D4019" i="1"/>
  <c r="A4019" i="1"/>
  <c r="C4019" i="1"/>
  <c r="E4019" i="1"/>
  <c r="F4019" i="1"/>
  <c r="G2313" i="1"/>
  <c r="H2313" i="1"/>
  <c r="D2313" i="1"/>
  <c r="A2313" i="1"/>
  <c r="C2313" i="1"/>
  <c r="E2313" i="1"/>
  <c r="F2313" i="1"/>
  <c r="G2221" i="1"/>
  <c r="H2221" i="1"/>
  <c r="D2221" i="1"/>
  <c r="A2221" i="1"/>
  <c r="C2221" i="1"/>
  <c r="E2221" i="1"/>
  <c r="F2221" i="1"/>
  <c r="G3812" i="1"/>
  <c r="H3812" i="1"/>
  <c r="D3812" i="1"/>
  <c r="A3812" i="1"/>
  <c r="C3812" i="1"/>
  <c r="E3812" i="1"/>
  <c r="F3812" i="1"/>
  <c r="G2177" i="1"/>
  <c r="H2177" i="1"/>
  <c r="D2177" i="1"/>
  <c r="A2177" i="1"/>
  <c r="C2177" i="1"/>
  <c r="E2177" i="1"/>
  <c r="F2177" i="1"/>
  <c r="G2111" i="1"/>
  <c r="H2111" i="1"/>
  <c r="D2111" i="1"/>
  <c r="A2111" i="1"/>
  <c r="C2111" i="1"/>
  <c r="E2111" i="1"/>
  <c r="F2111" i="1"/>
  <c r="G3941" i="1"/>
  <c r="H3941" i="1"/>
  <c r="D3941" i="1"/>
  <c r="A3941" i="1"/>
  <c r="C3941" i="1"/>
  <c r="E3941" i="1"/>
  <c r="F3941" i="1"/>
  <c r="G2860" i="1"/>
  <c r="H2860" i="1"/>
  <c r="D2860" i="1"/>
  <c r="A2860" i="1"/>
  <c r="C2860" i="1"/>
  <c r="E2860" i="1"/>
  <c r="F2860" i="1"/>
  <c r="G4920" i="1"/>
  <c r="H4920" i="1"/>
  <c r="D4920" i="1"/>
  <c r="A4920" i="1"/>
  <c r="C4920" i="1"/>
  <c r="E4920" i="1"/>
  <c r="F4920" i="1"/>
  <c r="G4874" i="1"/>
  <c r="H4874" i="1"/>
  <c r="D4874" i="1"/>
  <c r="A4874" i="1"/>
  <c r="C4874" i="1"/>
  <c r="E4874" i="1"/>
  <c r="F4874" i="1"/>
  <c r="G1901" i="1"/>
  <c r="H1901" i="1"/>
  <c r="D1901" i="1"/>
  <c r="A1901" i="1"/>
  <c r="C1901" i="1"/>
  <c r="E1901" i="1"/>
  <c r="F1901" i="1"/>
  <c r="G307" i="1"/>
  <c r="H307" i="1"/>
  <c r="D307" i="1"/>
  <c r="A307" i="1"/>
  <c r="C307" i="1"/>
  <c r="E307" i="1"/>
  <c r="F307" i="1"/>
  <c r="G4017" i="1"/>
  <c r="H4017" i="1"/>
  <c r="D4017" i="1"/>
  <c r="A4017" i="1"/>
  <c r="C4017" i="1"/>
  <c r="E4017" i="1"/>
  <c r="F4017" i="1"/>
  <c r="G3926" i="1"/>
  <c r="H3926" i="1"/>
  <c r="D3926" i="1"/>
  <c r="A3926" i="1"/>
  <c r="C3926" i="1"/>
  <c r="E3926" i="1"/>
  <c r="F3926" i="1"/>
  <c r="G3754" i="1"/>
  <c r="H3754" i="1"/>
  <c r="D3754" i="1"/>
  <c r="A3754" i="1"/>
  <c r="C3754" i="1"/>
  <c r="E3754" i="1"/>
  <c r="F3754" i="1"/>
  <c r="G3463" i="1"/>
  <c r="H3463" i="1"/>
  <c r="D3463" i="1"/>
  <c r="A3463" i="1"/>
  <c r="C3463" i="1"/>
  <c r="E3463" i="1"/>
  <c r="F3463" i="1"/>
  <c r="G2079" i="1"/>
  <c r="H2079" i="1"/>
  <c r="D2079" i="1"/>
  <c r="A2079" i="1"/>
  <c r="C2079" i="1"/>
  <c r="E2079" i="1"/>
  <c r="F2079" i="1"/>
  <c r="G5088" i="1"/>
  <c r="H5088" i="1"/>
  <c r="D5088" i="1"/>
  <c r="A5088" i="1"/>
  <c r="C5088" i="1"/>
  <c r="E5088" i="1"/>
  <c r="F5088" i="1"/>
  <c r="G3908" i="1"/>
  <c r="H3908" i="1"/>
  <c r="D3908" i="1"/>
  <c r="A3908" i="1"/>
  <c r="C3908" i="1"/>
  <c r="E3908" i="1"/>
  <c r="F3908" i="1"/>
  <c r="G1375" i="1"/>
  <c r="H1375" i="1"/>
  <c r="D1375" i="1"/>
  <c r="A1375" i="1"/>
  <c r="C1375" i="1"/>
  <c r="E1375" i="1"/>
  <c r="F1375" i="1"/>
  <c r="G598" i="1"/>
  <c r="H598" i="1"/>
  <c r="D598" i="1"/>
  <c r="A598" i="1"/>
  <c r="C598" i="1"/>
  <c r="E598" i="1"/>
  <c r="F598" i="1"/>
  <c r="G599" i="1"/>
  <c r="H599" i="1"/>
  <c r="D599" i="1"/>
  <c r="A599" i="1"/>
  <c r="C599" i="1"/>
  <c r="E599" i="1"/>
  <c r="F599" i="1"/>
  <c r="G559" i="1"/>
  <c r="H559" i="1"/>
  <c r="D559" i="1"/>
  <c r="A559" i="1"/>
  <c r="C559" i="1"/>
  <c r="E559" i="1"/>
  <c r="F559" i="1"/>
  <c r="G2540" i="1"/>
  <c r="H2540" i="1"/>
  <c r="D2540" i="1"/>
  <c r="A2540" i="1"/>
  <c r="C2540" i="1"/>
  <c r="E2540" i="1"/>
  <c r="F2540" i="1"/>
  <c r="G2342" i="1"/>
  <c r="H2342" i="1"/>
  <c r="D2342" i="1"/>
  <c r="A2342" i="1"/>
  <c r="C2342" i="1"/>
  <c r="E2342" i="1"/>
  <c r="F2342" i="1"/>
  <c r="G383" i="1"/>
  <c r="H383" i="1"/>
  <c r="D383" i="1"/>
  <c r="A383" i="1"/>
  <c r="C383" i="1"/>
  <c r="E383" i="1"/>
  <c r="F383" i="1"/>
  <c r="G2393" i="1"/>
  <c r="H2393" i="1"/>
  <c r="D2393" i="1"/>
  <c r="A2393" i="1"/>
  <c r="C2393" i="1"/>
  <c r="E2393" i="1"/>
  <c r="F2393" i="1"/>
  <c r="G1250" i="1"/>
  <c r="H1250" i="1"/>
  <c r="D1250" i="1"/>
  <c r="A1250" i="1"/>
  <c r="C1250" i="1"/>
  <c r="E1250" i="1"/>
  <c r="F1250" i="1"/>
  <c r="G1428" i="1"/>
  <c r="H1428" i="1"/>
  <c r="D1428" i="1"/>
  <c r="A1428" i="1"/>
  <c r="C1428" i="1"/>
  <c r="E1428" i="1"/>
  <c r="F1428" i="1"/>
  <c r="G88" i="1"/>
  <c r="H88" i="1"/>
  <c r="D88" i="1"/>
  <c r="A88" i="1"/>
  <c r="C88" i="1"/>
  <c r="E88" i="1"/>
  <c r="F88" i="1"/>
  <c r="G3378" i="1"/>
  <c r="H3378" i="1"/>
  <c r="D3378" i="1"/>
  <c r="A3378" i="1"/>
  <c r="C3378" i="1"/>
  <c r="E3378" i="1"/>
  <c r="F3378" i="1"/>
  <c r="G101" i="1"/>
  <c r="H101" i="1"/>
  <c r="D101" i="1"/>
  <c r="A101" i="1"/>
  <c r="C101" i="1"/>
  <c r="E101" i="1"/>
  <c r="F101" i="1"/>
  <c r="G1221" i="1"/>
  <c r="H1221" i="1"/>
  <c r="D1221" i="1"/>
  <c r="A1221" i="1"/>
  <c r="C1221" i="1"/>
  <c r="E1221" i="1"/>
  <c r="F1221" i="1"/>
  <c r="G4950" i="1"/>
  <c r="H4950" i="1"/>
  <c r="D4950" i="1"/>
  <c r="A4950" i="1"/>
  <c r="C4950" i="1"/>
  <c r="E4950" i="1"/>
  <c r="F4950" i="1"/>
  <c r="G3616" i="1"/>
  <c r="H3616" i="1"/>
  <c r="D3616" i="1"/>
  <c r="A3616" i="1"/>
  <c r="C3616" i="1"/>
  <c r="E3616" i="1"/>
  <c r="F3616" i="1"/>
  <c r="G883" i="1"/>
  <c r="H883" i="1"/>
  <c r="D883" i="1"/>
  <c r="A883" i="1"/>
  <c r="C883" i="1"/>
  <c r="E883" i="1"/>
  <c r="F883" i="1"/>
  <c r="G2408" i="1"/>
  <c r="H2408" i="1"/>
  <c r="D2408" i="1"/>
  <c r="A2408" i="1"/>
  <c r="C2408" i="1"/>
  <c r="E2408" i="1"/>
  <c r="F2408" i="1"/>
  <c r="G2972" i="1"/>
  <c r="H2972" i="1"/>
  <c r="D2972" i="1"/>
  <c r="A2972" i="1"/>
  <c r="C2972" i="1"/>
  <c r="E2972" i="1"/>
  <c r="F2972" i="1"/>
  <c r="G3777" i="1"/>
  <c r="H3777" i="1"/>
  <c r="D3777" i="1"/>
  <c r="A3777" i="1"/>
  <c r="C3777" i="1"/>
  <c r="E3777" i="1"/>
  <c r="F3777" i="1"/>
  <c r="G537" i="1"/>
  <c r="H537" i="1"/>
  <c r="D537" i="1"/>
  <c r="A537" i="1"/>
  <c r="C537" i="1"/>
  <c r="E537" i="1"/>
  <c r="F537" i="1"/>
  <c r="G2830" i="1"/>
  <c r="H2830" i="1"/>
  <c r="D2830" i="1"/>
  <c r="A2830" i="1"/>
  <c r="C2830" i="1"/>
  <c r="E2830" i="1"/>
  <c r="F2830" i="1"/>
  <c r="G3537" i="1"/>
  <c r="H3537" i="1"/>
  <c r="D3537" i="1"/>
  <c r="A3537" i="1"/>
  <c r="C3537" i="1"/>
  <c r="E3537" i="1"/>
  <c r="F3537" i="1"/>
  <c r="G2418" i="1"/>
  <c r="H2418" i="1"/>
  <c r="D2418" i="1"/>
  <c r="A2418" i="1"/>
  <c r="C2418" i="1"/>
  <c r="E2418" i="1"/>
  <c r="F2418" i="1"/>
  <c r="G2250" i="1"/>
  <c r="H2250" i="1"/>
  <c r="D2250" i="1"/>
  <c r="A2250" i="1"/>
  <c r="C2250" i="1"/>
  <c r="E2250" i="1"/>
  <c r="F2250" i="1"/>
  <c r="G4139" i="1"/>
  <c r="H4139" i="1"/>
  <c r="D4139" i="1"/>
  <c r="A4139" i="1"/>
  <c r="C4139" i="1"/>
  <c r="E4139" i="1"/>
  <c r="F4139" i="1"/>
  <c r="G3984" i="1"/>
  <c r="H3984" i="1"/>
  <c r="D3984" i="1"/>
  <c r="A3984" i="1"/>
  <c r="C3984" i="1"/>
  <c r="E3984" i="1"/>
  <c r="F3984" i="1"/>
  <c r="G3603" i="1"/>
  <c r="H3603" i="1"/>
  <c r="D3603" i="1"/>
  <c r="A3603" i="1"/>
  <c r="C3603" i="1"/>
  <c r="E3603" i="1"/>
  <c r="F3603" i="1"/>
  <c r="G3611" i="1"/>
  <c r="H3611" i="1"/>
  <c r="D3611" i="1"/>
  <c r="A3611" i="1"/>
  <c r="C3611" i="1"/>
  <c r="E3611" i="1"/>
  <c r="F3611" i="1"/>
  <c r="G4968" i="1"/>
  <c r="H4968" i="1"/>
  <c r="D4968" i="1"/>
  <c r="A4968" i="1"/>
  <c r="C4968" i="1"/>
  <c r="E4968" i="1"/>
  <c r="F4968" i="1"/>
  <c r="G4369" i="1"/>
  <c r="H4369" i="1"/>
  <c r="D4369" i="1"/>
  <c r="A4369" i="1"/>
  <c r="C4369" i="1"/>
  <c r="E4369" i="1"/>
  <c r="F4369" i="1"/>
  <c r="G193" i="1"/>
  <c r="H193" i="1"/>
  <c r="D193" i="1"/>
  <c r="A193" i="1"/>
  <c r="C193" i="1"/>
  <c r="E193" i="1"/>
  <c r="F193" i="1"/>
  <c r="G3450" i="1"/>
  <c r="H3450" i="1"/>
  <c r="D3450" i="1"/>
  <c r="A3450" i="1"/>
  <c r="C3450" i="1"/>
  <c r="E3450" i="1"/>
  <c r="F3450" i="1"/>
  <c r="G3482" i="1"/>
  <c r="H3482" i="1"/>
  <c r="D3482" i="1"/>
  <c r="A3482" i="1"/>
  <c r="C3482" i="1"/>
  <c r="E3482" i="1"/>
  <c r="F3482" i="1"/>
  <c r="G1705" i="1"/>
  <c r="H1705" i="1"/>
  <c r="D1705" i="1"/>
  <c r="A1705" i="1"/>
  <c r="C1705" i="1"/>
  <c r="E1705" i="1"/>
  <c r="F1705" i="1"/>
  <c r="G3008" i="1"/>
  <c r="H3008" i="1"/>
  <c r="D3008" i="1"/>
  <c r="A3008" i="1"/>
  <c r="C3008" i="1"/>
  <c r="E3008" i="1"/>
  <c r="F3008" i="1"/>
  <c r="G98" i="1"/>
  <c r="H98" i="1"/>
  <c r="D98" i="1"/>
  <c r="A98" i="1"/>
  <c r="C98" i="1"/>
  <c r="E98" i="1"/>
  <c r="F98" i="1"/>
  <c r="G358" i="1"/>
  <c r="H358" i="1"/>
  <c r="D358" i="1"/>
  <c r="A358" i="1"/>
  <c r="C358" i="1"/>
  <c r="E358" i="1"/>
  <c r="F358" i="1"/>
  <c r="G3317" i="1"/>
  <c r="H3317" i="1"/>
  <c r="D3317" i="1"/>
  <c r="A3317" i="1"/>
  <c r="C3317" i="1"/>
  <c r="E3317" i="1"/>
  <c r="F3317" i="1"/>
  <c r="G4364" i="1"/>
  <c r="H4364" i="1"/>
  <c r="D4364" i="1"/>
  <c r="A4364" i="1"/>
  <c r="C4364" i="1"/>
  <c r="E4364" i="1"/>
  <c r="F4364" i="1"/>
  <c r="G3807" i="1"/>
  <c r="H3807" i="1"/>
  <c r="D3807" i="1"/>
  <c r="A3807" i="1"/>
  <c r="C3807" i="1"/>
  <c r="E3807" i="1"/>
  <c r="F3807" i="1"/>
  <c r="G2376" i="1"/>
  <c r="H2376" i="1"/>
  <c r="D2376" i="1"/>
  <c r="A2376" i="1"/>
  <c r="C2376" i="1"/>
  <c r="E2376" i="1"/>
  <c r="F2376" i="1"/>
  <c r="G3279" i="1"/>
  <c r="H3279" i="1"/>
  <c r="D3279" i="1"/>
  <c r="A3279" i="1"/>
  <c r="C3279" i="1"/>
  <c r="E3279" i="1"/>
  <c r="F3279" i="1"/>
  <c r="G3719" i="1"/>
  <c r="H3719" i="1"/>
  <c r="D3719" i="1"/>
  <c r="A3719" i="1"/>
  <c r="C3719" i="1"/>
  <c r="E3719" i="1"/>
  <c r="F3719" i="1"/>
  <c r="G438" i="1"/>
  <c r="H438" i="1"/>
  <c r="D438" i="1"/>
  <c r="A438" i="1"/>
  <c r="C438" i="1"/>
  <c r="E438" i="1"/>
  <c r="F438" i="1"/>
  <c r="G1210" i="1"/>
  <c r="H1210" i="1"/>
  <c r="D1210" i="1"/>
  <c r="A1210" i="1"/>
  <c r="C1210" i="1"/>
  <c r="E1210" i="1"/>
  <c r="F1210" i="1"/>
  <c r="G1669" i="1"/>
  <c r="H1669" i="1"/>
  <c r="D1669" i="1"/>
  <c r="A1669" i="1"/>
  <c r="C1669" i="1"/>
  <c r="E1669" i="1"/>
  <c r="F1669" i="1"/>
  <c r="G2739" i="1"/>
  <c r="H2739" i="1"/>
  <c r="D2739" i="1"/>
  <c r="A2739" i="1"/>
  <c r="C2739" i="1"/>
  <c r="E2739" i="1"/>
  <c r="F2739" i="1"/>
  <c r="G1019" i="1"/>
  <c r="H1019" i="1"/>
  <c r="D1019" i="1"/>
  <c r="A1019" i="1"/>
  <c r="C1019" i="1"/>
  <c r="E1019" i="1"/>
  <c r="F1019" i="1"/>
  <c r="G3260" i="1"/>
  <c r="H3260" i="1"/>
  <c r="D3260" i="1"/>
  <c r="A3260" i="1"/>
  <c r="C3260" i="1"/>
  <c r="E3260" i="1"/>
  <c r="F3260" i="1"/>
  <c r="G42" i="1"/>
  <c r="H42" i="1"/>
  <c r="D42" i="1"/>
  <c r="A42" i="1"/>
  <c r="C42" i="1"/>
  <c r="E42" i="1"/>
  <c r="F42" i="1"/>
  <c r="G4200" i="1"/>
  <c r="H4200" i="1"/>
  <c r="D4200" i="1"/>
  <c r="A4200" i="1"/>
  <c r="C4200" i="1"/>
  <c r="E4200" i="1"/>
  <c r="F4200" i="1"/>
  <c r="G3194" i="1"/>
  <c r="H3194" i="1"/>
  <c r="D3194" i="1"/>
  <c r="A3194" i="1"/>
  <c r="C3194" i="1"/>
  <c r="E3194" i="1"/>
  <c r="F3194" i="1"/>
  <c r="G3540" i="1"/>
  <c r="H3540" i="1"/>
  <c r="D3540" i="1"/>
  <c r="A3540" i="1"/>
  <c r="C3540" i="1"/>
  <c r="E3540" i="1"/>
  <c r="F3540" i="1"/>
  <c r="G3441" i="1"/>
  <c r="H3441" i="1"/>
  <c r="D3441" i="1"/>
  <c r="A3441" i="1"/>
  <c r="C3441" i="1"/>
  <c r="E3441" i="1"/>
  <c r="F3441" i="1"/>
  <c r="G3075" i="1"/>
  <c r="H3075" i="1"/>
  <c r="D3075" i="1"/>
  <c r="A3075" i="1"/>
  <c r="C3075" i="1"/>
  <c r="E3075" i="1"/>
  <c r="F3075" i="1"/>
  <c r="G3816" i="1"/>
  <c r="H3816" i="1"/>
  <c r="D3816" i="1"/>
  <c r="A3816" i="1"/>
  <c r="C3816" i="1"/>
  <c r="E3816" i="1"/>
  <c r="F3816" i="1"/>
  <c r="G3858" i="1"/>
  <c r="H3858" i="1"/>
  <c r="D3858" i="1"/>
  <c r="A3858" i="1"/>
  <c r="C3858" i="1"/>
  <c r="E3858" i="1"/>
  <c r="F3858" i="1"/>
  <c r="G1170" i="1"/>
  <c r="H1170" i="1"/>
  <c r="D1170" i="1"/>
  <c r="A1170" i="1"/>
  <c r="C1170" i="1"/>
  <c r="E1170" i="1"/>
  <c r="F1170" i="1"/>
  <c r="G1628" i="1"/>
  <c r="H1628" i="1"/>
  <c r="D1628" i="1"/>
  <c r="A1628" i="1"/>
  <c r="C1628" i="1"/>
  <c r="E1628" i="1"/>
  <c r="F1628" i="1"/>
  <c r="G3006" i="1"/>
  <c r="H3006" i="1"/>
  <c r="D3006" i="1"/>
  <c r="A3006" i="1"/>
  <c r="C3006" i="1"/>
  <c r="E3006" i="1"/>
  <c r="F3006" i="1"/>
  <c r="G1642" i="1"/>
  <c r="H1642" i="1"/>
  <c r="D1642" i="1"/>
  <c r="A1642" i="1"/>
  <c r="C1642" i="1"/>
  <c r="E1642" i="1"/>
  <c r="F1642" i="1"/>
  <c r="G447" i="1"/>
  <c r="H447" i="1"/>
  <c r="D447" i="1"/>
  <c r="A447" i="1"/>
  <c r="C447" i="1"/>
  <c r="E447" i="1"/>
  <c r="F447" i="1"/>
  <c r="G1942" i="1"/>
  <c r="H1942" i="1"/>
  <c r="D1942" i="1"/>
  <c r="A1942" i="1"/>
  <c r="C1942" i="1"/>
  <c r="E1942" i="1"/>
  <c r="F1942" i="1"/>
  <c r="G2579" i="1"/>
  <c r="H2579" i="1"/>
  <c r="D2579" i="1"/>
  <c r="A2579" i="1"/>
  <c r="C2579" i="1"/>
  <c r="E2579" i="1"/>
  <c r="F2579" i="1"/>
  <c r="G3416" i="1"/>
  <c r="H3416" i="1"/>
  <c r="D3416" i="1"/>
  <c r="A3416" i="1"/>
  <c r="C3416" i="1"/>
  <c r="E3416" i="1"/>
  <c r="F3416" i="1"/>
  <c r="G64" i="1"/>
  <c r="H64" i="1"/>
  <c r="D64" i="1"/>
  <c r="A64" i="1"/>
  <c r="C64" i="1"/>
  <c r="E64" i="1"/>
  <c r="F64" i="1"/>
  <c r="G4914" i="1"/>
  <c r="H4914" i="1"/>
  <c r="D4914" i="1"/>
  <c r="A4914" i="1"/>
  <c r="C4914" i="1"/>
  <c r="E4914" i="1"/>
  <c r="F4914" i="1"/>
  <c r="G2400" i="1"/>
  <c r="H2400" i="1"/>
  <c r="D2400" i="1"/>
  <c r="A2400" i="1"/>
  <c r="C2400" i="1"/>
  <c r="E2400" i="1"/>
  <c r="F2400" i="1"/>
  <c r="G2970" i="1"/>
  <c r="H2970" i="1"/>
  <c r="D2970" i="1"/>
  <c r="A2970" i="1"/>
  <c r="C2970" i="1"/>
  <c r="E2970" i="1"/>
  <c r="F2970" i="1"/>
  <c r="G2174" i="1"/>
  <c r="H2174" i="1"/>
  <c r="D2174" i="1"/>
  <c r="A2174" i="1"/>
  <c r="C2174" i="1"/>
  <c r="E2174" i="1"/>
  <c r="F2174" i="1"/>
  <c r="G3451" i="1"/>
  <c r="H3451" i="1"/>
  <c r="D3451" i="1"/>
  <c r="A3451" i="1"/>
  <c r="C3451" i="1"/>
  <c r="E3451" i="1"/>
  <c r="F3451" i="1"/>
  <c r="G5057" i="1"/>
  <c r="H5057" i="1"/>
  <c r="D5057" i="1"/>
  <c r="A5057" i="1"/>
  <c r="C5057" i="1"/>
  <c r="E5057" i="1"/>
  <c r="F5057" i="1"/>
  <c r="G4663" i="1"/>
  <c r="H4663" i="1"/>
  <c r="D4663" i="1"/>
  <c r="A4663" i="1"/>
  <c r="C4663" i="1"/>
  <c r="E4663" i="1"/>
  <c r="F4663" i="1"/>
  <c r="G4266" i="1"/>
  <c r="H4266" i="1"/>
  <c r="D4266" i="1"/>
  <c r="A4266" i="1"/>
  <c r="C4266" i="1"/>
  <c r="E4266" i="1"/>
  <c r="F4266" i="1"/>
  <c r="G4267" i="1"/>
  <c r="H4267" i="1"/>
  <c r="D4267" i="1"/>
  <c r="A4267" i="1"/>
  <c r="C4267" i="1"/>
  <c r="E4267" i="1"/>
  <c r="F4267" i="1"/>
  <c r="G4275" i="1"/>
  <c r="H4275" i="1"/>
  <c r="D4275" i="1"/>
  <c r="A4275" i="1"/>
  <c r="C4275" i="1"/>
  <c r="E4275" i="1"/>
  <c r="F4275" i="1"/>
  <c r="G2097" i="1"/>
  <c r="H2097" i="1"/>
  <c r="D2097" i="1"/>
  <c r="A2097" i="1"/>
  <c r="C2097" i="1"/>
  <c r="E2097" i="1"/>
  <c r="F2097" i="1"/>
  <c r="G745" i="1"/>
  <c r="H745" i="1"/>
  <c r="D745" i="1"/>
  <c r="A745" i="1"/>
  <c r="C745" i="1"/>
  <c r="E745" i="1"/>
  <c r="F745" i="1"/>
  <c r="G5023" i="1"/>
  <c r="H5023" i="1"/>
  <c r="D5023" i="1"/>
  <c r="A5023" i="1"/>
  <c r="C5023" i="1"/>
  <c r="E5023" i="1"/>
  <c r="F5023" i="1"/>
  <c r="G2962" i="1"/>
  <c r="H2962" i="1"/>
  <c r="D2962" i="1"/>
  <c r="A2962" i="1"/>
  <c r="C2962" i="1"/>
  <c r="E2962" i="1"/>
  <c r="F2962" i="1"/>
  <c r="G2748" i="1"/>
  <c r="H2748" i="1"/>
  <c r="D2748" i="1"/>
  <c r="A2748" i="1"/>
  <c r="C2748" i="1"/>
  <c r="E2748" i="1"/>
  <c r="F2748" i="1"/>
  <c r="G785" i="1"/>
  <c r="H785" i="1"/>
  <c r="D785" i="1"/>
  <c r="A785" i="1"/>
  <c r="C785" i="1"/>
  <c r="E785" i="1"/>
  <c r="F785" i="1"/>
  <c r="G869" i="1"/>
  <c r="H869" i="1"/>
  <c r="D869" i="1"/>
  <c r="A869" i="1"/>
  <c r="C869" i="1"/>
  <c r="E869" i="1"/>
  <c r="F869" i="1"/>
  <c r="G3128" i="1"/>
  <c r="H3128" i="1"/>
  <c r="D3128" i="1"/>
  <c r="A3128" i="1"/>
  <c r="C3128" i="1"/>
  <c r="E3128" i="1"/>
  <c r="F3128" i="1"/>
  <c r="G2337" i="1"/>
  <c r="H2337" i="1"/>
  <c r="D2337" i="1"/>
  <c r="A2337" i="1"/>
  <c r="C2337" i="1"/>
  <c r="E2337" i="1"/>
  <c r="F2337" i="1"/>
  <c r="G124" i="1"/>
  <c r="H124" i="1"/>
  <c r="D124" i="1"/>
  <c r="A124" i="1"/>
  <c r="C124" i="1"/>
  <c r="E124" i="1"/>
  <c r="F124" i="1"/>
  <c r="G389" i="1"/>
  <c r="H389" i="1"/>
  <c r="D389" i="1"/>
  <c r="A389" i="1"/>
  <c r="C389" i="1"/>
  <c r="E389" i="1"/>
  <c r="F389" i="1"/>
  <c r="G78" i="1"/>
  <c r="H78" i="1"/>
  <c r="D78" i="1"/>
  <c r="A78" i="1"/>
  <c r="C78" i="1"/>
  <c r="E78" i="1"/>
  <c r="F78" i="1"/>
  <c r="G1569" i="1"/>
  <c r="H1569" i="1"/>
  <c r="D1569" i="1"/>
  <c r="A1569" i="1"/>
  <c r="C1569" i="1"/>
  <c r="E1569" i="1"/>
  <c r="F1569" i="1"/>
  <c r="G4231" i="1"/>
  <c r="H4231" i="1"/>
  <c r="D4231" i="1"/>
  <c r="A4231" i="1"/>
  <c r="C4231" i="1"/>
  <c r="E4231" i="1"/>
  <c r="F4231" i="1"/>
  <c r="G3621" i="1"/>
  <c r="H3621" i="1"/>
  <c r="D3621" i="1"/>
  <c r="A3621" i="1"/>
  <c r="C3621" i="1"/>
  <c r="E3621" i="1"/>
  <c r="F3621" i="1"/>
  <c r="G3104" i="1"/>
  <c r="H3104" i="1"/>
  <c r="D3104" i="1"/>
  <c r="A3104" i="1"/>
  <c r="C3104" i="1"/>
  <c r="E3104" i="1"/>
  <c r="F3104" i="1"/>
  <c r="G507" i="1"/>
  <c r="H507" i="1"/>
  <c r="D507" i="1"/>
  <c r="A507" i="1"/>
  <c r="C507" i="1"/>
  <c r="E507" i="1"/>
  <c r="F507" i="1"/>
  <c r="G4702" i="1"/>
  <c r="H4702" i="1"/>
  <c r="D4702" i="1"/>
  <c r="A4702" i="1"/>
  <c r="C4702" i="1"/>
  <c r="E4702" i="1"/>
  <c r="F4702" i="1"/>
  <c r="G5040" i="1"/>
  <c r="H5040" i="1"/>
  <c r="D5040" i="1"/>
  <c r="A5040" i="1"/>
  <c r="C5040" i="1"/>
  <c r="E5040" i="1"/>
  <c r="F5040" i="1"/>
  <c r="G3327" i="1"/>
  <c r="H3327" i="1"/>
  <c r="D3327" i="1"/>
  <c r="A3327" i="1"/>
  <c r="C3327" i="1"/>
  <c r="E3327" i="1"/>
  <c r="F3327" i="1"/>
  <c r="G4916" i="1"/>
  <c r="H4916" i="1"/>
  <c r="D4916" i="1"/>
  <c r="A4916" i="1"/>
  <c r="C4916" i="1"/>
  <c r="E4916" i="1"/>
  <c r="F4916" i="1"/>
  <c r="G2902" i="1"/>
  <c r="H2902" i="1"/>
  <c r="D2902" i="1"/>
  <c r="A2902" i="1"/>
  <c r="C2902" i="1"/>
  <c r="E2902" i="1"/>
  <c r="F2902" i="1"/>
  <c r="G4188" i="1"/>
  <c r="H4188" i="1"/>
  <c r="D4188" i="1"/>
  <c r="A4188" i="1"/>
  <c r="C4188" i="1"/>
  <c r="E4188" i="1"/>
  <c r="F4188" i="1"/>
  <c r="G2900" i="1"/>
  <c r="H2900" i="1"/>
  <c r="D2900" i="1"/>
  <c r="A2900" i="1"/>
  <c r="C2900" i="1"/>
  <c r="E2900" i="1"/>
  <c r="F2900" i="1"/>
  <c r="G1575" i="1"/>
  <c r="H1575" i="1"/>
  <c r="D1575" i="1"/>
  <c r="A1575" i="1"/>
  <c r="C1575" i="1"/>
  <c r="E1575" i="1"/>
  <c r="F1575" i="1"/>
  <c r="G1587" i="1"/>
  <c r="H1587" i="1"/>
  <c r="D1587" i="1"/>
  <c r="A1587" i="1"/>
  <c r="C1587" i="1"/>
  <c r="E1587" i="1"/>
  <c r="F1587" i="1"/>
  <c r="G4446" i="1"/>
  <c r="H4446" i="1"/>
  <c r="D4446" i="1"/>
  <c r="A4446" i="1"/>
  <c r="C4446" i="1"/>
  <c r="E4446" i="1"/>
  <c r="F4446" i="1"/>
  <c r="G2517" i="1"/>
  <c r="H2517" i="1"/>
  <c r="D2517" i="1"/>
  <c r="A2517" i="1"/>
  <c r="C2517" i="1"/>
  <c r="E2517" i="1"/>
  <c r="F2517" i="1"/>
  <c r="G2904" i="1"/>
  <c r="H2904" i="1"/>
  <c r="D2904" i="1"/>
  <c r="A2904" i="1"/>
  <c r="C2904" i="1"/>
  <c r="E2904" i="1"/>
  <c r="F2904" i="1"/>
  <c r="G3369" i="1"/>
  <c r="H3369" i="1"/>
  <c r="D3369" i="1"/>
  <c r="A3369" i="1"/>
  <c r="C3369" i="1"/>
  <c r="E3369" i="1"/>
  <c r="F3369" i="1"/>
  <c r="G212" i="1"/>
  <c r="H212" i="1"/>
  <c r="D212" i="1"/>
  <c r="A212" i="1"/>
  <c r="C212" i="1"/>
  <c r="E212" i="1"/>
  <c r="F212" i="1"/>
  <c r="G4631" i="1"/>
  <c r="H4631" i="1"/>
  <c r="D4631" i="1"/>
  <c r="A4631" i="1"/>
  <c r="C4631" i="1"/>
  <c r="E4631" i="1"/>
  <c r="F4631" i="1"/>
  <c r="G503" i="1"/>
  <c r="H503" i="1"/>
  <c r="D503" i="1"/>
  <c r="A503" i="1"/>
  <c r="C503" i="1"/>
  <c r="E503" i="1"/>
  <c r="F503" i="1"/>
  <c r="G2563" i="1"/>
  <c r="H2563" i="1"/>
  <c r="D2563" i="1"/>
  <c r="A2563" i="1"/>
  <c r="C2563" i="1"/>
  <c r="E2563" i="1"/>
  <c r="F2563" i="1"/>
  <c r="G1093" i="1"/>
  <c r="H1093" i="1"/>
  <c r="D1093" i="1"/>
  <c r="A1093" i="1"/>
  <c r="C1093" i="1"/>
  <c r="E1093" i="1"/>
  <c r="F1093" i="1"/>
  <c r="G2099" i="1"/>
  <c r="H2099" i="1"/>
  <c r="D2099" i="1"/>
  <c r="A2099" i="1"/>
  <c r="C2099" i="1"/>
  <c r="E2099" i="1"/>
  <c r="F2099" i="1"/>
  <c r="G1591" i="1"/>
  <c r="H1591" i="1"/>
  <c r="D1591" i="1"/>
  <c r="A1591" i="1"/>
  <c r="C1591" i="1"/>
  <c r="E1591" i="1"/>
  <c r="F1591" i="1"/>
  <c r="G3396" i="1"/>
  <c r="H3396" i="1"/>
  <c r="D3396" i="1"/>
  <c r="A3396" i="1"/>
  <c r="C3396" i="1"/>
  <c r="E3396" i="1"/>
  <c r="F3396" i="1"/>
  <c r="G3965" i="1"/>
  <c r="H3965" i="1"/>
  <c r="D3965" i="1"/>
  <c r="A3965" i="1"/>
  <c r="C3965" i="1"/>
  <c r="E3965" i="1"/>
  <c r="F3965" i="1"/>
  <c r="G4005" i="1"/>
  <c r="H4005" i="1"/>
  <c r="D4005" i="1"/>
  <c r="A4005" i="1"/>
  <c r="C4005" i="1"/>
  <c r="E4005" i="1"/>
  <c r="F4005" i="1"/>
  <c r="G1701" i="1"/>
  <c r="H1701" i="1"/>
  <c r="D1701" i="1"/>
  <c r="A1701" i="1"/>
  <c r="C1701" i="1"/>
  <c r="E1701" i="1"/>
  <c r="F1701" i="1"/>
  <c r="G4803" i="1"/>
  <c r="H4803" i="1"/>
  <c r="D4803" i="1"/>
  <c r="A4803" i="1"/>
  <c r="C4803" i="1"/>
  <c r="E4803" i="1"/>
  <c r="F4803" i="1"/>
  <c r="G2567" i="1"/>
  <c r="H2567" i="1"/>
  <c r="D2567" i="1"/>
  <c r="A2567" i="1"/>
  <c r="C2567" i="1"/>
  <c r="E2567" i="1"/>
  <c r="F2567" i="1"/>
  <c r="G3543" i="1"/>
  <c r="H3543" i="1"/>
  <c r="D3543" i="1"/>
  <c r="A3543" i="1"/>
  <c r="C3543" i="1"/>
  <c r="E3543" i="1"/>
  <c r="F3543" i="1"/>
  <c r="G223" i="1"/>
  <c r="H223" i="1"/>
  <c r="D223" i="1"/>
  <c r="A223" i="1"/>
  <c r="C223" i="1"/>
  <c r="E223" i="1"/>
  <c r="F223" i="1"/>
  <c r="G832" i="1"/>
  <c r="H832" i="1"/>
  <c r="D832" i="1"/>
  <c r="A832" i="1"/>
  <c r="C832" i="1"/>
  <c r="E832" i="1"/>
  <c r="F832" i="1"/>
  <c r="G2234" i="1"/>
  <c r="H2234" i="1"/>
  <c r="D2234" i="1"/>
  <c r="A2234" i="1"/>
  <c r="C2234" i="1"/>
  <c r="E2234" i="1"/>
  <c r="F2234" i="1"/>
  <c r="G2218" i="1"/>
  <c r="H2218" i="1"/>
  <c r="D2218" i="1"/>
  <c r="A2218" i="1"/>
  <c r="C2218" i="1"/>
  <c r="E2218" i="1"/>
  <c r="F2218" i="1"/>
  <c r="G3466" i="1"/>
  <c r="H3466" i="1"/>
  <c r="D3466" i="1"/>
  <c r="A3466" i="1"/>
  <c r="C3466" i="1"/>
  <c r="E3466" i="1"/>
  <c r="F3466" i="1"/>
  <c r="G3916" i="1"/>
  <c r="H3916" i="1"/>
  <c r="D3916" i="1"/>
  <c r="A3916" i="1"/>
  <c r="C3916" i="1"/>
  <c r="E3916" i="1"/>
  <c r="F3916" i="1"/>
  <c r="G1101" i="1"/>
  <c r="H1101" i="1"/>
  <c r="D1101" i="1"/>
  <c r="A1101" i="1"/>
  <c r="C1101" i="1"/>
  <c r="E1101" i="1"/>
  <c r="F1101" i="1"/>
  <c r="G4619" i="1"/>
  <c r="H4619" i="1"/>
  <c r="D4619" i="1"/>
  <c r="A4619" i="1"/>
  <c r="C4619" i="1"/>
  <c r="E4619" i="1"/>
  <c r="F4619" i="1"/>
  <c r="G3929" i="1"/>
  <c r="H3929" i="1"/>
  <c r="D3929" i="1"/>
  <c r="A3929" i="1"/>
  <c r="C3929" i="1"/>
  <c r="E3929" i="1"/>
  <c r="F3929" i="1"/>
  <c r="G1662" i="1"/>
  <c r="H1662" i="1"/>
  <c r="D1662" i="1"/>
  <c r="A1662" i="1"/>
  <c r="C1662" i="1"/>
  <c r="E1662" i="1"/>
  <c r="F1662" i="1"/>
  <c r="G4250" i="1"/>
  <c r="H4250" i="1"/>
  <c r="D4250" i="1"/>
  <c r="A4250" i="1"/>
  <c r="C4250" i="1"/>
  <c r="E4250" i="1"/>
  <c r="F4250" i="1"/>
  <c r="G1849" i="1"/>
  <c r="H1849" i="1"/>
  <c r="D1849" i="1"/>
  <c r="A1849" i="1"/>
  <c r="C1849" i="1"/>
  <c r="E1849" i="1"/>
  <c r="F1849" i="1"/>
  <c r="G1079" i="1"/>
  <c r="H1079" i="1"/>
  <c r="D1079" i="1"/>
  <c r="A1079" i="1"/>
  <c r="C1079" i="1"/>
  <c r="E1079" i="1"/>
  <c r="F1079" i="1"/>
  <c r="G2622" i="1"/>
  <c r="H2622" i="1"/>
  <c r="D2622" i="1"/>
  <c r="A2622" i="1"/>
  <c r="C2622" i="1"/>
  <c r="E2622" i="1"/>
  <c r="F2622" i="1"/>
  <c r="G1495" i="1"/>
  <c r="H1495" i="1"/>
  <c r="D1495" i="1"/>
  <c r="A1495" i="1"/>
  <c r="C1495" i="1"/>
  <c r="E1495" i="1"/>
  <c r="F1495" i="1"/>
  <c r="G4469" i="1"/>
  <c r="H4469" i="1"/>
  <c r="D4469" i="1"/>
  <c r="A4469" i="1"/>
  <c r="C4469" i="1"/>
  <c r="E4469" i="1"/>
  <c r="F4469" i="1"/>
  <c r="G4910" i="1"/>
  <c r="H4910" i="1"/>
  <c r="D4910" i="1"/>
  <c r="A4910" i="1"/>
  <c r="C4910" i="1"/>
  <c r="E4910" i="1"/>
  <c r="F4910" i="1"/>
  <c r="G4909" i="1"/>
  <c r="H4909" i="1"/>
  <c r="D4909" i="1"/>
  <c r="A4909" i="1"/>
  <c r="C4909" i="1"/>
  <c r="E4909" i="1"/>
  <c r="F4909" i="1"/>
  <c r="G793" i="1"/>
  <c r="H793" i="1"/>
  <c r="D793" i="1"/>
  <c r="A793" i="1"/>
  <c r="C793" i="1"/>
  <c r="E793" i="1"/>
  <c r="F793" i="1"/>
  <c r="G2953" i="1"/>
  <c r="H2953" i="1"/>
  <c r="D2953" i="1"/>
  <c r="A2953" i="1"/>
  <c r="C2953" i="1"/>
  <c r="E2953" i="1"/>
  <c r="F2953" i="1"/>
  <c r="G4722" i="1"/>
  <c r="H4722" i="1"/>
  <c r="D4722" i="1"/>
  <c r="A4722" i="1"/>
  <c r="C4722" i="1"/>
  <c r="E4722" i="1"/>
  <c r="F4722" i="1"/>
  <c r="G2986" i="1"/>
  <c r="H2986" i="1"/>
  <c r="D2986" i="1"/>
  <c r="A2986" i="1"/>
  <c r="C2986" i="1"/>
  <c r="E2986" i="1"/>
  <c r="F2986" i="1"/>
  <c r="G688" i="1"/>
  <c r="H688" i="1"/>
  <c r="D688" i="1"/>
  <c r="A688" i="1"/>
  <c r="C688" i="1"/>
  <c r="E688" i="1"/>
  <c r="F688" i="1"/>
  <c r="G2662" i="1"/>
  <c r="H2662" i="1"/>
  <c r="D2662" i="1"/>
  <c r="A2662" i="1"/>
  <c r="C2662" i="1"/>
  <c r="E2662" i="1"/>
  <c r="F2662" i="1"/>
  <c r="G4834" i="1"/>
  <c r="H4834" i="1"/>
  <c r="D4834" i="1"/>
  <c r="A4834" i="1"/>
  <c r="C4834" i="1"/>
  <c r="E4834" i="1"/>
  <c r="F4834" i="1"/>
  <c r="G2373" i="1"/>
  <c r="H2373" i="1"/>
  <c r="D2373" i="1"/>
  <c r="A2373" i="1"/>
  <c r="C2373" i="1"/>
  <c r="E2373" i="1"/>
  <c r="F2373" i="1"/>
  <c r="G4853" i="1"/>
  <c r="H4853" i="1"/>
  <c r="D4853" i="1"/>
  <c r="A4853" i="1"/>
  <c r="C4853" i="1"/>
  <c r="E4853" i="1"/>
  <c r="F4853" i="1"/>
  <c r="G1867" i="1"/>
  <c r="H1867" i="1"/>
  <c r="D1867" i="1"/>
  <c r="A1867" i="1"/>
  <c r="C1867" i="1"/>
  <c r="E1867" i="1"/>
  <c r="F1867" i="1"/>
  <c r="G4962" i="1"/>
  <c r="H4962" i="1"/>
  <c r="D4962" i="1"/>
  <c r="A4962" i="1"/>
  <c r="C4962" i="1"/>
  <c r="E4962" i="1"/>
  <c r="F4962" i="1"/>
  <c r="G631" i="1"/>
  <c r="H631" i="1"/>
  <c r="D631" i="1"/>
  <c r="A631" i="1"/>
  <c r="C631" i="1"/>
  <c r="E631" i="1"/>
  <c r="F631" i="1"/>
  <c r="G1744" i="1"/>
  <c r="H1744" i="1"/>
  <c r="D1744" i="1"/>
  <c r="A1744" i="1"/>
  <c r="C1744" i="1"/>
  <c r="E1744" i="1"/>
  <c r="F1744" i="1"/>
  <c r="G1783" i="1"/>
  <c r="H1783" i="1"/>
  <c r="D1783" i="1"/>
  <c r="A1783" i="1"/>
  <c r="C1783" i="1"/>
  <c r="E1783" i="1"/>
  <c r="F1783" i="1"/>
  <c r="G3430" i="1"/>
  <c r="H3430" i="1"/>
  <c r="D3430" i="1"/>
  <c r="A3430" i="1"/>
  <c r="C3430" i="1"/>
  <c r="E3430" i="1"/>
  <c r="F3430" i="1"/>
  <c r="G3285" i="1"/>
  <c r="H3285" i="1"/>
  <c r="D3285" i="1"/>
  <c r="A3285" i="1"/>
  <c r="C3285" i="1"/>
  <c r="E3285" i="1"/>
  <c r="F3285" i="1"/>
  <c r="G222" i="1"/>
  <c r="H222" i="1"/>
  <c r="D222" i="1"/>
  <c r="A222" i="1"/>
  <c r="C222" i="1"/>
  <c r="E222" i="1"/>
  <c r="F222" i="1"/>
  <c r="G3830" i="1"/>
  <c r="H3830" i="1"/>
  <c r="D3830" i="1"/>
  <c r="A3830" i="1"/>
  <c r="C3830" i="1"/>
  <c r="E3830" i="1"/>
  <c r="F3830" i="1"/>
  <c r="G158" i="1"/>
  <c r="H158" i="1"/>
  <c r="D158" i="1"/>
  <c r="A158" i="1"/>
  <c r="C158" i="1"/>
  <c r="E158" i="1"/>
  <c r="F158" i="1"/>
  <c r="G3808" i="1"/>
  <c r="H3808" i="1"/>
  <c r="D3808" i="1"/>
  <c r="A3808" i="1"/>
  <c r="C3808" i="1"/>
  <c r="E3808" i="1"/>
  <c r="F3808" i="1"/>
  <c r="G4137" i="1"/>
  <c r="H4137" i="1"/>
  <c r="D4137" i="1"/>
  <c r="A4137" i="1"/>
  <c r="C4137" i="1"/>
  <c r="E4137" i="1"/>
  <c r="F4137" i="1"/>
  <c r="G2414" i="1"/>
  <c r="H2414" i="1"/>
  <c r="D2414" i="1"/>
  <c r="A2414" i="1"/>
  <c r="C2414" i="1"/>
  <c r="E2414" i="1"/>
  <c r="F2414" i="1"/>
  <c r="G4852" i="1"/>
  <c r="H4852" i="1"/>
  <c r="D4852" i="1"/>
  <c r="A4852" i="1"/>
  <c r="C4852" i="1"/>
  <c r="E4852" i="1"/>
  <c r="F4852" i="1"/>
  <c r="G2318" i="1"/>
  <c r="H2318" i="1"/>
  <c r="D2318" i="1"/>
  <c r="A2318" i="1"/>
  <c r="C2318" i="1"/>
  <c r="E2318" i="1"/>
  <c r="F2318" i="1"/>
  <c r="G4462" i="1"/>
  <c r="H4462" i="1"/>
  <c r="D4462" i="1"/>
  <c r="A4462" i="1"/>
  <c r="C4462" i="1"/>
  <c r="E4462" i="1"/>
  <c r="F4462" i="1"/>
  <c r="G1586" i="1"/>
  <c r="H1586" i="1"/>
  <c r="D1586" i="1"/>
  <c r="A1586" i="1"/>
  <c r="C1586" i="1"/>
  <c r="E1586" i="1"/>
  <c r="F1586" i="1"/>
  <c r="G1585" i="1"/>
  <c r="H1585" i="1"/>
  <c r="D1585" i="1"/>
  <c r="A1585" i="1"/>
  <c r="C1585" i="1"/>
  <c r="E1585" i="1"/>
  <c r="F1585" i="1"/>
  <c r="G1584" i="1"/>
  <c r="H1584" i="1"/>
  <c r="D1584" i="1"/>
  <c r="A1584" i="1"/>
  <c r="C1584" i="1"/>
  <c r="E1584" i="1"/>
  <c r="F1584" i="1"/>
  <c r="G1216" i="1"/>
  <c r="H1216" i="1"/>
  <c r="D1216" i="1"/>
  <c r="A1216" i="1"/>
  <c r="C1216" i="1"/>
  <c r="E1216" i="1"/>
  <c r="F1216" i="1"/>
  <c r="G1136" i="1"/>
  <c r="H1136" i="1"/>
  <c r="D1136" i="1"/>
  <c r="A1136" i="1"/>
  <c r="C1136" i="1"/>
  <c r="E1136" i="1"/>
  <c r="F1136" i="1"/>
  <c r="G2874" i="1"/>
  <c r="H2874" i="1"/>
  <c r="D2874" i="1"/>
  <c r="A2874" i="1"/>
  <c r="C2874" i="1"/>
  <c r="E2874" i="1"/>
  <c r="F2874" i="1"/>
  <c r="G2256" i="1"/>
  <c r="H2256" i="1"/>
  <c r="D2256" i="1"/>
  <c r="A2256" i="1"/>
  <c r="C2256" i="1"/>
  <c r="E2256" i="1"/>
  <c r="F2256" i="1"/>
  <c r="G1886" i="1"/>
  <c r="H1886" i="1"/>
  <c r="D1886" i="1"/>
  <c r="A1886" i="1"/>
  <c r="C1886" i="1"/>
  <c r="E1886" i="1"/>
  <c r="F1886" i="1"/>
  <c r="G2365" i="1"/>
  <c r="H2365" i="1"/>
  <c r="D2365" i="1"/>
  <c r="A2365" i="1"/>
  <c r="C2365" i="1"/>
  <c r="E2365" i="1"/>
  <c r="F2365" i="1"/>
  <c r="G765" i="1"/>
  <c r="H765" i="1"/>
  <c r="D765" i="1"/>
  <c r="A765" i="1"/>
  <c r="C765" i="1"/>
  <c r="E765" i="1"/>
  <c r="F765" i="1"/>
  <c r="G1400" i="1"/>
  <c r="H1400" i="1"/>
  <c r="D1400" i="1"/>
  <c r="A1400" i="1"/>
  <c r="C1400" i="1"/>
  <c r="E1400" i="1"/>
  <c r="F1400" i="1"/>
  <c r="G1581" i="1"/>
  <c r="H1581" i="1"/>
  <c r="D1581" i="1"/>
  <c r="A1581" i="1"/>
  <c r="C1581" i="1"/>
  <c r="E1581" i="1"/>
  <c r="F1581" i="1"/>
  <c r="G1582" i="1"/>
  <c r="H1582" i="1"/>
  <c r="D1582" i="1"/>
  <c r="A1582" i="1"/>
  <c r="C1582" i="1"/>
  <c r="E1582" i="1"/>
  <c r="F1582" i="1"/>
  <c r="G1583" i="1"/>
  <c r="H1583" i="1"/>
  <c r="D1583" i="1"/>
  <c r="A1583" i="1"/>
  <c r="C1583" i="1"/>
  <c r="E1583" i="1"/>
  <c r="F1583" i="1"/>
  <c r="G1579" i="1"/>
  <c r="H1579" i="1"/>
  <c r="D1579" i="1"/>
  <c r="A1579" i="1"/>
  <c r="C1579" i="1"/>
  <c r="E1579" i="1"/>
  <c r="F1579" i="1"/>
  <c r="G1578" i="1"/>
  <c r="H1578" i="1"/>
  <c r="D1578" i="1"/>
  <c r="A1578" i="1"/>
  <c r="C1578" i="1"/>
  <c r="E1578" i="1"/>
  <c r="F1578" i="1"/>
  <c r="G380" i="1"/>
  <c r="H380" i="1"/>
  <c r="D380" i="1"/>
  <c r="A380" i="1"/>
  <c r="C380" i="1"/>
  <c r="E380" i="1"/>
  <c r="F380" i="1"/>
  <c r="G1580" i="1"/>
  <c r="H1580" i="1"/>
  <c r="D1580" i="1"/>
  <c r="A1580" i="1"/>
  <c r="C1580" i="1"/>
  <c r="E1580" i="1"/>
  <c r="F1580" i="1"/>
  <c r="G3731" i="1"/>
  <c r="H3731" i="1"/>
  <c r="D3731" i="1"/>
  <c r="A3731" i="1"/>
  <c r="C3731" i="1"/>
  <c r="E3731" i="1"/>
  <c r="F3731" i="1"/>
  <c r="G137" i="1"/>
  <c r="H137" i="1"/>
  <c r="D137" i="1"/>
  <c r="A137" i="1"/>
  <c r="C137" i="1"/>
  <c r="E137" i="1"/>
  <c r="F137" i="1"/>
  <c r="G2775" i="1"/>
  <c r="H2775" i="1"/>
  <c r="D2775" i="1"/>
  <c r="A2775" i="1"/>
  <c r="C2775" i="1"/>
  <c r="E2775" i="1"/>
  <c r="F2775" i="1"/>
  <c r="G4457" i="1"/>
  <c r="H4457" i="1"/>
  <c r="D4457" i="1"/>
  <c r="A4457" i="1"/>
  <c r="C4457" i="1"/>
  <c r="E4457" i="1"/>
  <c r="F4457" i="1"/>
  <c r="G4667" i="1"/>
  <c r="H4667" i="1"/>
  <c r="D4667" i="1"/>
  <c r="A4667" i="1"/>
  <c r="C4667" i="1"/>
  <c r="E4667" i="1"/>
  <c r="F4667" i="1"/>
  <c r="G2372" i="1"/>
  <c r="H2372" i="1"/>
  <c r="D2372" i="1"/>
  <c r="A2372" i="1"/>
  <c r="C2372" i="1"/>
  <c r="E2372" i="1"/>
  <c r="F2372" i="1"/>
  <c r="G2043" i="1"/>
  <c r="H2043" i="1"/>
  <c r="D2043" i="1"/>
  <c r="A2043" i="1"/>
  <c r="C2043" i="1"/>
  <c r="E2043" i="1"/>
  <c r="F2043" i="1"/>
  <c r="G4940" i="1"/>
  <c r="H4940" i="1"/>
  <c r="D4940" i="1"/>
  <c r="A4940" i="1"/>
  <c r="C4940" i="1"/>
  <c r="E4940" i="1"/>
  <c r="F4940" i="1"/>
  <c r="G5038" i="1"/>
  <c r="H5038" i="1"/>
  <c r="D5038" i="1"/>
  <c r="A5038" i="1"/>
  <c r="C5038" i="1"/>
  <c r="E5038" i="1"/>
  <c r="F5038" i="1"/>
  <c r="G2312" i="1"/>
  <c r="H2312" i="1"/>
  <c r="D2312" i="1"/>
  <c r="A2312" i="1"/>
  <c r="C2312" i="1"/>
  <c r="E2312" i="1"/>
  <c r="F2312" i="1"/>
  <c r="G3246" i="1"/>
  <c r="H3246" i="1"/>
  <c r="D3246" i="1"/>
  <c r="A3246" i="1"/>
  <c r="C3246" i="1"/>
  <c r="E3246" i="1"/>
  <c r="F3246" i="1"/>
  <c r="G4656" i="1"/>
  <c r="H4656" i="1"/>
  <c r="D4656" i="1"/>
  <c r="A4656" i="1"/>
  <c r="C4656" i="1"/>
  <c r="E4656" i="1"/>
  <c r="F4656" i="1"/>
  <c r="G3578" i="1"/>
  <c r="H3578" i="1"/>
  <c r="D3578" i="1"/>
  <c r="A3578" i="1"/>
  <c r="C3578" i="1"/>
  <c r="E3578" i="1"/>
  <c r="F3578" i="1"/>
  <c r="G4018" i="1"/>
  <c r="H4018" i="1"/>
  <c r="D4018" i="1"/>
  <c r="A4018" i="1"/>
  <c r="C4018" i="1"/>
  <c r="E4018" i="1"/>
  <c r="F4018" i="1"/>
  <c r="G1086" i="1"/>
  <c r="H1086" i="1"/>
  <c r="D1086" i="1"/>
  <c r="A1086" i="1"/>
  <c r="C1086" i="1"/>
  <c r="E1086" i="1"/>
  <c r="F1086" i="1"/>
  <c r="G3943" i="1"/>
  <c r="H3943" i="1"/>
  <c r="D3943" i="1"/>
  <c r="A3943" i="1"/>
  <c r="C3943" i="1"/>
  <c r="E3943" i="1"/>
  <c r="F3943" i="1"/>
  <c r="G2756" i="1"/>
  <c r="H2756" i="1"/>
  <c r="D2756" i="1"/>
  <c r="A2756" i="1"/>
  <c r="C2756" i="1"/>
  <c r="E2756" i="1"/>
  <c r="F2756" i="1"/>
  <c r="G2267" i="1"/>
  <c r="H2267" i="1"/>
  <c r="D2267" i="1"/>
  <c r="A2267" i="1"/>
  <c r="C2267" i="1"/>
  <c r="E2267" i="1"/>
  <c r="F2267" i="1"/>
  <c r="G3098" i="1"/>
  <c r="H3098" i="1"/>
  <c r="D3098" i="1"/>
  <c r="A3098" i="1"/>
  <c r="C3098" i="1"/>
  <c r="E3098" i="1"/>
  <c r="F3098" i="1"/>
  <c r="G1082" i="1"/>
  <c r="H1082" i="1"/>
  <c r="D1082" i="1"/>
  <c r="A1082" i="1"/>
  <c r="C1082" i="1"/>
  <c r="E1082" i="1"/>
  <c r="F1082" i="1"/>
  <c r="G1644" i="1"/>
  <c r="H1644" i="1"/>
  <c r="D1644" i="1"/>
  <c r="A1644" i="1"/>
  <c r="C1644" i="1"/>
  <c r="E1644" i="1"/>
  <c r="F1644" i="1"/>
  <c r="G1343" i="1"/>
  <c r="H1343" i="1"/>
  <c r="D1343" i="1"/>
  <c r="A1343" i="1"/>
  <c r="C1343" i="1"/>
  <c r="E1343" i="1"/>
  <c r="F1343" i="1"/>
  <c r="G4672" i="1"/>
  <c r="H4672" i="1"/>
  <c r="D4672" i="1"/>
  <c r="A4672" i="1"/>
  <c r="C4672" i="1"/>
  <c r="E4672" i="1"/>
  <c r="F4672" i="1"/>
  <c r="G4666" i="1"/>
  <c r="H4666" i="1"/>
  <c r="D4666" i="1"/>
  <c r="A4666" i="1"/>
  <c r="C4666" i="1"/>
  <c r="E4666" i="1"/>
  <c r="F4666" i="1"/>
  <c r="G3171" i="1"/>
  <c r="H3171" i="1"/>
  <c r="D3171" i="1"/>
  <c r="A3171" i="1"/>
  <c r="C3171" i="1"/>
  <c r="E3171" i="1"/>
  <c r="F3171" i="1"/>
  <c r="G4095" i="1"/>
  <c r="H4095" i="1"/>
  <c r="D4095" i="1"/>
  <c r="A4095" i="1"/>
  <c r="C4095" i="1"/>
  <c r="E4095" i="1"/>
  <c r="F4095" i="1"/>
  <c r="G2867" i="1"/>
  <c r="H2867" i="1"/>
  <c r="D2867" i="1"/>
  <c r="A2867" i="1"/>
  <c r="C2867" i="1"/>
  <c r="E2867" i="1"/>
  <c r="F2867" i="1"/>
  <c r="G1554" i="1"/>
  <c r="H1554" i="1"/>
  <c r="D1554" i="1"/>
  <c r="A1554" i="1"/>
  <c r="C1554" i="1"/>
  <c r="E1554" i="1"/>
  <c r="F1554" i="1"/>
  <c r="G4796" i="1"/>
  <c r="H4796" i="1"/>
  <c r="D4796" i="1"/>
  <c r="A4796" i="1"/>
  <c r="C4796" i="1"/>
  <c r="E4796" i="1"/>
  <c r="F4796" i="1"/>
  <c r="G4828" i="1"/>
  <c r="H4828" i="1"/>
  <c r="D4828" i="1"/>
  <c r="A4828" i="1"/>
  <c r="C4828" i="1"/>
  <c r="E4828" i="1"/>
  <c r="F4828" i="1"/>
  <c r="G1789" i="1"/>
  <c r="H1789" i="1"/>
  <c r="D1789" i="1"/>
  <c r="A1789" i="1"/>
  <c r="C1789" i="1"/>
  <c r="E1789" i="1"/>
  <c r="F1789" i="1"/>
  <c r="G4388" i="1"/>
  <c r="H4388" i="1"/>
  <c r="D4388" i="1"/>
  <c r="A4388" i="1"/>
  <c r="C4388" i="1"/>
  <c r="E4388" i="1"/>
  <c r="F4388" i="1"/>
  <c r="G3667" i="1"/>
  <c r="H3667" i="1"/>
  <c r="D3667" i="1"/>
  <c r="A3667" i="1"/>
  <c r="C3667" i="1"/>
  <c r="E3667" i="1"/>
  <c r="F3667" i="1"/>
  <c r="G4177" i="1"/>
  <c r="H4177" i="1"/>
  <c r="D4177" i="1"/>
  <c r="A4177" i="1"/>
  <c r="C4177" i="1"/>
  <c r="E4177" i="1"/>
  <c r="F4177" i="1"/>
  <c r="G4583" i="1"/>
  <c r="H4583" i="1"/>
  <c r="D4583" i="1"/>
  <c r="A4583" i="1"/>
  <c r="C4583" i="1"/>
  <c r="E4583" i="1"/>
  <c r="F4583" i="1"/>
  <c r="G3456" i="1"/>
  <c r="H3456" i="1"/>
  <c r="D3456" i="1"/>
  <c r="A3456" i="1"/>
  <c r="C3456" i="1"/>
  <c r="E3456" i="1"/>
  <c r="F3456" i="1"/>
  <c r="G5102" i="1"/>
  <c r="H5102" i="1"/>
  <c r="D5102" i="1"/>
  <c r="A5102" i="1"/>
  <c r="C5102" i="1"/>
  <c r="E5102" i="1"/>
  <c r="F5102" i="1"/>
  <c r="G2741" i="1"/>
  <c r="H2741" i="1"/>
  <c r="D2741" i="1"/>
  <c r="A2741" i="1"/>
  <c r="C2741" i="1"/>
  <c r="E2741" i="1"/>
  <c r="F2741" i="1"/>
  <c r="G3202" i="1"/>
  <c r="H3202" i="1"/>
  <c r="D3202" i="1"/>
  <c r="A3202" i="1"/>
  <c r="C3202" i="1"/>
  <c r="E3202" i="1"/>
  <c r="F3202" i="1"/>
  <c r="G3694" i="1"/>
  <c r="H3694" i="1"/>
  <c r="D3694" i="1"/>
  <c r="A3694" i="1"/>
  <c r="C3694" i="1"/>
  <c r="E3694" i="1"/>
  <c r="F3694" i="1"/>
  <c r="G2819" i="1"/>
  <c r="H2819" i="1"/>
  <c r="D2819" i="1"/>
  <c r="A2819" i="1"/>
  <c r="C2819" i="1"/>
  <c r="E2819" i="1"/>
  <c r="F2819" i="1"/>
  <c r="G1516" i="1"/>
  <c r="H1516" i="1"/>
  <c r="D1516" i="1"/>
  <c r="A1516" i="1"/>
  <c r="C1516" i="1"/>
  <c r="E1516" i="1"/>
  <c r="F1516" i="1"/>
  <c r="G4175" i="1"/>
  <c r="H4175" i="1"/>
  <c r="D4175" i="1"/>
  <c r="A4175" i="1"/>
  <c r="C4175" i="1"/>
  <c r="E4175" i="1"/>
  <c r="F4175" i="1"/>
  <c r="G3743" i="1"/>
  <c r="H3743" i="1"/>
  <c r="D3743" i="1"/>
  <c r="A3743" i="1"/>
  <c r="C3743" i="1"/>
  <c r="E3743" i="1"/>
  <c r="F3743" i="1"/>
  <c r="G3486" i="1"/>
  <c r="H3486" i="1"/>
  <c r="D3486" i="1"/>
  <c r="A3486" i="1"/>
  <c r="C3486" i="1"/>
  <c r="E3486" i="1"/>
  <c r="F3486" i="1"/>
  <c r="G384" i="1"/>
  <c r="H384" i="1"/>
  <c r="D384" i="1"/>
  <c r="A384" i="1"/>
  <c r="C384" i="1"/>
  <c r="E384" i="1"/>
  <c r="F384" i="1"/>
  <c r="G3661" i="1"/>
  <c r="H3661" i="1"/>
  <c r="D3661" i="1"/>
  <c r="A3661" i="1"/>
  <c r="C3661" i="1"/>
  <c r="E3661" i="1"/>
  <c r="F3661" i="1"/>
  <c r="G2711" i="1"/>
  <c r="H2711" i="1"/>
  <c r="D2711" i="1"/>
  <c r="A2711" i="1"/>
  <c r="C2711" i="1"/>
  <c r="E2711" i="1"/>
  <c r="F2711" i="1"/>
  <c r="G1577" i="1"/>
  <c r="H1577" i="1"/>
  <c r="D1577" i="1"/>
  <c r="A1577" i="1"/>
  <c r="C1577" i="1"/>
  <c r="E1577" i="1"/>
  <c r="F1577" i="1"/>
  <c r="G3467" i="1"/>
  <c r="H3467" i="1"/>
  <c r="D3467" i="1"/>
  <c r="A3467" i="1"/>
  <c r="C3467" i="1"/>
  <c r="E3467" i="1"/>
  <c r="F3467" i="1"/>
  <c r="G1431" i="1"/>
  <c r="H1431" i="1"/>
  <c r="D1431" i="1"/>
  <c r="A1431" i="1"/>
  <c r="C1431" i="1"/>
  <c r="E1431" i="1"/>
  <c r="F1431" i="1"/>
  <c r="G159" i="1"/>
  <c r="H159" i="1"/>
  <c r="D159" i="1"/>
  <c r="A159" i="1"/>
  <c r="C159" i="1"/>
  <c r="E159" i="1"/>
  <c r="F159" i="1"/>
  <c r="G1734" i="1"/>
  <c r="H1734" i="1"/>
  <c r="D1734" i="1"/>
  <c r="A1734" i="1"/>
  <c r="C1734" i="1"/>
  <c r="E1734" i="1"/>
  <c r="F1734" i="1"/>
  <c r="G2416" i="1"/>
  <c r="H2416" i="1"/>
  <c r="D2416" i="1"/>
  <c r="A2416" i="1"/>
  <c r="C2416" i="1"/>
  <c r="E2416" i="1"/>
  <c r="F2416" i="1"/>
  <c r="G4405" i="1"/>
  <c r="H4405" i="1"/>
  <c r="D4405" i="1"/>
  <c r="A4405" i="1"/>
  <c r="C4405" i="1"/>
  <c r="E4405" i="1"/>
  <c r="F4405" i="1"/>
  <c r="G2888" i="1"/>
  <c r="H2888" i="1"/>
  <c r="D2888" i="1"/>
  <c r="A2888" i="1"/>
  <c r="C2888" i="1"/>
  <c r="E2888" i="1"/>
  <c r="F2888" i="1"/>
  <c r="G3934" i="1"/>
  <c r="H3934" i="1"/>
  <c r="D3934" i="1"/>
  <c r="A3934" i="1"/>
  <c r="C3934" i="1"/>
  <c r="E3934" i="1"/>
  <c r="F3934" i="1"/>
  <c r="G2803" i="1"/>
  <c r="H2803" i="1"/>
  <c r="D2803" i="1"/>
  <c r="A2803" i="1"/>
  <c r="C2803" i="1"/>
  <c r="E2803" i="1"/>
  <c r="F2803" i="1"/>
  <c r="G4459" i="1"/>
  <c r="H4459" i="1"/>
  <c r="D4459" i="1"/>
  <c r="A4459" i="1"/>
  <c r="C4459" i="1"/>
  <c r="E4459" i="1"/>
  <c r="F4459" i="1"/>
  <c r="G3814" i="1"/>
  <c r="H3814" i="1"/>
  <c r="D3814" i="1"/>
  <c r="A3814" i="1"/>
  <c r="C3814" i="1"/>
  <c r="E3814" i="1"/>
  <c r="F3814" i="1"/>
  <c r="G1482" i="1"/>
  <c r="H1482" i="1"/>
  <c r="D1482" i="1"/>
  <c r="A1482" i="1"/>
  <c r="C1482" i="1"/>
  <c r="E1482" i="1"/>
  <c r="F1482" i="1"/>
  <c r="G4731" i="1"/>
  <c r="H4731" i="1"/>
  <c r="D4731" i="1"/>
  <c r="A4731" i="1"/>
  <c r="C4731" i="1"/>
  <c r="E4731" i="1"/>
  <c r="F4731" i="1"/>
  <c r="G4456" i="1"/>
  <c r="H4456" i="1"/>
  <c r="D4456" i="1"/>
  <c r="A4456" i="1"/>
  <c r="C4456" i="1"/>
  <c r="E4456" i="1"/>
  <c r="F4456" i="1"/>
  <c r="G4454" i="1"/>
  <c r="H4454" i="1"/>
  <c r="D4454" i="1"/>
  <c r="A4454" i="1"/>
  <c r="C4454" i="1"/>
  <c r="E4454" i="1"/>
  <c r="F4454" i="1"/>
  <c r="G2083" i="1"/>
  <c r="H2083" i="1"/>
  <c r="D2083" i="1"/>
  <c r="A2083" i="1"/>
  <c r="C2083" i="1"/>
  <c r="E2083" i="1"/>
  <c r="F2083" i="1"/>
  <c r="G538" i="1"/>
  <c r="H538" i="1"/>
  <c r="D538" i="1"/>
  <c r="A538" i="1"/>
  <c r="C538" i="1"/>
  <c r="E538" i="1"/>
  <c r="F538" i="1"/>
  <c r="G621" i="1"/>
  <c r="H621" i="1"/>
  <c r="D621" i="1"/>
  <c r="A621" i="1"/>
  <c r="C621" i="1"/>
  <c r="E621" i="1"/>
  <c r="F621" i="1"/>
  <c r="G2581" i="1"/>
  <c r="H2581" i="1"/>
  <c r="D2581" i="1"/>
  <c r="A2581" i="1"/>
  <c r="C2581" i="1"/>
  <c r="E2581" i="1"/>
  <c r="F2581" i="1"/>
  <c r="G4893" i="1"/>
  <c r="H4893" i="1"/>
  <c r="D4893" i="1"/>
  <c r="A4893" i="1"/>
  <c r="C4893" i="1"/>
  <c r="E4893" i="1"/>
  <c r="F4893" i="1"/>
  <c r="G420" i="1"/>
  <c r="H420" i="1"/>
  <c r="D420" i="1"/>
  <c r="A420" i="1"/>
  <c r="C420" i="1"/>
  <c r="E420" i="1"/>
  <c r="F420" i="1"/>
  <c r="G419" i="1"/>
  <c r="H419" i="1"/>
  <c r="D419" i="1"/>
  <c r="A419" i="1"/>
  <c r="C419" i="1"/>
  <c r="E419" i="1"/>
  <c r="F419" i="1"/>
  <c r="G4696" i="1"/>
  <c r="H4696" i="1"/>
  <c r="D4696" i="1"/>
  <c r="A4696" i="1"/>
  <c r="C4696" i="1"/>
  <c r="E4696" i="1"/>
  <c r="F4696" i="1"/>
  <c r="G295" i="1"/>
  <c r="H295" i="1"/>
  <c r="D295" i="1"/>
  <c r="A295" i="1"/>
  <c r="C295" i="1"/>
  <c r="E295" i="1"/>
  <c r="F295" i="1"/>
  <c r="G3069" i="1"/>
  <c r="H3069" i="1"/>
  <c r="D3069" i="1"/>
  <c r="A3069" i="1"/>
  <c r="C3069" i="1"/>
  <c r="E3069" i="1"/>
  <c r="F3069" i="1"/>
  <c r="G3232" i="1"/>
  <c r="H3232" i="1"/>
  <c r="D3232" i="1"/>
  <c r="A3232" i="1"/>
  <c r="C3232" i="1"/>
  <c r="E3232" i="1"/>
  <c r="F3232" i="1"/>
  <c r="G3638" i="1"/>
  <c r="H3638" i="1"/>
  <c r="D3638" i="1"/>
  <c r="A3638" i="1"/>
  <c r="C3638" i="1"/>
  <c r="E3638" i="1"/>
  <c r="F3638" i="1"/>
  <c r="G4351" i="1"/>
  <c r="H4351" i="1"/>
  <c r="D4351" i="1"/>
  <c r="A4351" i="1"/>
  <c r="C4351" i="1"/>
  <c r="E4351" i="1"/>
  <c r="F4351" i="1"/>
  <c r="G1508" i="1"/>
  <c r="H1508" i="1"/>
  <c r="D1508" i="1"/>
  <c r="A1508" i="1"/>
  <c r="C1508" i="1"/>
  <c r="E1508" i="1"/>
  <c r="F1508" i="1"/>
  <c r="G1506" i="1"/>
  <c r="H1506" i="1"/>
  <c r="D1506" i="1"/>
  <c r="A1506" i="1"/>
  <c r="C1506" i="1"/>
  <c r="E1506" i="1"/>
  <c r="F1506" i="1"/>
  <c r="G1515" i="1"/>
  <c r="H1515" i="1"/>
  <c r="D1515" i="1"/>
  <c r="A1515" i="1"/>
  <c r="C1515" i="1"/>
  <c r="E1515" i="1"/>
  <c r="F1515" i="1"/>
  <c r="G1513" i="1"/>
  <c r="H1513" i="1"/>
  <c r="D1513" i="1"/>
  <c r="A1513" i="1"/>
  <c r="C1513" i="1"/>
  <c r="E1513" i="1"/>
  <c r="F1513" i="1"/>
  <c r="G1512" i="1"/>
  <c r="H1512" i="1"/>
  <c r="D1512" i="1"/>
  <c r="A1512" i="1"/>
  <c r="C1512" i="1"/>
  <c r="E1512" i="1"/>
  <c r="F1512" i="1"/>
  <c r="G736" i="1"/>
  <c r="H736" i="1"/>
  <c r="D736" i="1"/>
  <c r="A736" i="1"/>
  <c r="C736" i="1"/>
  <c r="E736" i="1"/>
  <c r="F736" i="1"/>
  <c r="G732" i="1"/>
  <c r="H732" i="1"/>
  <c r="D732" i="1"/>
  <c r="A732" i="1"/>
  <c r="C732" i="1"/>
  <c r="E732" i="1"/>
  <c r="F732" i="1"/>
  <c r="G722" i="1"/>
  <c r="H722" i="1"/>
  <c r="D722" i="1"/>
  <c r="A722" i="1"/>
  <c r="C722" i="1"/>
  <c r="E722" i="1"/>
  <c r="F722" i="1"/>
  <c r="G721" i="1"/>
  <c r="H721" i="1"/>
  <c r="D721" i="1"/>
  <c r="A721" i="1"/>
  <c r="C721" i="1"/>
  <c r="E721" i="1"/>
  <c r="F721" i="1"/>
  <c r="G725" i="1"/>
  <c r="H725" i="1"/>
  <c r="D725" i="1"/>
  <c r="A725" i="1"/>
  <c r="C725" i="1"/>
  <c r="E725" i="1"/>
  <c r="F725" i="1"/>
  <c r="G729" i="1"/>
  <c r="H729" i="1"/>
  <c r="D729" i="1"/>
  <c r="A729" i="1"/>
  <c r="C729" i="1"/>
  <c r="E729" i="1"/>
  <c r="F729" i="1"/>
  <c r="G733" i="1"/>
  <c r="H733" i="1"/>
  <c r="D733" i="1"/>
  <c r="A733" i="1"/>
  <c r="C733" i="1"/>
  <c r="E733" i="1"/>
  <c r="F733" i="1"/>
  <c r="G726" i="1"/>
  <c r="H726" i="1"/>
  <c r="D726" i="1"/>
  <c r="A726" i="1"/>
  <c r="C726" i="1"/>
  <c r="E726" i="1"/>
  <c r="F726" i="1"/>
  <c r="G734" i="1"/>
  <c r="H734" i="1"/>
  <c r="D734" i="1"/>
  <c r="A734" i="1"/>
  <c r="C734" i="1"/>
  <c r="E734" i="1"/>
  <c r="F734" i="1"/>
  <c r="G728" i="1"/>
  <c r="H728" i="1"/>
  <c r="D728" i="1"/>
  <c r="A728" i="1"/>
  <c r="C728" i="1"/>
  <c r="E728" i="1"/>
  <c r="F728" i="1"/>
  <c r="G727" i="1"/>
  <c r="H727" i="1"/>
  <c r="D727" i="1"/>
  <c r="A727" i="1"/>
  <c r="C727" i="1"/>
  <c r="E727" i="1"/>
  <c r="F727" i="1"/>
  <c r="G1754" i="1"/>
  <c r="H1754" i="1"/>
  <c r="D1754" i="1"/>
  <c r="A1754" i="1"/>
  <c r="C1754" i="1"/>
  <c r="E1754" i="1"/>
  <c r="F1754" i="1"/>
  <c r="G723" i="1"/>
  <c r="H723" i="1"/>
  <c r="D723" i="1"/>
  <c r="A723" i="1"/>
  <c r="C723" i="1"/>
  <c r="E723" i="1"/>
  <c r="F723" i="1"/>
  <c r="G1913" i="1"/>
  <c r="H1913" i="1"/>
  <c r="D1913" i="1"/>
  <c r="A1913" i="1"/>
  <c r="C1913" i="1"/>
  <c r="E1913" i="1"/>
  <c r="F1913" i="1"/>
  <c r="G1912" i="1"/>
  <c r="H1912" i="1"/>
  <c r="D1912" i="1"/>
  <c r="A1912" i="1"/>
  <c r="C1912" i="1"/>
  <c r="E1912" i="1"/>
  <c r="F1912" i="1"/>
  <c r="G2568" i="1"/>
  <c r="H2568" i="1"/>
  <c r="D2568" i="1"/>
  <c r="A2568" i="1"/>
  <c r="C2568" i="1"/>
  <c r="E2568" i="1"/>
  <c r="F2568" i="1"/>
  <c r="G561" i="1"/>
  <c r="H561" i="1"/>
  <c r="D561" i="1"/>
  <c r="A561" i="1"/>
  <c r="C561" i="1"/>
  <c r="E561" i="1"/>
  <c r="F561" i="1"/>
  <c r="G1639" i="1"/>
  <c r="H1639" i="1"/>
  <c r="D1639" i="1"/>
  <c r="A1639" i="1"/>
  <c r="C1639" i="1"/>
  <c r="E1639" i="1"/>
  <c r="F1639" i="1"/>
  <c r="G3798" i="1"/>
  <c r="H3798" i="1"/>
  <c r="D3798" i="1"/>
  <c r="A3798" i="1"/>
  <c r="C3798" i="1"/>
  <c r="E3798" i="1"/>
  <c r="F3798" i="1"/>
  <c r="G4781" i="1"/>
  <c r="H4781" i="1"/>
  <c r="D4781" i="1"/>
  <c r="A4781" i="1"/>
  <c r="C4781" i="1"/>
  <c r="E4781" i="1"/>
  <c r="F4781" i="1"/>
  <c r="G56" i="1"/>
  <c r="H56" i="1"/>
  <c r="D56" i="1"/>
  <c r="A56" i="1"/>
  <c r="C56" i="1"/>
  <c r="E56" i="1"/>
  <c r="F56" i="1"/>
  <c r="G1090" i="1"/>
  <c r="H1090" i="1"/>
  <c r="D1090" i="1"/>
  <c r="A1090" i="1"/>
  <c r="C1090" i="1"/>
  <c r="E1090" i="1"/>
  <c r="F1090" i="1"/>
  <c r="G2356" i="1"/>
  <c r="H2356" i="1"/>
  <c r="D2356" i="1"/>
  <c r="A2356" i="1"/>
  <c r="C2356" i="1"/>
  <c r="E2356" i="1"/>
  <c r="F2356" i="1"/>
  <c r="G2198" i="1"/>
  <c r="H2198" i="1"/>
  <c r="D2198" i="1"/>
  <c r="A2198" i="1"/>
  <c r="C2198" i="1"/>
  <c r="E2198" i="1"/>
  <c r="F2198" i="1"/>
  <c r="G4621" i="1"/>
  <c r="H4621" i="1"/>
  <c r="D4621" i="1"/>
  <c r="A4621" i="1"/>
  <c r="C4621" i="1"/>
  <c r="E4621" i="1"/>
  <c r="F4621" i="1"/>
  <c r="G3951" i="1"/>
  <c r="H3951" i="1"/>
  <c r="D3951" i="1"/>
  <c r="A3951" i="1"/>
  <c r="C3951" i="1"/>
  <c r="E3951" i="1"/>
  <c r="F3951" i="1"/>
  <c r="G139" i="1"/>
  <c r="H139" i="1"/>
  <c r="D139" i="1"/>
  <c r="A139" i="1"/>
  <c r="C139" i="1"/>
  <c r="E139" i="1"/>
  <c r="F139" i="1"/>
  <c r="G57" i="1"/>
  <c r="H57" i="1"/>
  <c r="D57" i="1"/>
  <c r="A57" i="1"/>
  <c r="C57" i="1"/>
  <c r="E57" i="1"/>
  <c r="F57" i="1"/>
  <c r="G1713" i="1"/>
  <c r="H1713" i="1"/>
  <c r="D1713" i="1"/>
  <c r="A1713" i="1"/>
  <c r="C1713" i="1"/>
  <c r="E1713" i="1"/>
  <c r="F1713" i="1"/>
  <c r="G1544" i="1"/>
  <c r="H1544" i="1"/>
  <c r="D1544" i="1"/>
  <c r="A1544" i="1"/>
  <c r="C1544" i="1"/>
  <c r="E1544" i="1"/>
  <c r="F1544" i="1"/>
  <c r="G2289" i="1"/>
  <c r="H2289" i="1"/>
  <c r="D2289" i="1"/>
  <c r="A2289" i="1"/>
  <c r="C2289" i="1"/>
  <c r="E2289" i="1"/>
  <c r="F2289" i="1"/>
  <c r="G3103" i="1"/>
  <c r="H3103" i="1"/>
  <c r="D3103" i="1"/>
  <c r="A3103" i="1"/>
  <c r="C3103" i="1"/>
  <c r="E3103" i="1"/>
  <c r="F3103" i="1"/>
  <c r="G1829" i="1"/>
  <c r="H1829" i="1"/>
  <c r="D1829" i="1"/>
  <c r="A1829" i="1"/>
  <c r="C1829" i="1"/>
  <c r="E1829" i="1"/>
  <c r="F1829" i="1"/>
  <c r="G3992" i="1"/>
  <c r="H3992" i="1"/>
  <c r="D3992" i="1"/>
  <c r="A3992" i="1"/>
  <c r="C3992" i="1"/>
  <c r="E3992" i="1"/>
  <c r="F3992" i="1"/>
  <c r="G2578" i="1"/>
  <c r="H2578" i="1"/>
  <c r="D2578" i="1"/>
  <c r="A2578" i="1"/>
  <c r="C2578" i="1"/>
  <c r="E2578" i="1"/>
  <c r="F2578" i="1"/>
  <c r="G3665" i="1"/>
  <c r="H3665" i="1"/>
  <c r="D3665" i="1"/>
  <c r="A3665" i="1"/>
  <c r="C3665" i="1"/>
  <c r="E3665" i="1"/>
  <c r="F3665" i="1"/>
  <c r="G3877" i="1"/>
  <c r="H3877" i="1"/>
  <c r="D3877" i="1"/>
  <c r="A3877" i="1"/>
  <c r="C3877" i="1"/>
  <c r="E3877" i="1"/>
  <c r="F3877" i="1"/>
  <c r="G476" i="1"/>
  <c r="H476" i="1"/>
  <c r="D476" i="1"/>
  <c r="A476" i="1"/>
  <c r="C476" i="1"/>
  <c r="E476" i="1"/>
  <c r="F476" i="1"/>
  <c r="G3953" i="1"/>
  <c r="H3953" i="1"/>
  <c r="D3953" i="1"/>
  <c r="A3953" i="1"/>
  <c r="C3953" i="1"/>
  <c r="E3953" i="1"/>
  <c r="F3953" i="1"/>
  <c r="G3786" i="1"/>
  <c r="H3786" i="1"/>
  <c r="D3786" i="1"/>
  <c r="A3786" i="1"/>
  <c r="C3786" i="1"/>
  <c r="E3786" i="1"/>
  <c r="F3786" i="1"/>
  <c r="G3475" i="1"/>
  <c r="H3475" i="1"/>
  <c r="D3475" i="1"/>
  <c r="A3475" i="1"/>
  <c r="C3475" i="1"/>
  <c r="E3475" i="1"/>
  <c r="F3475" i="1"/>
  <c r="G404" i="1"/>
  <c r="H404" i="1"/>
  <c r="D404" i="1"/>
  <c r="A404" i="1"/>
  <c r="C404" i="1"/>
  <c r="E404" i="1"/>
  <c r="F404" i="1"/>
  <c r="G134" i="1"/>
  <c r="H134" i="1"/>
  <c r="D134" i="1"/>
  <c r="A134" i="1"/>
  <c r="C134" i="1"/>
  <c r="E134" i="1"/>
  <c r="F134" i="1"/>
  <c r="G5098" i="1"/>
  <c r="H5098" i="1"/>
  <c r="D5098" i="1"/>
  <c r="A5098" i="1"/>
  <c r="C5098" i="1"/>
  <c r="E5098" i="1"/>
  <c r="F5098" i="1"/>
  <c r="G3107" i="1"/>
  <c r="H3107" i="1"/>
  <c r="D3107" i="1"/>
  <c r="A3107" i="1"/>
  <c r="C3107" i="1"/>
  <c r="E3107" i="1"/>
  <c r="F3107" i="1"/>
  <c r="G4382" i="1"/>
  <c r="H4382" i="1"/>
  <c r="D4382" i="1"/>
  <c r="A4382" i="1"/>
  <c r="C4382" i="1"/>
  <c r="E4382" i="1"/>
  <c r="F4382" i="1"/>
  <c r="G1166" i="1"/>
  <c r="H1166" i="1"/>
  <c r="D1166" i="1"/>
  <c r="A1166" i="1"/>
  <c r="C1166" i="1"/>
  <c r="E1166" i="1"/>
  <c r="F1166" i="1"/>
  <c r="G2536" i="1"/>
  <c r="H2536" i="1"/>
  <c r="D2536" i="1"/>
  <c r="A2536" i="1"/>
  <c r="C2536" i="1"/>
  <c r="E2536" i="1"/>
  <c r="F2536" i="1"/>
  <c r="G2769" i="1"/>
  <c r="H2769" i="1"/>
  <c r="D2769" i="1"/>
  <c r="A2769" i="1"/>
  <c r="C2769" i="1"/>
  <c r="E2769" i="1"/>
  <c r="F2769" i="1"/>
  <c r="G4432" i="1"/>
  <c r="H4432" i="1"/>
  <c r="D4432" i="1"/>
  <c r="A4432" i="1"/>
  <c r="C4432" i="1"/>
  <c r="E4432" i="1"/>
  <c r="F4432" i="1"/>
  <c r="G4458" i="1"/>
  <c r="H4458" i="1"/>
  <c r="D4458" i="1"/>
  <c r="A4458" i="1"/>
  <c r="C4458" i="1"/>
  <c r="E4458" i="1"/>
  <c r="F4458" i="1"/>
  <c r="G1036" i="1"/>
  <c r="H1036" i="1"/>
  <c r="D1036" i="1"/>
  <c r="A1036" i="1"/>
  <c r="C1036" i="1"/>
  <c r="E1036" i="1"/>
  <c r="F1036" i="1"/>
  <c r="G3853" i="1"/>
  <c r="H3853" i="1"/>
  <c r="D3853" i="1"/>
  <c r="A3853" i="1"/>
  <c r="C3853" i="1"/>
  <c r="E3853" i="1"/>
  <c r="F3853" i="1"/>
  <c r="G4143" i="1"/>
  <c r="H4143" i="1"/>
  <c r="D4143" i="1"/>
  <c r="A4143" i="1"/>
  <c r="C4143" i="1"/>
  <c r="E4143" i="1"/>
  <c r="F4143" i="1"/>
  <c r="G4523" i="1"/>
  <c r="H4523" i="1"/>
  <c r="D4523" i="1"/>
  <c r="A4523" i="1"/>
  <c r="C4523" i="1"/>
  <c r="E4523" i="1"/>
  <c r="F4523" i="1"/>
  <c r="G306" i="1"/>
  <c r="H306" i="1"/>
  <c r="D306" i="1"/>
  <c r="A306" i="1"/>
  <c r="C306" i="1"/>
  <c r="E306" i="1"/>
  <c r="F306" i="1"/>
  <c r="G532" i="1"/>
  <c r="H532" i="1"/>
  <c r="D532" i="1"/>
  <c r="A532" i="1"/>
  <c r="C532" i="1"/>
  <c r="E532" i="1"/>
  <c r="F532" i="1"/>
  <c r="G2730" i="1"/>
  <c r="H2730" i="1"/>
  <c r="D2730" i="1"/>
  <c r="A2730" i="1"/>
  <c r="C2730" i="1"/>
  <c r="E2730" i="1"/>
  <c r="F2730" i="1"/>
  <c r="G531" i="1"/>
  <c r="H531" i="1"/>
  <c r="D531" i="1"/>
  <c r="A531" i="1"/>
  <c r="C531" i="1"/>
  <c r="E531" i="1"/>
  <c r="F531" i="1"/>
  <c r="G1617" i="1"/>
  <c r="H1617" i="1"/>
  <c r="D1617" i="1"/>
  <c r="A1617" i="1"/>
  <c r="C1617" i="1"/>
  <c r="E1617" i="1"/>
  <c r="F1617" i="1"/>
  <c r="G4491" i="1"/>
  <c r="H4491" i="1"/>
  <c r="D4491" i="1"/>
  <c r="A4491" i="1"/>
  <c r="C4491" i="1"/>
  <c r="E4491" i="1"/>
  <c r="F4491" i="1"/>
  <c r="G4489" i="1"/>
  <c r="H4489" i="1"/>
  <c r="D4489" i="1"/>
  <c r="A4489" i="1"/>
  <c r="C4489" i="1"/>
  <c r="E4489" i="1"/>
  <c r="F4489" i="1"/>
  <c r="G1717" i="1"/>
  <c r="H1717" i="1"/>
  <c r="D1717" i="1"/>
  <c r="A1717" i="1"/>
  <c r="C1717" i="1"/>
  <c r="E1717" i="1"/>
  <c r="F1717" i="1"/>
  <c r="G4423" i="1"/>
  <c r="H4423" i="1"/>
  <c r="D4423" i="1"/>
  <c r="A4423" i="1"/>
  <c r="C4423" i="1"/>
  <c r="E4423" i="1"/>
  <c r="F4423" i="1"/>
  <c r="G4930" i="1"/>
  <c r="H4930" i="1"/>
  <c r="D4930" i="1"/>
  <c r="A4930" i="1"/>
  <c r="C4930" i="1"/>
  <c r="E4930" i="1"/>
  <c r="F4930" i="1"/>
  <c r="G530" i="1"/>
  <c r="H530" i="1"/>
  <c r="D530" i="1"/>
  <c r="A530" i="1"/>
  <c r="C530" i="1"/>
  <c r="E530" i="1"/>
  <c r="F530" i="1"/>
  <c r="G3987" i="1"/>
  <c r="H3987" i="1"/>
  <c r="D3987" i="1"/>
  <c r="A3987" i="1"/>
  <c r="C3987" i="1"/>
  <c r="E3987" i="1"/>
  <c r="F3987" i="1"/>
  <c r="G738" i="1"/>
  <c r="H738" i="1"/>
  <c r="D738" i="1"/>
  <c r="A738" i="1"/>
  <c r="C738" i="1"/>
  <c r="E738" i="1"/>
  <c r="F738" i="1"/>
  <c r="G739" i="1"/>
  <c r="H739" i="1"/>
  <c r="D739" i="1"/>
  <c r="A739" i="1"/>
  <c r="C739" i="1"/>
  <c r="E739" i="1"/>
  <c r="F739" i="1"/>
  <c r="G737" i="1"/>
  <c r="H737" i="1"/>
  <c r="D737" i="1"/>
  <c r="A737" i="1"/>
  <c r="C737" i="1"/>
  <c r="E737" i="1"/>
  <c r="F737" i="1"/>
  <c r="G3183" i="1"/>
  <c r="H3183" i="1"/>
  <c r="D3183" i="1"/>
  <c r="A3183" i="1"/>
  <c r="C3183" i="1"/>
  <c r="E3183" i="1"/>
  <c r="F3183" i="1"/>
  <c r="G4203" i="1"/>
  <c r="H4203" i="1"/>
  <c r="D4203" i="1"/>
  <c r="A4203" i="1"/>
  <c r="C4203" i="1"/>
  <c r="E4203" i="1"/>
  <c r="F4203" i="1"/>
  <c r="G86" i="1"/>
  <c r="H86" i="1"/>
  <c r="D86" i="1"/>
  <c r="A86" i="1"/>
  <c r="C86" i="1"/>
  <c r="E86" i="1"/>
  <c r="F86" i="1"/>
  <c r="G4026" i="1"/>
  <c r="H4026" i="1"/>
  <c r="D4026" i="1"/>
  <c r="A4026" i="1"/>
  <c r="C4026" i="1"/>
  <c r="E4026" i="1"/>
  <c r="F4026" i="1"/>
  <c r="G102" i="1"/>
  <c r="H102" i="1"/>
  <c r="D102" i="1"/>
  <c r="A102" i="1"/>
  <c r="C102" i="1"/>
  <c r="E102" i="1"/>
  <c r="F102" i="1"/>
  <c r="G3206" i="1"/>
  <c r="H3206" i="1"/>
  <c r="D3206" i="1"/>
  <c r="A3206" i="1"/>
  <c r="C3206" i="1"/>
  <c r="E3206" i="1"/>
  <c r="F3206" i="1"/>
  <c r="G3548" i="1"/>
  <c r="H3548" i="1"/>
  <c r="D3548" i="1"/>
  <c r="A3548" i="1"/>
  <c r="C3548" i="1"/>
  <c r="E3548" i="1"/>
  <c r="F3548" i="1"/>
  <c r="G4736" i="1"/>
  <c r="H4736" i="1"/>
  <c r="D4736" i="1"/>
  <c r="A4736" i="1"/>
  <c r="C4736" i="1"/>
  <c r="E4736" i="1"/>
  <c r="F4736" i="1"/>
  <c r="G1111" i="1"/>
  <c r="H1111" i="1"/>
  <c r="D1111" i="1"/>
  <c r="A1111" i="1"/>
  <c r="C1111" i="1"/>
  <c r="E1111" i="1"/>
  <c r="F1111" i="1"/>
  <c r="G5091" i="1"/>
  <c r="H5091" i="1"/>
  <c r="D5091" i="1"/>
  <c r="A5091" i="1"/>
  <c r="C5091" i="1"/>
  <c r="E5091" i="1"/>
  <c r="F5091" i="1"/>
  <c r="G1318" i="1"/>
  <c r="H1318" i="1"/>
  <c r="D1318" i="1"/>
  <c r="A1318" i="1"/>
  <c r="C1318" i="1"/>
  <c r="E1318" i="1"/>
  <c r="F1318" i="1"/>
  <c r="G1319" i="1"/>
  <c r="H1319" i="1"/>
  <c r="D1319" i="1"/>
  <c r="A1319" i="1"/>
  <c r="C1319" i="1"/>
  <c r="E1319" i="1"/>
  <c r="F1319" i="1"/>
  <c r="G4472" i="1"/>
  <c r="H4472" i="1"/>
  <c r="D4472" i="1"/>
  <c r="A4472" i="1"/>
  <c r="C4472" i="1"/>
  <c r="E4472" i="1"/>
  <c r="F4472" i="1"/>
  <c r="G735" i="1"/>
  <c r="H735" i="1"/>
  <c r="D735" i="1"/>
  <c r="A735" i="1"/>
  <c r="C735" i="1"/>
  <c r="E735" i="1"/>
  <c r="F735" i="1"/>
  <c r="G3744" i="1"/>
  <c r="H3744" i="1"/>
  <c r="D3744" i="1"/>
  <c r="A3744" i="1"/>
  <c r="C3744" i="1"/>
  <c r="E3744" i="1"/>
  <c r="F3744" i="1"/>
  <c r="G84" i="1"/>
  <c r="H84" i="1"/>
  <c r="D84" i="1"/>
  <c r="A84" i="1"/>
  <c r="C84" i="1"/>
  <c r="E84" i="1"/>
  <c r="F84" i="1"/>
  <c r="G373" i="1"/>
  <c r="H373" i="1"/>
  <c r="D373" i="1"/>
  <c r="A373" i="1"/>
  <c r="C373" i="1"/>
  <c r="E373" i="1"/>
  <c r="F373" i="1"/>
  <c r="G2893" i="1"/>
  <c r="H2893" i="1"/>
  <c r="D2893" i="1"/>
  <c r="A2893" i="1"/>
  <c r="C2893" i="1"/>
  <c r="E2893" i="1"/>
  <c r="F2893" i="1"/>
  <c r="G2381" i="1"/>
  <c r="H2381" i="1"/>
  <c r="D2381" i="1"/>
  <c r="A2381" i="1"/>
  <c r="C2381" i="1"/>
  <c r="E2381" i="1"/>
  <c r="F2381" i="1"/>
  <c r="G661" i="1"/>
  <c r="H661" i="1"/>
  <c r="D661" i="1"/>
  <c r="A661" i="1"/>
  <c r="C661" i="1"/>
  <c r="E661" i="1"/>
  <c r="F661" i="1"/>
  <c r="G3393" i="1"/>
  <c r="H3393" i="1"/>
  <c r="D3393" i="1"/>
  <c r="A3393" i="1"/>
  <c r="C3393" i="1"/>
  <c r="E3393" i="1"/>
  <c r="F3393" i="1"/>
  <c r="G4291" i="1"/>
  <c r="H4291" i="1"/>
  <c r="D4291" i="1"/>
  <c r="A4291" i="1"/>
  <c r="C4291" i="1"/>
  <c r="E4291" i="1"/>
  <c r="F4291" i="1"/>
  <c r="G2431" i="1"/>
  <c r="H2431" i="1"/>
  <c r="D2431" i="1"/>
  <c r="A2431" i="1"/>
  <c r="C2431" i="1"/>
  <c r="E2431" i="1"/>
  <c r="F2431" i="1"/>
  <c r="G4500" i="1"/>
  <c r="H4500" i="1"/>
  <c r="D4500" i="1"/>
  <c r="A4500" i="1"/>
  <c r="C4500" i="1"/>
  <c r="E4500" i="1"/>
  <c r="F4500" i="1"/>
  <c r="G1801" i="1"/>
  <c r="H1801" i="1"/>
  <c r="D1801" i="1"/>
  <c r="A1801" i="1"/>
  <c r="C1801" i="1"/>
  <c r="E1801" i="1"/>
  <c r="F1801" i="1"/>
  <c r="G4818" i="1"/>
  <c r="H4818" i="1"/>
  <c r="D4818" i="1"/>
  <c r="A4818" i="1"/>
  <c r="C4818" i="1"/>
  <c r="E4818" i="1"/>
  <c r="F4818" i="1"/>
  <c r="G5066" i="1"/>
  <c r="H5066" i="1"/>
  <c r="D5066" i="1"/>
  <c r="A5066" i="1"/>
  <c r="C5066" i="1"/>
  <c r="E5066" i="1"/>
  <c r="F5066" i="1"/>
  <c r="G4854" i="1"/>
  <c r="H4854" i="1"/>
  <c r="D4854" i="1"/>
  <c r="A4854" i="1"/>
  <c r="C4854" i="1"/>
  <c r="E4854" i="1"/>
  <c r="F4854" i="1"/>
  <c r="G901" i="1"/>
  <c r="H901" i="1"/>
  <c r="D901" i="1"/>
  <c r="A901" i="1"/>
  <c r="C901" i="1"/>
  <c r="E901" i="1"/>
  <c r="F901" i="1"/>
  <c r="G192" i="1"/>
  <c r="H192" i="1"/>
  <c r="D192" i="1"/>
  <c r="A192" i="1"/>
  <c r="C192" i="1"/>
  <c r="E192" i="1"/>
  <c r="F192" i="1"/>
  <c r="G4209" i="1"/>
  <c r="H4209" i="1"/>
  <c r="D4209" i="1"/>
  <c r="A4209" i="1"/>
  <c r="C4209" i="1"/>
  <c r="E4209" i="1"/>
  <c r="F4209" i="1"/>
  <c r="G1758" i="1"/>
  <c r="H1758" i="1"/>
  <c r="D1758" i="1"/>
  <c r="A1758" i="1"/>
  <c r="C1758" i="1"/>
  <c r="E1758" i="1"/>
  <c r="F1758" i="1"/>
  <c r="G232" i="1"/>
  <c r="H232" i="1"/>
  <c r="D232" i="1"/>
  <c r="A232" i="1"/>
  <c r="C232" i="1"/>
  <c r="E232" i="1"/>
  <c r="F232" i="1"/>
  <c r="G281" i="1"/>
  <c r="H281" i="1"/>
  <c r="D281" i="1"/>
  <c r="A281" i="1"/>
  <c r="C281" i="1"/>
  <c r="E281" i="1"/>
  <c r="F281" i="1"/>
  <c r="G2966" i="1"/>
  <c r="H2966" i="1"/>
  <c r="D2966" i="1"/>
  <c r="A2966" i="1"/>
  <c r="C2966" i="1"/>
  <c r="E2966" i="1"/>
  <c r="F2966" i="1"/>
  <c r="G2831" i="1"/>
  <c r="H2831" i="1"/>
  <c r="D2831" i="1"/>
  <c r="A2831" i="1"/>
  <c r="C2831" i="1"/>
  <c r="E2831" i="1"/>
  <c r="F2831" i="1"/>
  <c r="G1668" i="1"/>
  <c r="H1668" i="1"/>
  <c r="D1668" i="1"/>
  <c r="A1668" i="1"/>
  <c r="C1668" i="1"/>
  <c r="E1668" i="1"/>
  <c r="F1668" i="1"/>
  <c r="G2327" i="1"/>
  <c r="H2327" i="1"/>
  <c r="D2327" i="1"/>
  <c r="A2327" i="1"/>
  <c r="C2327" i="1"/>
  <c r="E2327" i="1"/>
  <c r="F2327" i="1"/>
  <c r="G3556" i="1"/>
  <c r="H3556" i="1"/>
  <c r="D3556" i="1"/>
  <c r="A3556" i="1"/>
  <c r="C3556" i="1"/>
  <c r="E3556" i="1"/>
  <c r="F3556" i="1"/>
  <c r="G3015" i="1"/>
  <c r="H3015" i="1"/>
  <c r="D3015" i="1"/>
  <c r="A3015" i="1"/>
  <c r="C3015" i="1"/>
  <c r="E3015" i="1"/>
  <c r="F3015" i="1"/>
  <c r="G2906" i="1"/>
  <c r="H2906" i="1"/>
  <c r="D2906" i="1"/>
  <c r="A2906" i="1"/>
  <c r="C2906" i="1"/>
  <c r="E2906" i="1"/>
  <c r="F2906" i="1"/>
  <c r="G4917" i="1"/>
  <c r="H4917" i="1"/>
  <c r="D4917" i="1"/>
  <c r="A4917" i="1"/>
  <c r="C4917" i="1"/>
  <c r="E4917" i="1"/>
  <c r="F4917" i="1"/>
  <c r="G2159" i="1"/>
  <c r="H2159" i="1"/>
  <c r="D2159" i="1"/>
  <c r="A2159" i="1"/>
  <c r="C2159" i="1"/>
  <c r="E2159" i="1"/>
  <c r="F2159" i="1"/>
  <c r="G441" i="1"/>
  <c r="H441" i="1"/>
  <c r="D441" i="1"/>
  <c r="A441" i="1"/>
  <c r="C441" i="1"/>
  <c r="E441" i="1"/>
  <c r="F441" i="1"/>
  <c r="G4824" i="1"/>
  <c r="H4824" i="1"/>
  <c r="D4824" i="1"/>
  <c r="A4824" i="1"/>
  <c r="C4824" i="1"/>
  <c r="E4824" i="1"/>
  <c r="F4824" i="1"/>
  <c r="G3735" i="1"/>
  <c r="H3735" i="1"/>
  <c r="D3735" i="1"/>
  <c r="A3735" i="1"/>
  <c r="C3735" i="1"/>
  <c r="E3735" i="1"/>
  <c r="F3735" i="1"/>
  <c r="G1881" i="1"/>
  <c r="H1881" i="1"/>
  <c r="D1881" i="1"/>
  <c r="A1881" i="1"/>
  <c r="C1881" i="1"/>
  <c r="E1881" i="1"/>
  <c r="F1881" i="1"/>
  <c r="G3734" i="1"/>
  <c r="H3734" i="1"/>
  <c r="D3734" i="1"/>
  <c r="A3734" i="1"/>
  <c r="C3734" i="1"/>
  <c r="E3734" i="1"/>
  <c r="F3734" i="1"/>
  <c r="G87" i="1"/>
  <c r="H87" i="1"/>
  <c r="D87" i="1"/>
  <c r="A87" i="1"/>
  <c r="C87" i="1"/>
  <c r="E87" i="1"/>
  <c r="F87" i="1"/>
  <c r="G425" i="1"/>
  <c r="H425" i="1"/>
  <c r="D425" i="1"/>
  <c r="A425" i="1"/>
  <c r="C425" i="1"/>
  <c r="E425" i="1"/>
  <c r="F425" i="1"/>
  <c r="G4247" i="1"/>
  <c r="H4247" i="1"/>
  <c r="D4247" i="1"/>
  <c r="A4247" i="1"/>
  <c r="C4247" i="1"/>
  <c r="E4247" i="1"/>
  <c r="F4247" i="1"/>
  <c r="G3848" i="1"/>
  <c r="H3848" i="1"/>
  <c r="D3848" i="1"/>
  <c r="A3848" i="1"/>
  <c r="C3848" i="1"/>
  <c r="E3848" i="1"/>
  <c r="F3848" i="1"/>
  <c r="G4301" i="1"/>
  <c r="H4301" i="1"/>
  <c r="D4301" i="1"/>
  <c r="A4301" i="1"/>
  <c r="C4301" i="1"/>
  <c r="E4301" i="1"/>
  <c r="F4301" i="1"/>
  <c r="G408" i="1"/>
  <c r="H408" i="1"/>
  <c r="D408" i="1"/>
  <c r="A408" i="1"/>
  <c r="C408" i="1"/>
  <c r="E408" i="1"/>
  <c r="F408" i="1"/>
  <c r="G1665" i="1"/>
  <c r="H1665" i="1"/>
  <c r="D1665" i="1"/>
  <c r="A1665" i="1"/>
  <c r="C1665" i="1"/>
  <c r="E1665" i="1"/>
  <c r="F1665" i="1"/>
  <c r="G3973" i="1"/>
  <c r="H3973" i="1"/>
  <c r="D3973" i="1"/>
  <c r="A3973" i="1"/>
  <c r="C3973" i="1"/>
  <c r="E3973" i="1"/>
  <c r="F3973" i="1"/>
  <c r="G3003" i="1"/>
  <c r="H3003" i="1"/>
  <c r="D3003" i="1"/>
  <c r="A3003" i="1"/>
  <c r="C3003" i="1"/>
  <c r="E3003" i="1"/>
  <c r="F3003" i="1"/>
  <c r="G4086" i="1"/>
  <c r="H4086" i="1"/>
  <c r="D4086" i="1"/>
  <c r="A4086" i="1"/>
  <c r="C4086" i="1"/>
  <c r="E4086" i="1"/>
  <c r="F4086" i="1"/>
  <c r="G2653" i="1"/>
  <c r="H2653" i="1"/>
  <c r="D2653" i="1"/>
  <c r="A2653" i="1"/>
  <c r="C2653" i="1"/>
  <c r="E2653" i="1"/>
  <c r="F2653" i="1"/>
  <c r="G2884" i="1"/>
  <c r="H2884" i="1"/>
  <c r="D2884" i="1"/>
  <c r="A2884" i="1"/>
  <c r="C2884" i="1"/>
  <c r="E2884" i="1"/>
  <c r="F2884" i="1"/>
  <c r="G220" i="1"/>
  <c r="H220" i="1"/>
  <c r="D220" i="1"/>
  <c r="A220" i="1"/>
  <c r="C220" i="1"/>
  <c r="E220" i="1"/>
  <c r="F220" i="1"/>
  <c r="G4044" i="1"/>
  <c r="H4044" i="1"/>
  <c r="D4044" i="1"/>
  <c r="A4044" i="1"/>
  <c r="C4044" i="1"/>
  <c r="E4044" i="1"/>
  <c r="F4044" i="1"/>
  <c r="G4281" i="1"/>
  <c r="H4281" i="1"/>
  <c r="D4281" i="1"/>
  <c r="A4281" i="1"/>
  <c r="C4281" i="1"/>
  <c r="E4281" i="1"/>
  <c r="F4281" i="1"/>
  <c r="G1576" i="1"/>
  <c r="H1576" i="1"/>
  <c r="D1576" i="1"/>
  <c r="A1576" i="1"/>
  <c r="C1576" i="1"/>
  <c r="E1576" i="1"/>
  <c r="F1576" i="1"/>
  <c r="G4750" i="1"/>
  <c r="H4750" i="1"/>
  <c r="D4750" i="1"/>
  <c r="A4750" i="1"/>
  <c r="C4750" i="1"/>
  <c r="E4750" i="1"/>
  <c r="F4750" i="1"/>
  <c r="G3555" i="1"/>
  <c r="H3555" i="1"/>
  <c r="D3555" i="1"/>
  <c r="A3555" i="1"/>
  <c r="C3555" i="1"/>
  <c r="E3555" i="1"/>
  <c r="F3555" i="1"/>
  <c r="G4647" i="1"/>
  <c r="H4647" i="1"/>
  <c r="D4647" i="1"/>
  <c r="A4647" i="1"/>
  <c r="C4647" i="1"/>
  <c r="E4647" i="1"/>
  <c r="F4647" i="1"/>
  <c r="G58" i="1"/>
  <c r="H58" i="1"/>
  <c r="D58" i="1"/>
  <c r="A58" i="1"/>
  <c r="C58" i="1"/>
  <c r="E58" i="1"/>
  <c r="F58" i="1"/>
  <c r="G1884" i="1"/>
  <c r="H1884" i="1"/>
  <c r="D1884" i="1"/>
  <c r="A1884" i="1"/>
  <c r="C1884" i="1"/>
  <c r="E1884" i="1"/>
  <c r="F1884" i="1"/>
  <c r="G85" i="1"/>
  <c r="H85" i="1"/>
  <c r="D85" i="1"/>
  <c r="A85" i="1"/>
  <c r="C85" i="1"/>
  <c r="E85" i="1"/>
  <c r="F85" i="1"/>
  <c r="G4331" i="1"/>
  <c r="H4331" i="1"/>
  <c r="D4331" i="1"/>
  <c r="A4331" i="1"/>
  <c r="C4331" i="1"/>
  <c r="E4331" i="1"/>
  <c r="F4331" i="1"/>
  <c r="G4419" i="1"/>
  <c r="H4419" i="1"/>
  <c r="D4419" i="1"/>
  <c r="A4419" i="1"/>
  <c r="C4419" i="1"/>
  <c r="E4419" i="1"/>
  <c r="F4419" i="1"/>
  <c r="G3100" i="1"/>
  <c r="H3100" i="1"/>
  <c r="D3100" i="1"/>
  <c r="A3100" i="1"/>
  <c r="C3100" i="1"/>
  <c r="E3100" i="1"/>
  <c r="F3100" i="1"/>
  <c r="G2388" i="1"/>
  <c r="H2388" i="1"/>
  <c r="D2388" i="1"/>
  <c r="A2388" i="1"/>
  <c r="C2388" i="1"/>
  <c r="E2388" i="1"/>
  <c r="F2388" i="1"/>
  <c r="G3914" i="1"/>
  <c r="H3914" i="1"/>
  <c r="D3914" i="1"/>
  <c r="A3914" i="1"/>
  <c r="C3914" i="1"/>
  <c r="E3914" i="1"/>
  <c r="F3914" i="1"/>
  <c r="G4931" i="1"/>
  <c r="H4931" i="1"/>
  <c r="D4931" i="1"/>
  <c r="A4931" i="1"/>
  <c r="C4931" i="1"/>
  <c r="E4931" i="1"/>
  <c r="F4931" i="1"/>
  <c r="G2768" i="1"/>
  <c r="H2768" i="1"/>
  <c r="D2768" i="1"/>
  <c r="A2768" i="1"/>
  <c r="C2768" i="1"/>
  <c r="E2768" i="1"/>
  <c r="F2768" i="1"/>
  <c r="G4487" i="1"/>
  <c r="H4487" i="1"/>
  <c r="D4487" i="1"/>
  <c r="A4487" i="1"/>
  <c r="C4487" i="1"/>
  <c r="E4487" i="1"/>
  <c r="F4487" i="1"/>
  <c r="G108" i="1"/>
  <c r="H108" i="1"/>
  <c r="D108" i="1"/>
  <c r="A108" i="1"/>
  <c r="C108" i="1"/>
  <c r="E108" i="1"/>
  <c r="F108" i="1"/>
  <c r="G3097" i="1"/>
  <c r="H3097" i="1"/>
  <c r="D3097" i="1"/>
  <c r="A3097" i="1"/>
  <c r="C3097" i="1"/>
  <c r="E3097" i="1"/>
  <c r="F3097" i="1"/>
  <c r="G2029" i="1"/>
  <c r="H2029" i="1"/>
  <c r="D2029" i="1"/>
  <c r="A2029" i="1"/>
  <c r="C2029" i="1"/>
  <c r="E2029" i="1"/>
  <c r="F2029" i="1"/>
  <c r="G2030" i="1"/>
  <c r="H2030" i="1"/>
  <c r="D2030" i="1"/>
  <c r="A2030" i="1"/>
  <c r="C2030" i="1"/>
  <c r="E2030" i="1"/>
  <c r="F2030" i="1"/>
  <c r="G4752" i="1"/>
  <c r="H4752" i="1"/>
  <c r="D4752" i="1"/>
  <c r="A4752" i="1"/>
  <c r="C4752" i="1"/>
  <c r="E4752" i="1"/>
  <c r="F4752" i="1"/>
  <c r="G191" i="1"/>
  <c r="H191" i="1"/>
  <c r="D191" i="1"/>
  <c r="A191" i="1"/>
  <c r="C191" i="1"/>
  <c r="E191" i="1"/>
  <c r="F191" i="1"/>
  <c r="G225" i="1"/>
  <c r="H225" i="1"/>
  <c r="D225" i="1"/>
  <c r="A225" i="1"/>
  <c r="C225" i="1"/>
  <c r="E225" i="1"/>
  <c r="F225" i="1"/>
  <c r="G2413" i="1"/>
  <c r="H2413" i="1"/>
  <c r="D2413" i="1"/>
  <c r="A2413" i="1"/>
  <c r="C2413" i="1"/>
  <c r="E2413" i="1"/>
  <c r="F2413" i="1"/>
  <c r="G2788" i="1"/>
  <c r="H2788" i="1"/>
  <c r="D2788" i="1"/>
  <c r="A2788" i="1"/>
  <c r="C2788" i="1"/>
  <c r="E2788" i="1"/>
  <c r="F2788" i="1"/>
  <c r="G4014" i="1"/>
  <c r="H4014" i="1"/>
  <c r="D4014" i="1"/>
  <c r="A4014" i="1"/>
  <c r="C4014" i="1"/>
  <c r="E4014" i="1"/>
  <c r="F4014" i="1"/>
  <c r="G4497" i="1"/>
  <c r="H4497" i="1"/>
  <c r="D4497" i="1"/>
  <c r="A4497" i="1"/>
  <c r="C4497" i="1"/>
  <c r="E4497" i="1"/>
  <c r="F4497" i="1"/>
  <c r="G371" i="1"/>
  <c r="H371" i="1"/>
  <c r="D371" i="1"/>
  <c r="A371" i="1"/>
  <c r="C371" i="1"/>
  <c r="E371" i="1"/>
  <c r="F371" i="1"/>
  <c r="G1532" i="1"/>
  <c r="H1532" i="1"/>
  <c r="D1532" i="1"/>
  <c r="A1532" i="1"/>
  <c r="C1532" i="1"/>
  <c r="E1532" i="1"/>
  <c r="F1532" i="1"/>
  <c r="G4776" i="1"/>
  <c r="H4776" i="1"/>
  <c r="D4776" i="1"/>
  <c r="A4776" i="1"/>
  <c r="C4776" i="1"/>
  <c r="E4776" i="1"/>
  <c r="F4776" i="1"/>
  <c r="G1982" i="1"/>
  <c r="H1982" i="1"/>
  <c r="D1982" i="1"/>
  <c r="A1982" i="1"/>
  <c r="C1982" i="1"/>
  <c r="E1982" i="1"/>
  <c r="F1982" i="1"/>
  <c r="G952" i="1"/>
  <c r="H952" i="1"/>
  <c r="D952" i="1"/>
  <c r="A952" i="1"/>
  <c r="C952" i="1"/>
  <c r="E952" i="1"/>
  <c r="F952" i="1"/>
  <c r="G1336" i="1"/>
  <c r="H1336" i="1"/>
  <c r="D1336" i="1"/>
  <c r="A1336" i="1"/>
  <c r="C1336" i="1"/>
  <c r="E1336" i="1"/>
  <c r="F1336" i="1"/>
  <c r="G1636" i="1"/>
  <c r="H1636" i="1"/>
  <c r="D1636" i="1"/>
  <c r="A1636" i="1"/>
  <c r="C1636" i="1"/>
  <c r="E1636" i="1"/>
  <c r="F1636" i="1"/>
  <c r="G2911" i="1"/>
  <c r="H2911" i="1"/>
  <c r="D2911" i="1"/>
  <c r="A2911" i="1"/>
  <c r="C2911" i="1"/>
  <c r="E2911" i="1"/>
  <c r="F2911" i="1"/>
  <c r="G4058" i="1"/>
  <c r="H4058" i="1"/>
  <c r="D4058" i="1"/>
  <c r="A4058" i="1"/>
  <c r="C4058" i="1"/>
  <c r="E4058" i="1"/>
  <c r="F4058" i="1"/>
  <c r="G2242" i="1"/>
  <c r="H2242" i="1"/>
  <c r="D2242" i="1"/>
  <c r="A2242" i="1"/>
  <c r="C2242" i="1"/>
  <c r="E2242" i="1"/>
  <c r="F2242" i="1"/>
  <c r="G2010" i="1"/>
  <c r="H2010" i="1"/>
  <c r="D2010" i="1"/>
  <c r="A2010" i="1"/>
  <c r="C2010" i="1"/>
  <c r="E2010" i="1"/>
  <c r="F2010" i="1"/>
  <c r="G4999" i="1"/>
  <c r="H4999" i="1"/>
  <c r="D4999" i="1"/>
  <c r="A4999" i="1"/>
  <c r="C4999" i="1"/>
  <c r="E4999" i="1"/>
  <c r="F4999" i="1"/>
  <c r="G4691" i="1"/>
  <c r="H4691" i="1"/>
  <c r="D4691" i="1"/>
  <c r="A4691" i="1"/>
  <c r="C4691" i="1"/>
  <c r="E4691" i="1"/>
  <c r="F4691" i="1"/>
  <c r="G146" i="1"/>
  <c r="H146" i="1"/>
  <c r="D146" i="1"/>
  <c r="A146" i="1"/>
  <c r="C146" i="1"/>
  <c r="E146" i="1"/>
  <c r="F146" i="1"/>
  <c r="G3525" i="1"/>
  <c r="H3525" i="1"/>
  <c r="D3525" i="1"/>
  <c r="A3525" i="1"/>
  <c r="C3525" i="1"/>
  <c r="E3525" i="1"/>
  <c r="F3525" i="1"/>
  <c r="G653" i="1"/>
  <c r="H653" i="1"/>
  <c r="D653" i="1"/>
  <c r="A653" i="1"/>
  <c r="C653" i="1"/>
  <c r="E653" i="1"/>
  <c r="F653" i="1"/>
  <c r="G3257" i="1"/>
  <c r="H3257" i="1"/>
  <c r="D3257" i="1"/>
  <c r="A3257" i="1"/>
  <c r="C3257" i="1"/>
  <c r="E3257" i="1"/>
  <c r="F3257" i="1"/>
  <c r="G4182" i="1"/>
  <c r="H4182" i="1"/>
  <c r="D4182" i="1"/>
  <c r="A4182" i="1"/>
  <c r="C4182" i="1"/>
  <c r="E4182" i="1"/>
  <c r="F4182" i="1"/>
  <c r="G2988" i="1"/>
  <c r="H2988" i="1"/>
  <c r="D2988" i="1"/>
  <c r="A2988" i="1"/>
  <c r="C2988" i="1"/>
  <c r="E2988" i="1"/>
  <c r="F2988" i="1"/>
  <c r="G2890" i="1"/>
  <c r="H2890" i="1"/>
  <c r="D2890" i="1"/>
  <c r="A2890" i="1"/>
  <c r="C2890" i="1"/>
  <c r="E2890" i="1"/>
  <c r="F2890" i="1"/>
  <c r="G746" i="1"/>
  <c r="H746" i="1"/>
  <c r="D746" i="1"/>
  <c r="A746" i="1"/>
  <c r="C746" i="1"/>
  <c r="E746" i="1"/>
  <c r="F746" i="1"/>
  <c r="G2402" i="1"/>
  <c r="H2402" i="1"/>
  <c r="D2402" i="1"/>
  <c r="A2402" i="1"/>
  <c r="C2402" i="1"/>
  <c r="E2402" i="1"/>
  <c r="F2402" i="1"/>
  <c r="G1494" i="1"/>
  <c r="H1494" i="1"/>
  <c r="D1494" i="1"/>
  <c r="A1494" i="1"/>
  <c r="C1494" i="1"/>
  <c r="E1494" i="1"/>
  <c r="F1494" i="1"/>
  <c r="G219" i="1"/>
  <c r="H219" i="1"/>
  <c r="D219" i="1"/>
  <c r="A219" i="1"/>
  <c r="C219" i="1"/>
  <c r="E219" i="1"/>
  <c r="F219" i="1"/>
  <c r="G4751" i="1"/>
  <c r="H4751" i="1"/>
  <c r="D4751" i="1"/>
  <c r="A4751" i="1"/>
  <c r="C4751" i="1"/>
  <c r="E4751" i="1"/>
  <c r="F4751" i="1"/>
  <c r="G2039" i="1"/>
  <c r="H2039" i="1"/>
  <c r="D2039" i="1"/>
  <c r="A2039" i="1"/>
  <c r="C2039" i="1"/>
  <c r="E2039" i="1"/>
  <c r="F2039" i="1"/>
  <c r="G2587" i="1"/>
  <c r="H2587" i="1"/>
  <c r="D2587" i="1"/>
  <c r="A2587" i="1"/>
  <c r="C2587" i="1"/>
  <c r="E2587" i="1"/>
  <c r="F2587" i="1"/>
  <c r="G1818" i="1"/>
  <c r="H1818" i="1"/>
  <c r="D1818" i="1"/>
  <c r="A1818" i="1"/>
  <c r="C1818" i="1"/>
  <c r="E1818" i="1"/>
  <c r="F1818" i="1"/>
  <c r="G1612" i="1"/>
  <c r="H1612" i="1"/>
  <c r="D1612" i="1"/>
  <c r="A1612" i="1"/>
  <c r="C1612" i="1"/>
  <c r="E1612" i="1"/>
  <c r="F1612" i="1"/>
  <c r="G1308" i="1"/>
  <c r="H1308" i="1"/>
  <c r="D1308" i="1"/>
  <c r="A1308" i="1"/>
  <c r="C1308" i="1"/>
  <c r="E1308" i="1"/>
  <c r="F1308" i="1"/>
  <c r="G1729" i="1"/>
  <c r="H1729" i="1"/>
  <c r="D1729" i="1"/>
  <c r="A1729" i="1"/>
  <c r="C1729" i="1"/>
  <c r="E1729" i="1"/>
  <c r="F1729" i="1"/>
  <c r="G3252" i="1"/>
  <c r="H3252" i="1"/>
  <c r="D3252" i="1"/>
  <c r="A3252" i="1"/>
  <c r="C3252" i="1"/>
  <c r="E3252" i="1"/>
  <c r="F3252" i="1"/>
  <c r="G5039" i="1"/>
  <c r="H5039" i="1"/>
  <c r="D5039" i="1"/>
  <c r="A5039" i="1"/>
  <c r="C5039" i="1"/>
  <c r="E5039" i="1"/>
  <c r="F5039" i="1"/>
  <c r="G3258" i="1"/>
  <c r="H3258" i="1"/>
  <c r="D3258" i="1"/>
  <c r="A3258" i="1"/>
  <c r="C3258" i="1"/>
  <c r="E3258" i="1"/>
  <c r="F3258" i="1"/>
  <c r="G3259" i="1"/>
  <c r="H3259" i="1"/>
  <c r="D3259" i="1"/>
  <c r="A3259" i="1"/>
  <c r="C3259" i="1"/>
  <c r="E3259" i="1"/>
  <c r="F3259" i="1"/>
  <c r="G4197" i="1"/>
  <c r="H4197" i="1"/>
  <c r="D4197" i="1"/>
  <c r="A4197" i="1"/>
  <c r="C4197" i="1"/>
  <c r="E4197" i="1"/>
  <c r="F4197" i="1"/>
  <c r="G267" i="1"/>
  <c r="H267" i="1"/>
  <c r="D267" i="1"/>
  <c r="A267" i="1"/>
  <c r="C267" i="1"/>
  <c r="E267" i="1"/>
  <c r="F267" i="1"/>
  <c r="G3406" i="1"/>
  <c r="H3406" i="1"/>
  <c r="D3406" i="1"/>
  <c r="A3406" i="1"/>
  <c r="C3406" i="1"/>
  <c r="E3406" i="1"/>
  <c r="F3406" i="1"/>
  <c r="G2016" i="1"/>
  <c r="H2016" i="1"/>
  <c r="D2016" i="1"/>
  <c r="A2016" i="1"/>
  <c r="C2016" i="1"/>
  <c r="E2016" i="1"/>
  <c r="F2016" i="1"/>
  <c r="G120" i="1"/>
  <c r="H120" i="1"/>
  <c r="D120" i="1"/>
  <c r="A120" i="1"/>
  <c r="C120" i="1"/>
  <c r="E120" i="1"/>
  <c r="F120" i="1"/>
  <c r="G771" i="1"/>
  <c r="H771" i="1"/>
  <c r="D771" i="1"/>
  <c r="A771" i="1"/>
  <c r="C771" i="1"/>
  <c r="E771" i="1"/>
  <c r="F771" i="1"/>
  <c r="G4835" i="1"/>
  <c r="H4835" i="1"/>
  <c r="D4835" i="1"/>
  <c r="A4835" i="1"/>
  <c r="C4835" i="1"/>
  <c r="E4835" i="1"/>
  <c r="F4835" i="1"/>
  <c r="G1885" i="1"/>
  <c r="H1885" i="1"/>
  <c r="D1885" i="1"/>
  <c r="A1885" i="1"/>
  <c r="C1885" i="1"/>
  <c r="E1885" i="1"/>
  <c r="F1885" i="1"/>
  <c r="G3182" i="1"/>
  <c r="H3182" i="1"/>
  <c r="D3182" i="1"/>
  <c r="A3182" i="1"/>
  <c r="C3182" i="1"/>
  <c r="E3182" i="1"/>
  <c r="F3182" i="1"/>
  <c r="G3572" i="1"/>
  <c r="H3572" i="1"/>
  <c r="D3572" i="1"/>
  <c r="A3572" i="1"/>
  <c r="C3572" i="1"/>
  <c r="E3572" i="1"/>
  <c r="F3572" i="1"/>
  <c r="G2047" i="1"/>
  <c r="H2047" i="1"/>
  <c r="D2047" i="1"/>
  <c r="A2047" i="1"/>
  <c r="C2047" i="1"/>
  <c r="E2047" i="1"/>
  <c r="F2047" i="1"/>
  <c r="G1588" i="1"/>
  <c r="H1588" i="1"/>
  <c r="D1588" i="1"/>
  <c r="A1588" i="1"/>
  <c r="C1588" i="1"/>
  <c r="E1588" i="1"/>
  <c r="F1588" i="1"/>
  <c r="G4246" i="1"/>
  <c r="H4246" i="1"/>
  <c r="D4246" i="1"/>
  <c r="A4246" i="1"/>
  <c r="C4246" i="1"/>
  <c r="E4246" i="1"/>
  <c r="F4246" i="1"/>
  <c r="G1723" i="1"/>
  <c r="H1723" i="1"/>
  <c r="D1723" i="1"/>
  <c r="A1723" i="1"/>
  <c r="C1723" i="1"/>
  <c r="E1723" i="1"/>
  <c r="F1723" i="1"/>
  <c r="G527" i="1"/>
  <c r="H527" i="1"/>
  <c r="D527" i="1"/>
  <c r="A527" i="1"/>
  <c r="C527" i="1"/>
  <c r="E527" i="1"/>
  <c r="F527" i="1"/>
  <c r="G3551" i="1"/>
  <c r="H3551" i="1"/>
  <c r="D3551" i="1"/>
  <c r="A3551" i="1"/>
  <c r="C3551" i="1"/>
  <c r="E3551" i="1"/>
  <c r="F3551" i="1"/>
  <c r="G494" i="1"/>
  <c r="H494" i="1"/>
  <c r="D494" i="1"/>
  <c r="A494" i="1"/>
  <c r="C494" i="1"/>
  <c r="E494" i="1"/>
  <c r="F494" i="1"/>
  <c r="G3333" i="1"/>
  <c r="H3333" i="1"/>
  <c r="D3333" i="1"/>
  <c r="A3333" i="1"/>
  <c r="C3333" i="1"/>
  <c r="E3333" i="1"/>
  <c r="F3333" i="1"/>
  <c r="G2384" i="1"/>
  <c r="H2384" i="1"/>
  <c r="D2384" i="1"/>
  <c r="A2384" i="1"/>
  <c r="C2384" i="1"/>
  <c r="E2384" i="1"/>
  <c r="F2384" i="1"/>
  <c r="G4855" i="1"/>
  <c r="H4855" i="1"/>
  <c r="D4855" i="1"/>
  <c r="A4855" i="1"/>
  <c r="C4855" i="1"/>
  <c r="E4855" i="1"/>
  <c r="F4855" i="1"/>
  <c r="G1561" i="1"/>
  <c r="H1561" i="1"/>
  <c r="D1561" i="1"/>
  <c r="A1561" i="1"/>
  <c r="C1561" i="1"/>
  <c r="E1561" i="1"/>
  <c r="F1561" i="1"/>
  <c r="G3358" i="1"/>
  <c r="H3358" i="1"/>
  <c r="D3358" i="1"/>
  <c r="A3358" i="1"/>
  <c r="C3358" i="1"/>
  <c r="E3358" i="1"/>
  <c r="F3358" i="1"/>
  <c r="G206" i="1"/>
  <c r="H206" i="1"/>
  <c r="D206" i="1"/>
  <c r="A206" i="1"/>
  <c r="C206" i="1"/>
  <c r="E206" i="1"/>
  <c r="F206" i="1"/>
  <c r="G1971" i="1"/>
  <c r="H1971" i="1"/>
  <c r="D1971" i="1"/>
  <c r="A1971" i="1"/>
  <c r="C1971" i="1"/>
  <c r="E1971" i="1"/>
  <c r="F1971" i="1"/>
  <c r="G180" i="1"/>
  <c r="H180" i="1"/>
  <c r="D180" i="1"/>
  <c r="A180" i="1"/>
  <c r="C180" i="1"/>
  <c r="E180" i="1"/>
  <c r="F180" i="1"/>
  <c r="G3527" i="1"/>
  <c r="H3527" i="1"/>
  <c r="D3527" i="1"/>
  <c r="A3527" i="1"/>
  <c r="C3527" i="1"/>
  <c r="E3527" i="1"/>
  <c r="F3527" i="1"/>
  <c r="G2723" i="1"/>
  <c r="H2723" i="1"/>
  <c r="D2723" i="1"/>
  <c r="A2723" i="1"/>
  <c r="C2723" i="1"/>
  <c r="E2723" i="1"/>
  <c r="F2723" i="1"/>
  <c r="G2658" i="1"/>
  <c r="H2658" i="1"/>
  <c r="D2658" i="1"/>
  <c r="A2658" i="1"/>
  <c r="C2658" i="1"/>
  <c r="E2658" i="1"/>
  <c r="F2658" i="1"/>
  <c r="G3774" i="1"/>
  <c r="H3774" i="1"/>
  <c r="D3774" i="1"/>
  <c r="A3774" i="1"/>
  <c r="C3774" i="1"/>
  <c r="E3774" i="1"/>
  <c r="F3774" i="1"/>
  <c r="G2621" i="1"/>
  <c r="H2621" i="1"/>
  <c r="D2621" i="1"/>
  <c r="A2621" i="1"/>
  <c r="C2621" i="1"/>
  <c r="E2621" i="1"/>
  <c r="F2621" i="1"/>
  <c r="G2712" i="1"/>
  <c r="H2712" i="1"/>
  <c r="D2712" i="1"/>
  <c r="A2712" i="1"/>
  <c r="C2712" i="1"/>
  <c r="E2712" i="1"/>
  <c r="F2712" i="1"/>
  <c r="G143" i="1"/>
  <c r="H143" i="1"/>
  <c r="D143" i="1"/>
  <c r="A143" i="1"/>
  <c r="C143" i="1"/>
  <c r="E143" i="1"/>
  <c r="F143" i="1"/>
  <c r="G881" i="1"/>
  <c r="H881" i="1"/>
  <c r="D881" i="1"/>
  <c r="A881" i="1"/>
  <c r="C881" i="1"/>
  <c r="E881" i="1"/>
  <c r="F881" i="1"/>
  <c r="G4840" i="1"/>
  <c r="H4840" i="1"/>
  <c r="D4840" i="1"/>
  <c r="A4840" i="1"/>
  <c r="C4840" i="1"/>
  <c r="E4840" i="1"/>
  <c r="F4840" i="1"/>
  <c r="G3420" i="1"/>
  <c r="H3420" i="1"/>
  <c r="D3420" i="1"/>
  <c r="A3420" i="1"/>
  <c r="C3420" i="1"/>
  <c r="E3420" i="1"/>
  <c r="F3420" i="1"/>
  <c r="G872" i="1"/>
  <c r="H872" i="1"/>
  <c r="D872" i="1"/>
  <c r="A872" i="1"/>
  <c r="C872" i="1"/>
  <c r="E872" i="1"/>
  <c r="F872" i="1"/>
  <c r="G6" i="1"/>
  <c r="H6" i="1"/>
  <c r="D6" i="1"/>
  <c r="A6" i="1"/>
  <c r="C6" i="1"/>
  <c r="E6" i="1"/>
  <c r="F6" i="1"/>
  <c r="G3498" i="1"/>
  <c r="H3498" i="1"/>
  <c r="D3498" i="1"/>
  <c r="A3498" i="1"/>
  <c r="C3498" i="1"/>
  <c r="E3498" i="1"/>
  <c r="F3498" i="1"/>
  <c r="G4898" i="1"/>
  <c r="H4898" i="1"/>
  <c r="D4898" i="1"/>
  <c r="A4898" i="1"/>
  <c r="C4898" i="1"/>
  <c r="E4898" i="1"/>
  <c r="F4898" i="1"/>
  <c r="G3745" i="1"/>
  <c r="H3745" i="1"/>
  <c r="D3745" i="1"/>
  <c r="A3745" i="1"/>
  <c r="C3745" i="1"/>
  <c r="E3745" i="1"/>
  <c r="F3745" i="1"/>
  <c r="G2909" i="1"/>
  <c r="H2909" i="1"/>
  <c r="D2909" i="1"/>
  <c r="A2909" i="1"/>
  <c r="C2909" i="1"/>
  <c r="E2909" i="1"/>
  <c r="F2909" i="1"/>
  <c r="G9" i="1"/>
  <c r="H9" i="1"/>
  <c r="D9" i="1"/>
  <c r="A9" i="1"/>
  <c r="C9" i="1"/>
  <c r="E9" i="1"/>
  <c r="F9" i="1"/>
  <c r="G4245" i="1"/>
  <c r="H4245" i="1"/>
  <c r="D4245" i="1"/>
  <c r="A4245" i="1"/>
  <c r="C4245" i="1"/>
  <c r="E4245" i="1"/>
  <c r="F4245" i="1"/>
  <c r="G4248" i="1"/>
  <c r="H4248" i="1"/>
  <c r="D4248" i="1"/>
  <c r="A4248" i="1"/>
  <c r="C4248" i="1"/>
  <c r="E4248" i="1"/>
  <c r="F4248" i="1"/>
  <c r="G1564" i="1"/>
  <c r="H1564" i="1"/>
  <c r="D1564" i="1"/>
  <c r="A1564" i="1"/>
  <c r="C1564" i="1"/>
  <c r="E1564" i="1"/>
  <c r="F1564" i="1"/>
  <c r="G1476" i="1"/>
  <c r="H1476" i="1"/>
  <c r="D1476" i="1"/>
  <c r="A1476" i="1"/>
  <c r="C1476" i="1"/>
  <c r="E1476" i="1"/>
  <c r="F1476" i="1"/>
  <c r="G3225" i="1"/>
  <c r="H3225" i="1"/>
  <c r="D3225" i="1"/>
  <c r="A3225" i="1"/>
  <c r="C3225" i="1"/>
  <c r="E3225" i="1"/>
  <c r="F3225" i="1"/>
  <c r="G4249" i="1"/>
  <c r="H4249" i="1"/>
  <c r="D4249" i="1"/>
  <c r="A4249" i="1"/>
  <c r="C4249" i="1"/>
  <c r="E4249" i="1"/>
  <c r="F4249" i="1"/>
  <c r="G3705" i="1"/>
  <c r="H3705" i="1"/>
  <c r="D3705" i="1"/>
  <c r="A3705" i="1"/>
  <c r="C3705" i="1"/>
  <c r="E3705" i="1"/>
  <c r="F3705" i="1"/>
  <c r="G2901" i="1"/>
  <c r="H2901" i="1"/>
  <c r="D2901" i="1"/>
  <c r="A2901" i="1"/>
  <c r="C2901" i="1"/>
  <c r="E2901" i="1"/>
  <c r="F2901" i="1"/>
  <c r="G2098" i="1"/>
  <c r="H2098" i="1"/>
  <c r="D2098" i="1"/>
  <c r="A2098" i="1"/>
  <c r="C2098" i="1"/>
  <c r="E2098" i="1"/>
  <c r="F2098" i="1"/>
  <c r="G372" i="1"/>
  <c r="H372" i="1"/>
  <c r="D372" i="1"/>
  <c r="A372" i="1"/>
  <c r="C372" i="1"/>
  <c r="E372" i="1"/>
  <c r="F372" i="1"/>
  <c r="G1047" i="1"/>
  <c r="H1047" i="1"/>
  <c r="D1047" i="1"/>
  <c r="A1047" i="1"/>
  <c r="C1047" i="1"/>
  <c r="E1047" i="1"/>
  <c r="F1047" i="1"/>
  <c r="G324" i="1"/>
  <c r="H324" i="1"/>
  <c r="D324" i="1"/>
  <c r="A324" i="1"/>
  <c r="C324" i="1"/>
  <c r="E324" i="1"/>
  <c r="F324" i="1"/>
  <c r="G2802" i="1"/>
  <c r="H2802" i="1"/>
  <c r="D2802" i="1"/>
  <c r="A2802" i="1"/>
  <c r="C2802" i="1"/>
  <c r="E2802" i="1"/>
  <c r="F2802" i="1"/>
  <c r="G2797" i="1"/>
  <c r="H2797" i="1"/>
  <c r="D2797" i="1"/>
  <c r="A2797" i="1"/>
  <c r="C2797" i="1"/>
  <c r="E2797" i="1"/>
  <c r="F2797" i="1"/>
  <c r="G2907" i="1"/>
  <c r="H2907" i="1"/>
  <c r="D2907" i="1"/>
  <c r="A2907" i="1"/>
  <c r="C2907" i="1"/>
  <c r="E2907" i="1"/>
  <c r="F2907" i="1"/>
  <c r="G4670" i="1"/>
  <c r="H4670" i="1"/>
  <c r="D4670" i="1"/>
  <c r="A4670" i="1"/>
  <c r="C4670" i="1"/>
  <c r="E4670" i="1"/>
  <c r="F4670" i="1"/>
  <c r="G1332" i="1"/>
  <c r="H1332" i="1"/>
  <c r="D1332" i="1"/>
  <c r="A1332" i="1"/>
  <c r="C1332" i="1"/>
  <c r="E1332" i="1"/>
  <c r="F1332" i="1"/>
  <c r="G1475" i="1"/>
  <c r="H1475" i="1"/>
  <c r="D1475" i="1"/>
  <c r="A1475" i="1"/>
  <c r="C1475" i="1"/>
  <c r="E1475" i="1"/>
  <c r="F1475" i="1"/>
  <c r="G885" i="1"/>
  <c r="H885" i="1"/>
  <c r="D885" i="1"/>
  <c r="A885" i="1"/>
  <c r="C885" i="1"/>
  <c r="E885" i="1"/>
  <c r="F885" i="1"/>
  <c r="G3340" i="1"/>
  <c r="H3340" i="1"/>
  <c r="D3340" i="1"/>
  <c r="A3340" i="1"/>
  <c r="C3340" i="1"/>
  <c r="E3340" i="1"/>
  <c r="F3340" i="1"/>
  <c r="G1631" i="1"/>
  <c r="H1631" i="1"/>
  <c r="D1631" i="1"/>
  <c r="A1631" i="1"/>
  <c r="C1631" i="1"/>
  <c r="E1631" i="1"/>
  <c r="F1631" i="1"/>
  <c r="G2905" i="1"/>
  <c r="H2905" i="1"/>
  <c r="D2905" i="1"/>
  <c r="A2905" i="1"/>
  <c r="C2905" i="1"/>
  <c r="E2905" i="1"/>
  <c r="F2905" i="1"/>
  <c r="G2903" i="1"/>
  <c r="H2903" i="1"/>
  <c r="D2903" i="1"/>
  <c r="A2903" i="1"/>
  <c r="C2903" i="1"/>
  <c r="E2903" i="1"/>
  <c r="F2903" i="1"/>
  <c r="G4106" i="1"/>
  <c r="H4106" i="1"/>
  <c r="D4106" i="1"/>
  <c r="A4106" i="1"/>
  <c r="C4106" i="1"/>
  <c r="E4106" i="1"/>
  <c r="F4106" i="1"/>
  <c r="G4251" i="1"/>
  <c r="H4251" i="1"/>
  <c r="D4251" i="1"/>
  <c r="A4251" i="1"/>
  <c r="C4251" i="1"/>
  <c r="E4251" i="1"/>
  <c r="F4251" i="1"/>
  <c r="G740" i="1"/>
  <c r="H740" i="1"/>
  <c r="D740" i="1"/>
  <c r="A740" i="1"/>
  <c r="C740" i="1"/>
  <c r="E740" i="1"/>
  <c r="F740" i="1"/>
  <c r="G1557" i="1"/>
  <c r="H1557" i="1"/>
  <c r="D1557" i="1"/>
  <c r="A1557" i="1"/>
  <c r="C1557" i="1"/>
  <c r="E1557" i="1"/>
  <c r="F1557" i="1"/>
  <c r="G173" i="1"/>
  <c r="H173" i="1"/>
  <c r="D173" i="1"/>
  <c r="A173" i="1"/>
  <c r="C173" i="1"/>
  <c r="E173" i="1"/>
  <c r="F173" i="1"/>
  <c r="G3855" i="1"/>
  <c r="H3855" i="1"/>
  <c r="D3855" i="1"/>
  <c r="A3855" i="1"/>
  <c r="C3855" i="1"/>
  <c r="E3855" i="1"/>
  <c r="F3855" i="1"/>
  <c r="G3606" i="1"/>
  <c r="H3606" i="1"/>
  <c r="D3606" i="1"/>
  <c r="A3606" i="1"/>
  <c r="C3606" i="1"/>
  <c r="E3606" i="1"/>
  <c r="F3606" i="1"/>
  <c r="G3910" i="1"/>
  <c r="H3910" i="1"/>
  <c r="D3910" i="1"/>
  <c r="A3910" i="1"/>
  <c r="C3910" i="1"/>
  <c r="E3910" i="1"/>
  <c r="F3910" i="1"/>
  <c r="G4535" i="1"/>
  <c r="H4535" i="1"/>
  <c r="D4535" i="1"/>
  <c r="A4535" i="1"/>
  <c r="C4535" i="1"/>
  <c r="E4535" i="1"/>
  <c r="F4535" i="1"/>
  <c r="G2742" i="1"/>
  <c r="H2742" i="1"/>
  <c r="D2742" i="1"/>
  <c r="A2742" i="1"/>
  <c r="C2742" i="1"/>
  <c r="E2742" i="1"/>
  <c r="F2742" i="1"/>
  <c r="G3728" i="1"/>
  <c r="H3728" i="1"/>
  <c r="D3728" i="1"/>
  <c r="A3728" i="1"/>
  <c r="C3728" i="1"/>
  <c r="E3728" i="1"/>
  <c r="F3728" i="1"/>
  <c r="G450" i="1"/>
  <c r="H450" i="1"/>
  <c r="D450" i="1"/>
  <c r="A450" i="1"/>
  <c r="C450" i="1"/>
  <c r="E450" i="1"/>
  <c r="F450" i="1"/>
  <c r="G1525" i="1"/>
  <c r="H1525" i="1"/>
  <c r="D1525" i="1"/>
  <c r="A1525" i="1"/>
  <c r="C1525" i="1"/>
  <c r="E1525" i="1"/>
  <c r="F1525" i="1"/>
  <c r="G4676" i="1"/>
  <c r="H4676" i="1"/>
  <c r="D4676" i="1"/>
  <c r="A4676" i="1"/>
  <c r="C4676" i="1"/>
  <c r="E4676" i="1"/>
  <c r="F4676" i="1"/>
  <c r="G4655" i="1"/>
  <c r="H4655" i="1"/>
  <c r="D4655" i="1"/>
  <c r="A4655" i="1"/>
  <c r="C4655" i="1"/>
  <c r="E4655" i="1"/>
  <c r="F4655" i="1"/>
  <c r="G4463" i="1"/>
  <c r="H4463" i="1"/>
  <c r="D4463" i="1"/>
  <c r="A4463" i="1"/>
  <c r="C4463" i="1"/>
  <c r="E4463" i="1"/>
  <c r="F4463" i="1"/>
  <c r="G313" i="1"/>
  <c r="H313" i="1"/>
  <c r="D313" i="1"/>
  <c r="A313" i="1"/>
  <c r="C313" i="1"/>
  <c r="E313" i="1"/>
  <c r="F313" i="1"/>
  <c r="G3961" i="1"/>
  <c r="H3961" i="1"/>
  <c r="D3961" i="1"/>
  <c r="A3961" i="1"/>
  <c r="C3961" i="1"/>
  <c r="E3961" i="1"/>
  <c r="F3961" i="1"/>
  <c r="G1792" i="1"/>
  <c r="H1792" i="1"/>
  <c r="D1792" i="1"/>
  <c r="A1792" i="1"/>
  <c r="C1792" i="1"/>
  <c r="E1792" i="1"/>
  <c r="F1792" i="1"/>
  <c r="G2743" i="1"/>
  <c r="H2743" i="1"/>
  <c r="D2743" i="1"/>
  <c r="A2743" i="1"/>
  <c r="C2743" i="1"/>
  <c r="E2743" i="1"/>
  <c r="F2743" i="1"/>
  <c r="G3316" i="1"/>
  <c r="H3316" i="1"/>
  <c r="D3316" i="1"/>
  <c r="A3316" i="1"/>
  <c r="C3316" i="1"/>
  <c r="E3316" i="1"/>
  <c r="F3316" i="1"/>
  <c r="G4677" i="1"/>
  <c r="H4677" i="1"/>
  <c r="D4677" i="1"/>
  <c r="A4677" i="1"/>
  <c r="C4677" i="1"/>
  <c r="E4677" i="1"/>
  <c r="F4677" i="1"/>
  <c r="G2023" i="1"/>
  <c r="H2023" i="1"/>
  <c r="D2023" i="1"/>
  <c r="A2023" i="1"/>
  <c r="C2023" i="1"/>
  <c r="E2023" i="1"/>
  <c r="F2023" i="1"/>
  <c r="G3890" i="1"/>
  <c r="H3890" i="1"/>
  <c r="D3890" i="1"/>
  <c r="A3890" i="1"/>
  <c r="C3890" i="1"/>
  <c r="E3890" i="1"/>
  <c r="F3890" i="1"/>
  <c r="G2120" i="1"/>
  <c r="H2120" i="1"/>
  <c r="D2120" i="1"/>
  <c r="A2120" i="1"/>
  <c r="C2120" i="1"/>
  <c r="E2120" i="1"/>
  <c r="F2120" i="1"/>
  <c r="G4623" i="1"/>
  <c r="H4623" i="1"/>
  <c r="D4623" i="1"/>
  <c r="A4623" i="1"/>
  <c r="C4623" i="1"/>
  <c r="E4623" i="1"/>
  <c r="F4623" i="1"/>
  <c r="G119" i="1"/>
  <c r="H119" i="1"/>
  <c r="D119" i="1"/>
  <c r="A119" i="1"/>
  <c r="C119" i="1"/>
  <c r="E119" i="1"/>
  <c r="F119" i="1"/>
  <c r="G4625" i="1"/>
  <c r="H4625" i="1"/>
  <c r="D4625" i="1"/>
  <c r="A4625" i="1"/>
  <c r="C4625" i="1"/>
  <c r="E4625" i="1"/>
  <c r="F4625" i="1"/>
  <c r="G821" i="1"/>
  <c r="H821" i="1"/>
  <c r="D821" i="1"/>
  <c r="A821" i="1"/>
  <c r="C821" i="1"/>
  <c r="E821" i="1"/>
  <c r="F821" i="1"/>
  <c r="G5030" i="1"/>
  <c r="H5030" i="1"/>
  <c r="D5030" i="1"/>
  <c r="A5030" i="1"/>
  <c r="C5030" i="1"/>
  <c r="E5030" i="1"/>
  <c r="F5030" i="1"/>
  <c r="G17" i="1"/>
  <c r="H17" i="1"/>
  <c r="D17" i="1"/>
  <c r="A17" i="1"/>
  <c r="C17" i="1"/>
  <c r="E17" i="1"/>
  <c r="F17" i="1"/>
  <c r="G2195" i="1"/>
  <c r="H2195" i="1"/>
  <c r="D2195" i="1"/>
  <c r="A2195" i="1"/>
  <c r="C2195" i="1"/>
  <c r="E2195" i="1"/>
  <c r="F2195" i="1"/>
  <c r="G614" i="1"/>
  <c r="H614" i="1"/>
  <c r="D614" i="1"/>
  <c r="A614" i="1"/>
  <c r="C614" i="1"/>
  <c r="E614" i="1"/>
  <c r="F614" i="1"/>
  <c r="G4638" i="1"/>
  <c r="H4638" i="1"/>
  <c r="D4638" i="1"/>
  <c r="A4638" i="1"/>
  <c r="C4638" i="1"/>
  <c r="E4638" i="1"/>
  <c r="F4638" i="1"/>
  <c r="G997" i="1"/>
  <c r="H997" i="1"/>
  <c r="D997" i="1"/>
  <c r="A997" i="1"/>
  <c r="C997" i="1"/>
  <c r="E997" i="1"/>
  <c r="F997" i="1"/>
  <c r="G4312" i="1"/>
  <c r="H4312" i="1"/>
  <c r="D4312" i="1"/>
  <c r="A4312" i="1"/>
  <c r="C4312" i="1"/>
  <c r="E4312" i="1"/>
  <c r="F4312" i="1"/>
  <c r="G317" i="1"/>
  <c r="H317" i="1"/>
  <c r="D317" i="1"/>
  <c r="A317" i="1"/>
  <c r="C317" i="1"/>
  <c r="E317" i="1"/>
  <c r="F317" i="1"/>
  <c r="G4424" i="1"/>
  <c r="H4424" i="1"/>
  <c r="D4424" i="1"/>
  <c r="A4424" i="1"/>
  <c r="C4424" i="1"/>
  <c r="E4424" i="1"/>
  <c r="F4424" i="1"/>
  <c r="G4352" i="1"/>
  <c r="H4352" i="1"/>
  <c r="D4352" i="1"/>
  <c r="A4352" i="1"/>
  <c r="C4352" i="1"/>
  <c r="E4352" i="1"/>
  <c r="F4352" i="1"/>
  <c r="G406" i="1"/>
  <c r="H406" i="1"/>
  <c r="D406" i="1"/>
  <c r="A406" i="1"/>
  <c r="C406" i="1"/>
  <c r="E406" i="1"/>
  <c r="F406" i="1"/>
  <c r="G1492" i="1"/>
  <c r="H1492" i="1"/>
  <c r="D1492" i="1"/>
  <c r="A1492" i="1"/>
  <c r="C1492" i="1"/>
  <c r="E1492" i="1"/>
  <c r="F1492" i="1"/>
  <c r="G39" i="1"/>
  <c r="H39" i="1"/>
  <c r="D39" i="1"/>
  <c r="A39" i="1"/>
  <c r="C39" i="1"/>
  <c r="E39" i="1"/>
  <c r="F39" i="1"/>
  <c r="G2908" i="1"/>
  <c r="H2908" i="1"/>
  <c r="D2908" i="1"/>
  <c r="A2908" i="1"/>
  <c r="C2908" i="1"/>
  <c r="E2908" i="1"/>
  <c r="F2908" i="1"/>
  <c r="G495" i="1"/>
  <c r="H495" i="1"/>
  <c r="D495" i="1"/>
  <c r="A495" i="1"/>
  <c r="C495" i="1"/>
  <c r="E495" i="1"/>
  <c r="F495" i="1"/>
  <c r="G3944" i="1"/>
  <c r="H3944" i="1"/>
  <c r="D3944" i="1"/>
  <c r="A3944" i="1"/>
  <c r="C3944" i="1"/>
  <c r="E3944" i="1"/>
  <c r="F3944" i="1"/>
  <c r="G3036" i="1"/>
  <c r="H3036" i="1"/>
  <c r="D3036" i="1"/>
  <c r="A3036" i="1"/>
  <c r="C3036" i="1"/>
  <c r="E3036" i="1"/>
  <c r="F3036" i="1"/>
  <c r="G4385" i="1"/>
  <c r="H4385" i="1"/>
  <c r="D4385" i="1"/>
  <c r="A4385" i="1"/>
  <c r="C4385" i="1"/>
  <c r="E4385" i="1"/>
  <c r="F4385" i="1"/>
  <c r="G4305" i="1"/>
  <c r="H4305" i="1"/>
  <c r="D4305" i="1"/>
  <c r="A4305" i="1"/>
  <c r="C4305" i="1"/>
  <c r="E4305" i="1"/>
  <c r="F4305" i="1"/>
  <c r="G5095" i="1"/>
  <c r="H5095" i="1"/>
  <c r="D5095" i="1"/>
  <c r="A5095" i="1"/>
  <c r="C5095" i="1"/>
  <c r="E5095" i="1"/>
  <c r="F5095" i="1"/>
  <c r="G2264" i="1"/>
  <c r="H2264" i="1"/>
  <c r="D2264" i="1"/>
  <c r="A2264" i="1"/>
  <c r="C2264" i="1"/>
  <c r="E2264" i="1"/>
  <c r="F2264" i="1"/>
  <c r="G747" i="1"/>
  <c r="H747" i="1"/>
  <c r="D747" i="1"/>
  <c r="A747" i="1"/>
  <c r="C747" i="1"/>
  <c r="E747" i="1"/>
  <c r="F747" i="1"/>
  <c r="G3955" i="1"/>
  <c r="H3955" i="1"/>
  <c r="D3955" i="1"/>
  <c r="A3955" i="1"/>
  <c r="C3955" i="1"/>
  <c r="E3955" i="1"/>
  <c r="F3955" i="1"/>
  <c r="G1594" i="1"/>
  <c r="H1594" i="1"/>
  <c r="D1594" i="1"/>
  <c r="A1594" i="1"/>
  <c r="C1594" i="1"/>
  <c r="E1594" i="1"/>
  <c r="F1594" i="1"/>
  <c r="G4306" i="1"/>
  <c r="H4306" i="1"/>
  <c r="D4306" i="1"/>
  <c r="A4306" i="1"/>
  <c r="C4306" i="1"/>
  <c r="E4306" i="1"/>
  <c r="F4306" i="1"/>
  <c r="G3945" i="1"/>
  <c r="H3945" i="1"/>
  <c r="D3945" i="1"/>
  <c r="A3945" i="1"/>
  <c r="C3945" i="1"/>
  <c r="E3945" i="1"/>
  <c r="F3945" i="1"/>
  <c r="G2136" i="1"/>
  <c r="H2136" i="1"/>
  <c r="D2136" i="1"/>
  <c r="A2136" i="1"/>
  <c r="C2136" i="1"/>
  <c r="E2136" i="1"/>
  <c r="F2136" i="1"/>
  <c r="G1625" i="1"/>
  <c r="H1625" i="1"/>
  <c r="D1625" i="1"/>
  <c r="A1625" i="1"/>
  <c r="C1625" i="1"/>
  <c r="E1625" i="1"/>
  <c r="F1625" i="1"/>
  <c r="G4816" i="1"/>
  <c r="H4816" i="1"/>
  <c r="D4816" i="1"/>
  <c r="A4816" i="1"/>
  <c r="C4816" i="1"/>
  <c r="E4816" i="1"/>
  <c r="F4816" i="1"/>
  <c r="G4190" i="1"/>
  <c r="H4190" i="1"/>
  <c r="D4190" i="1"/>
  <c r="A4190" i="1"/>
  <c r="C4190" i="1"/>
  <c r="E4190" i="1"/>
  <c r="F4190" i="1"/>
  <c r="G993" i="1"/>
  <c r="H993" i="1"/>
  <c r="D993" i="1"/>
  <c r="A993" i="1"/>
  <c r="E993" i="1"/>
  <c r="F993" i="1"/>
  <c r="G1458" i="1"/>
  <c r="H1458" i="1"/>
  <c r="D1458" i="1"/>
  <c r="A1458" i="1"/>
  <c r="C1458" i="1"/>
  <c r="E1458" i="1"/>
  <c r="F1458" i="1"/>
  <c r="G1888" i="1"/>
  <c r="H1888" i="1"/>
  <c r="D1888" i="1"/>
  <c r="A1888" i="1"/>
  <c r="C1888" i="1"/>
  <c r="E1888" i="1"/>
  <c r="F1888" i="1"/>
  <c r="G2838" i="1"/>
  <c r="H2838" i="1"/>
  <c r="D2838" i="1"/>
  <c r="A2838" i="1"/>
  <c r="C2838" i="1"/>
  <c r="E2838" i="1"/>
  <c r="F2838" i="1"/>
  <c r="G1823" i="1"/>
  <c r="H1823" i="1"/>
  <c r="D1823" i="1"/>
  <c r="A1823" i="1"/>
  <c r="C1823" i="1"/>
  <c r="E1823" i="1"/>
  <c r="F1823" i="1"/>
  <c r="G3776" i="1"/>
  <c r="H3776" i="1"/>
  <c r="D3776" i="1"/>
  <c r="A3776" i="1"/>
  <c r="C3776" i="1"/>
  <c r="E3776" i="1"/>
  <c r="F3776" i="1"/>
  <c r="G892" i="1"/>
  <c r="H892" i="1"/>
  <c r="D892" i="1"/>
  <c r="A892" i="1"/>
  <c r="C892" i="1"/>
  <c r="E892" i="1"/>
  <c r="F892" i="1"/>
  <c r="G4450" i="1"/>
  <c r="H4450" i="1"/>
  <c r="D4450" i="1"/>
  <c r="A4450" i="1"/>
  <c r="C4450" i="1"/>
  <c r="E4450" i="1"/>
  <c r="F4450" i="1"/>
  <c r="G3231" i="1"/>
  <c r="H3231" i="1"/>
  <c r="D3231" i="1"/>
  <c r="A3231" i="1"/>
  <c r="C3231" i="1"/>
  <c r="E3231" i="1"/>
  <c r="F3231" i="1"/>
  <c r="G343" i="1"/>
  <c r="H343" i="1"/>
  <c r="D343" i="1"/>
  <c r="A343" i="1"/>
  <c r="C343" i="1"/>
  <c r="E343" i="1"/>
  <c r="F343" i="1"/>
  <c r="G3937" i="1"/>
  <c r="H3937" i="1"/>
  <c r="D3937" i="1"/>
  <c r="A3937" i="1"/>
  <c r="C3937" i="1"/>
  <c r="E3937" i="1"/>
  <c r="F3937" i="1"/>
  <c r="G1427" i="1"/>
  <c r="H1427" i="1"/>
  <c r="D1427" i="1"/>
  <c r="A1427" i="1"/>
  <c r="C1427" i="1"/>
  <c r="E1427" i="1"/>
  <c r="F1427" i="1"/>
  <c r="G1364" i="1"/>
  <c r="H1364" i="1"/>
  <c r="D1364" i="1"/>
  <c r="A1364" i="1"/>
  <c r="C1364" i="1"/>
  <c r="E1364" i="1"/>
  <c r="F1364" i="1"/>
  <c r="G1389" i="1"/>
  <c r="H1389" i="1"/>
  <c r="D1389" i="1"/>
  <c r="A1389" i="1"/>
  <c r="C1389" i="1"/>
  <c r="E1389" i="1"/>
  <c r="F1389" i="1"/>
  <c r="G1388" i="1"/>
  <c r="H1388" i="1"/>
  <c r="D1388" i="1"/>
  <c r="A1388" i="1"/>
  <c r="C1388" i="1"/>
  <c r="E1388" i="1"/>
  <c r="F1388" i="1"/>
  <c r="G2241" i="1"/>
  <c r="H2241" i="1"/>
  <c r="D2241" i="1"/>
  <c r="A2241" i="1"/>
  <c r="C2241" i="1"/>
  <c r="E2241" i="1"/>
  <c r="F2241" i="1"/>
  <c r="G4955" i="1"/>
  <c r="H4955" i="1"/>
  <c r="D4955" i="1"/>
  <c r="A4955" i="1"/>
  <c r="C4955" i="1"/>
  <c r="E4955" i="1"/>
  <c r="F4955" i="1"/>
  <c r="G3802" i="1"/>
  <c r="H3802" i="1"/>
  <c r="D3802" i="1"/>
  <c r="A3802" i="1"/>
  <c r="C3802" i="1"/>
  <c r="E3802" i="1"/>
  <c r="F3802" i="1"/>
  <c r="G1887" i="1"/>
  <c r="H1887" i="1"/>
  <c r="D1887" i="1"/>
  <c r="A1887" i="1"/>
  <c r="C1887" i="1"/>
  <c r="E1887" i="1"/>
  <c r="F1887" i="1"/>
  <c r="G446" i="1"/>
  <c r="H446" i="1"/>
  <c r="D446" i="1"/>
  <c r="A446" i="1"/>
  <c r="C446" i="1"/>
  <c r="E446" i="1"/>
  <c r="F446" i="1"/>
  <c r="G4618" i="1"/>
  <c r="H4618" i="1"/>
  <c r="D4618" i="1"/>
  <c r="A4618" i="1"/>
  <c r="C4618" i="1"/>
  <c r="E4618" i="1"/>
  <c r="F4618" i="1"/>
  <c r="G1027" i="1"/>
  <c r="H1027" i="1"/>
  <c r="D1027" i="1"/>
  <c r="A1027" i="1"/>
  <c r="C1027" i="1"/>
  <c r="E1027" i="1"/>
  <c r="F1027" i="1"/>
  <c r="G1968" i="1"/>
  <c r="H1968" i="1"/>
  <c r="D1968" i="1"/>
  <c r="A1968" i="1"/>
  <c r="C1968" i="1"/>
  <c r="E1968" i="1"/>
  <c r="F1968" i="1"/>
  <c r="G488" i="1"/>
  <c r="H488" i="1"/>
  <c r="D488" i="1"/>
  <c r="A488" i="1"/>
  <c r="C488" i="1"/>
  <c r="E488" i="1"/>
  <c r="F488" i="1"/>
  <c r="G2197" i="1"/>
  <c r="H2197" i="1"/>
  <c r="D2197" i="1"/>
  <c r="A2197" i="1"/>
  <c r="C2197" i="1"/>
  <c r="E2197" i="1"/>
  <c r="F2197" i="1"/>
  <c r="G4903" i="1"/>
  <c r="H4903" i="1"/>
  <c r="D4903" i="1"/>
  <c r="A4903" i="1"/>
  <c r="C4903" i="1"/>
  <c r="E4903" i="1"/>
  <c r="F4903" i="1"/>
  <c r="G1207" i="1"/>
  <c r="H1207" i="1"/>
  <c r="D1207" i="1"/>
  <c r="A1207" i="1"/>
  <c r="C1207" i="1"/>
  <c r="E1207" i="1"/>
  <c r="F1207" i="1"/>
  <c r="G4342" i="1"/>
  <c r="H4342" i="1"/>
  <c r="D4342" i="1"/>
  <c r="A4342" i="1"/>
  <c r="C4342" i="1"/>
  <c r="E4342" i="1"/>
  <c r="F4342" i="1"/>
  <c r="G4241" i="1"/>
  <c r="H4241" i="1"/>
  <c r="D4241" i="1"/>
  <c r="A4241" i="1"/>
  <c r="C4241" i="1"/>
  <c r="E4241" i="1"/>
  <c r="F4241" i="1"/>
  <c r="G4468" i="1"/>
  <c r="H4468" i="1"/>
  <c r="D4468" i="1"/>
  <c r="A4468" i="1"/>
  <c r="C4468" i="1"/>
  <c r="E4468" i="1"/>
  <c r="F4468" i="1"/>
  <c r="G4024" i="1"/>
  <c r="H4024" i="1"/>
  <c r="D4024" i="1"/>
  <c r="A4024" i="1"/>
  <c r="C4024" i="1"/>
  <c r="E4024" i="1"/>
  <c r="F4024" i="1"/>
  <c r="G3950" i="1"/>
  <c r="H3950" i="1"/>
  <c r="D3950" i="1"/>
  <c r="A3950" i="1"/>
  <c r="C3950" i="1"/>
  <c r="E3950" i="1"/>
  <c r="F3950" i="1"/>
  <c r="G270" i="1"/>
  <c r="H270" i="1"/>
  <c r="D270" i="1"/>
  <c r="A270" i="1"/>
  <c r="C270" i="1"/>
  <c r="E270" i="1"/>
  <c r="F270" i="1"/>
  <c r="G1015" i="1"/>
  <c r="H1015" i="1"/>
  <c r="D1015" i="1"/>
  <c r="A1015" i="1"/>
  <c r="C1015" i="1"/>
  <c r="E1015" i="1"/>
  <c r="F1015" i="1"/>
  <c r="G5027" i="1"/>
  <c r="H5027" i="1"/>
  <c r="D5027" i="1"/>
  <c r="A5027" i="1"/>
  <c r="C5027" i="1"/>
  <c r="E5027" i="1"/>
  <c r="F5027" i="1"/>
  <c r="G4830" i="1"/>
  <c r="H4830" i="1"/>
  <c r="D4830" i="1"/>
  <c r="A4830" i="1"/>
  <c r="C4830" i="1"/>
  <c r="E4830" i="1"/>
  <c r="F4830" i="1"/>
  <c r="G4264" i="1"/>
  <c r="H4264" i="1"/>
  <c r="D4264" i="1"/>
  <c r="A4264" i="1"/>
  <c r="C4264" i="1"/>
  <c r="E4264" i="1"/>
  <c r="F4264" i="1"/>
  <c r="G3649" i="1"/>
  <c r="H3649" i="1"/>
  <c r="D3649" i="1"/>
  <c r="A3649" i="1"/>
  <c r="C3649" i="1"/>
  <c r="E3649" i="1"/>
  <c r="F3649" i="1"/>
  <c r="G3244" i="1"/>
  <c r="H3244" i="1"/>
  <c r="D3244" i="1"/>
  <c r="A3244" i="1"/>
  <c r="C3244" i="1"/>
  <c r="E3244" i="1"/>
  <c r="F3244" i="1"/>
  <c r="G763" i="1"/>
  <c r="H763" i="1"/>
  <c r="D763" i="1"/>
  <c r="A763" i="1"/>
  <c r="C763" i="1"/>
  <c r="E763" i="1"/>
  <c r="F763" i="1"/>
  <c r="G2634" i="1"/>
  <c r="H2634" i="1"/>
  <c r="D2634" i="1"/>
  <c r="A2634" i="1"/>
  <c r="C2634" i="1"/>
  <c r="E2634" i="1"/>
  <c r="F2634" i="1"/>
  <c r="G4639" i="1"/>
  <c r="H4639" i="1"/>
  <c r="D4639" i="1"/>
  <c r="A4639" i="1"/>
  <c r="C4639" i="1"/>
  <c r="E4639" i="1"/>
  <c r="F4639" i="1"/>
  <c r="G116" i="1"/>
  <c r="H116" i="1"/>
  <c r="D116" i="1"/>
  <c r="A116" i="1"/>
  <c r="C116" i="1"/>
  <c r="E116" i="1"/>
  <c r="F116" i="1"/>
  <c r="G4778" i="1"/>
  <c r="H4778" i="1"/>
  <c r="D4778" i="1"/>
  <c r="A4778" i="1"/>
  <c r="C4778" i="1"/>
  <c r="E4778" i="1"/>
  <c r="F4778" i="1"/>
  <c r="G4617" i="1"/>
  <c r="H4617" i="1"/>
  <c r="D4617" i="1"/>
  <c r="A4617" i="1"/>
  <c r="C4617" i="1"/>
  <c r="E4617" i="1"/>
  <c r="F4617" i="1"/>
  <c r="G2248" i="1"/>
  <c r="H2248" i="1"/>
  <c r="D2248" i="1"/>
  <c r="A2248" i="1"/>
  <c r="C2248" i="1"/>
  <c r="E2248" i="1"/>
  <c r="F2248" i="1"/>
  <c r="G3063" i="1"/>
  <c r="H3063" i="1"/>
  <c r="D3063" i="1"/>
  <c r="A3063" i="1"/>
  <c r="C3063" i="1"/>
  <c r="E3063" i="1"/>
  <c r="F3063" i="1"/>
  <c r="G172" i="1"/>
  <c r="H172" i="1"/>
  <c r="D172" i="1"/>
  <c r="A172" i="1"/>
  <c r="C172" i="1"/>
  <c r="E172" i="1"/>
  <c r="F172" i="1"/>
  <c r="G4743" i="1"/>
  <c r="H4743" i="1"/>
  <c r="D4743" i="1"/>
  <c r="A4743" i="1"/>
  <c r="C4743" i="1"/>
  <c r="E4743" i="1"/>
  <c r="F4743" i="1"/>
  <c r="G3940" i="1"/>
  <c r="H3940" i="1"/>
  <c r="D3940" i="1"/>
  <c r="A3940" i="1"/>
  <c r="C3940" i="1"/>
  <c r="E3940" i="1"/>
  <c r="F3940" i="1"/>
  <c r="G3817" i="1"/>
  <c r="H3817" i="1"/>
  <c r="D3817" i="1"/>
  <c r="A3817" i="1"/>
  <c r="C3817" i="1"/>
  <c r="E3817" i="1"/>
  <c r="F3817" i="1"/>
  <c r="G390" i="1"/>
  <c r="H390" i="1"/>
  <c r="D390" i="1"/>
  <c r="A390" i="1"/>
  <c r="C390" i="1"/>
  <c r="E390" i="1"/>
  <c r="F390" i="1"/>
  <c r="G4774" i="1"/>
  <c r="H4774" i="1"/>
  <c r="D4774" i="1"/>
  <c r="A4774" i="1"/>
  <c r="C4774" i="1"/>
  <c r="E4774" i="1"/>
  <c r="F4774" i="1"/>
  <c r="G325" i="1"/>
  <c r="H325" i="1"/>
  <c r="D325" i="1"/>
  <c r="A325" i="1"/>
  <c r="C325" i="1"/>
  <c r="E325" i="1"/>
  <c r="F325" i="1"/>
  <c r="G1883" i="1"/>
  <c r="H1883" i="1"/>
  <c r="D1883" i="1"/>
  <c r="A1883" i="1"/>
  <c r="C1883" i="1"/>
  <c r="E1883" i="1"/>
  <c r="F1883" i="1"/>
  <c r="G3245" i="1"/>
  <c r="H3245" i="1"/>
  <c r="D3245" i="1"/>
  <c r="A3245" i="1"/>
  <c r="C3245" i="1"/>
  <c r="E3245" i="1"/>
  <c r="F3245" i="1"/>
  <c r="G4904" i="1"/>
  <c r="H4904" i="1"/>
  <c r="D4904" i="1"/>
  <c r="A4904" i="1"/>
  <c r="C4904" i="1"/>
  <c r="E4904" i="1"/>
  <c r="F4904" i="1"/>
  <c r="G2432" i="1"/>
  <c r="H2432" i="1"/>
  <c r="D2432" i="1"/>
  <c r="A2432" i="1"/>
  <c r="C2432" i="1"/>
  <c r="E2432" i="1"/>
  <c r="F2432" i="1"/>
  <c r="G1077" i="1"/>
  <c r="H1077" i="1"/>
  <c r="D1077" i="1"/>
  <c r="A1077" i="1"/>
  <c r="C1077" i="1"/>
  <c r="E1077" i="1"/>
  <c r="F1077" i="1"/>
  <c r="G566" i="1"/>
  <c r="H566" i="1"/>
  <c r="D566" i="1"/>
  <c r="A566" i="1"/>
  <c r="C566" i="1"/>
  <c r="E566" i="1"/>
  <c r="F566" i="1"/>
  <c r="G4580" i="1"/>
  <c r="H4580" i="1"/>
  <c r="D4580" i="1"/>
  <c r="A4580" i="1"/>
  <c r="C4580" i="1"/>
  <c r="E4580" i="1"/>
  <c r="F4580" i="1"/>
  <c r="G1462" i="1"/>
  <c r="H1462" i="1"/>
  <c r="D1462" i="1"/>
  <c r="A1462" i="1"/>
  <c r="C1462" i="1"/>
  <c r="E1462" i="1"/>
  <c r="F1462" i="1"/>
  <c r="G4961" i="1"/>
  <c r="H4961" i="1"/>
  <c r="D4961" i="1"/>
  <c r="A4961" i="1"/>
  <c r="C4961" i="1"/>
  <c r="E4961" i="1"/>
  <c r="F4961" i="1"/>
  <c r="G1466" i="1"/>
  <c r="H1466" i="1"/>
  <c r="D1466" i="1"/>
  <c r="A1466" i="1"/>
  <c r="C1466" i="1"/>
  <c r="E1466" i="1"/>
  <c r="F1466" i="1"/>
  <c r="G3565" i="1"/>
  <c r="H3565" i="1"/>
  <c r="D3565" i="1"/>
  <c r="A3565" i="1"/>
  <c r="C3565" i="1"/>
  <c r="E3565" i="1"/>
  <c r="F3565" i="1"/>
  <c r="G125" i="1"/>
  <c r="H125" i="1"/>
  <c r="D125" i="1"/>
  <c r="A125" i="1"/>
  <c r="C125" i="1"/>
  <c r="E125" i="1"/>
  <c r="F125" i="1"/>
  <c r="G2956" i="1"/>
  <c r="H2956" i="1"/>
  <c r="D2956" i="1"/>
  <c r="A2956" i="1"/>
  <c r="C2956" i="1"/>
  <c r="E2956" i="1"/>
  <c r="F2956" i="1"/>
  <c r="G1704" i="1"/>
  <c r="H1704" i="1"/>
  <c r="D1704" i="1"/>
  <c r="C1704" i="1"/>
  <c r="E1704" i="1"/>
  <c r="F1704" i="1"/>
  <c r="G4687" i="1"/>
  <c r="H4687" i="1"/>
  <c r="D4687" i="1"/>
  <c r="A4687" i="1"/>
  <c r="C4687" i="1"/>
  <c r="E4687" i="1"/>
  <c r="F4687" i="1"/>
  <c r="G1220" i="1"/>
  <c r="H1220" i="1"/>
  <c r="D1220" i="1"/>
  <c r="A1220" i="1"/>
  <c r="C1220" i="1"/>
  <c r="E1220" i="1"/>
  <c r="F1220" i="1"/>
  <c r="G3070" i="1"/>
  <c r="H3070" i="1"/>
  <c r="D3070" i="1"/>
  <c r="A3070" i="1"/>
  <c r="C3070" i="1"/>
  <c r="E3070" i="1"/>
  <c r="F3070" i="1"/>
  <c r="G3794" i="1"/>
  <c r="H3794" i="1"/>
  <c r="D3794" i="1"/>
  <c r="A3794" i="1"/>
  <c r="C3794" i="1"/>
  <c r="E3794" i="1"/>
  <c r="F3794" i="1"/>
  <c r="G4433" i="1"/>
  <c r="H4433" i="1"/>
  <c r="D4433" i="1"/>
  <c r="A4433" i="1"/>
  <c r="C4433" i="1"/>
  <c r="E4433" i="1"/>
  <c r="F4433" i="1"/>
  <c r="G4389" i="1"/>
  <c r="H4389" i="1"/>
  <c r="D4389" i="1"/>
  <c r="A4389" i="1"/>
  <c r="C4389" i="1"/>
  <c r="E4389" i="1"/>
  <c r="F4389" i="1"/>
  <c r="G3654" i="1"/>
  <c r="H3654" i="1"/>
  <c r="D3654" i="1"/>
  <c r="A3654" i="1"/>
  <c r="C3654" i="1"/>
  <c r="E3654" i="1"/>
  <c r="F3654" i="1"/>
  <c r="G4963" i="1"/>
  <c r="H4963" i="1"/>
  <c r="D4963" i="1"/>
  <c r="A4963" i="1"/>
  <c r="C4963" i="1"/>
  <c r="E4963" i="1"/>
  <c r="F4963" i="1"/>
  <c r="G3379" i="1"/>
  <c r="H3379" i="1"/>
  <c r="D3379" i="1"/>
  <c r="A3379" i="1"/>
  <c r="C3379" i="1"/>
  <c r="E3379" i="1"/>
  <c r="F3379" i="1"/>
  <c r="G619" i="1"/>
  <c r="H619" i="1"/>
  <c r="D619" i="1"/>
  <c r="A619" i="1"/>
  <c r="C619" i="1"/>
  <c r="E619" i="1"/>
  <c r="F619" i="1"/>
  <c r="G74" i="1"/>
  <c r="H74" i="1"/>
  <c r="D74" i="1"/>
  <c r="A74" i="1"/>
  <c r="C74" i="1"/>
  <c r="E74" i="1"/>
  <c r="F74" i="1"/>
  <c r="G4408" i="1"/>
  <c r="H4408" i="1"/>
  <c r="D4408" i="1"/>
  <c r="A4408" i="1"/>
  <c r="C4408" i="1"/>
  <c r="E4408" i="1"/>
  <c r="F4408" i="1"/>
  <c r="G4693" i="1"/>
  <c r="H4693" i="1"/>
  <c r="D4693" i="1"/>
  <c r="A4693" i="1"/>
  <c r="C4693" i="1"/>
  <c r="E4693" i="1"/>
  <c r="F4693" i="1"/>
  <c r="G2192" i="1"/>
  <c r="H2192" i="1"/>
  <c r="D2192" i="1"/>
  <c r="A2192" i="1"/>
  <c r="C2192" i="1"/>
  <c r="E2192" i="1"/>
  <c r="F2192" i="1"/>
  <c r="G762" i="1"/>
  <c r="H762" i="1"/>
  <c r="D762" i="1"/>
  <c r="A762" i="1"/>
  <c r="C762" i="1"/>
  <c r="E762" i="1"/>
  <c r="F762" i="1"/>
  <c r="G964" i="1"/>
  <c r="H964" i="1"/>
  <c r="D964" i="1"/>
  <c r="A964" i="1"/>
  <c r="C964" i="1"/>
  <c r="E964" i="1"/>
  <c r="F964" i="1"/>
  <c r="G496" i="1"/>
  <c r="H496" i="1"/>
  <c r="D496" i="1"/>
  <c r="A496" i="1"/>
  <c r="C496" i="1"/>
  <c r="E496" i="1"/>
  <c r="F496" i="1"/>
  <c r="G4232" i="1"/>
  <c r="H4232" i="1"/>
  <c r="D4232" i="1"/>
  <c r="A4232" i="1"/>
  <c r="C4232" i="1"/>
  <c r="E4232" i="1"/>
  <c r="F4232" i="1"/>
  <c r="G5063" i="1"/>
  <c r="H5063" i="1"/>
  <c r="D5063" i="1"/>
  <c r="A5063" i="1"/>
  <c r="C5063" i="1"/>
  <c r="E5063" i="1"/>
  <c r="F5063" i="1"/>
  <c r="G1447" i="1"/>
  <c r="H1447" i="1"/>
  <c r="D1447" i="1"/>
  <c r="A1447" i="1"/>
  <c r="C1447" i="1"/>
  <c r="E1447" i="1"/>
  <c r="F1447" i="1"/>
  <c r="G4919" i="1"/>
  <c r="H4919" i="1"/>
  <c r="D4919" i="1"/>
  <c r="A4919" i="1"/>
  <c r="C4919" i="1"/>
  <c r="E4919" i="1"/>
  <c r="F4919" i="1"/>
  <c r="G752" i="1"/>
  <c r="H752" i="1"/>
  <c r="D752" i="1"/>
  <c r="A752" i="1"/>
  <c r="C752" i="1"/>
  <c r="E752" i="1"/>
  <c r="F752" i="1"/>
  <c r="G2252" i="1"/>
  <c r="H2252" i="1"/>
  <c r="D2252" i="1"/>
  <c r="A2252" i="1"/>
  <c r="C2252" i="1"/>
  <c r="E2252" i="1"/>
  <c r="F2252" i="1"/>
  <c r="G127" i="1"/>
  <c r="H127" i="1"/>
  <c r="D127" i="1"/>
  <c r="A127" i="1"/>
  <c r="C127" i="1"/>
  <c r="E127" i="1"/>
  <c r="F127" i="1"/>
  <c r="G4922" i="1"/>
  <c r="H4922" i="1"/>
  <c r="D4922" i="1"/>
  <c r="A4922" i="1"/>
  <c r="C4922" i="1"/>
  <c r="E4922" i="1"/>
  <c r="F4922" i="1"/>
  <c r="G4172" i="1"/>
  <c r="H4172" i="1"/>
  <c r="D4172" i="1"/>
  <c r="A4172" i="1"/>
  <c r="C4172" i="1"/>
  <c r="E4172" i="1"/>
  <c r="F4172" i="1"/>
  <c r="G4473" i="1"/>
  <c r="H4473" i="1"/>
  <c r="D4473" i="1"/>
  <c r="A4473" i="1"/>
  <c r="C4473" i="1"/>
  <c r="E4473" i="1"/>
  <c r="F4473" i="1"/>
  <c r="G4690" i="1"/>
  <c r="H4690" i="1"/>
  <c r="D4690" i="1"/>
  <c r="A4690" i="1"/>
  <c r="C4690" i="1"/>
  <c r="E4690" i="1"/>
  <c r="F4690" i="1"/>
  <c r="G1433" i="1"/>
  <c r="H1433" i="1"/>
  <c r="D1433" i="1"/>
  <c r="A1433" i="1"/>
  <c r="C1433" i="1"/>
  <c r="E1433" i="1"/>
  <c r="F1433" i="1"/>
  <c r="G194" i="1"/>
  <c r="H194" i="1"/>
  <c r="D194" i="1"/>
  <c r="A194" i="1"/>
  <c r="C194" i="1"/>
  <c r="E194" i="1"/>
  <c r="F194" i="1"/>
  <c r="G4082" i="1"/>
  <c r="H4082" i="1"/>
  <c r="D4082" i="1"/>
  <c r="A4082" i="1"/>
  <c r="C4082" i="1"/>
  <c r="E4082" i="1"/>
  <c r="F4082" i="1"/>
  <c r="G2160" i="1"/>
  <c r="H2160" i="1"/>
  <c r="D2160" i="1"/>
  <c r="A2160" i="1"/>
  <c r="C2160" i="1"/>
  <c r="E2160" i="1"/>
  <c r="F2160" i="1"/>
  <c r="G4953" i="1"/>
  <c r="H4953" i="1"/>
  <c r="D4953" i="1"/>
  <c r="A4953" i="1"/>
  <c r="C4953" i="1"/>
  <c r="E4953" i="1"/>
  <c r="F4953" i="1"/>
  <c r="G2087" i="1"/>
  <c r="H2087" i="1"/>
  <c r="D2087" i="1"/>
  <c r="A2087" i="1"/>
  <c r="C2087" i="1"/>
  <c r="E2087" i="1"/>
  <c r="F2087" i="1"/>
  <c r="G164" i="1"/>
  <c r="H164" i="1"/>
  <c r="D164" i="1"/>
  <c r="A164" i="1"/>
  <c r="C164" i="1"/>
  <c r="E164" i="1"/>
  <c r="F164" i="1"/>
  <c r="G971" i="1"/>
  <c r="H971" i="1"/>
  <c r="D971" i="1"/>
  <c r="A971" i="1"/>
  <c r="C971" i="1"/>
  <c r="E971" i="1"/>
  <c r="F971" i="1"/>
  <c r="G597" i="1"/>
  <c r="H597" i="1"/>
  <c r="D597" i="1"/>
  <c r="A597" i="1"/>
  <c r="C597" i="1"/>
  <c r="E597" i="1"/>
  <c r="F597" i="1"/>
  <c r="G761" i="1"/>
  <c r="H761" i="1"/>
  <c r="D761" i="1"/>
  <c r="A761" i="1"/>
  <c r="C761" i="1"/>
  <c r="E761" i="1"/>
  <c r="F761" i="1"/>
  <c r="G2991" i="1"/>
  <c r="H2991" i="1"/>
  <c r="D2991" i="1"/>
  <c r="A2991" i="1"/>
  <c r="C2991" i="1"/>
  <c r="E2991" i="1"/>
  <c r="F2991" i="1"/>
  <c r="G3023" i="1"/>
  <c r="H3023" i="1"/>
  <c r="D3023" i="1"/>
  <c r="A3023" i="1"/>
  <c r="C3023" i="1"/>
  <c r="E3023" i="1"/>
  <c r="F3023" i="1"/>
  <c r="G4000" i="1"/>
  <c r="H4000" i="1"/>
  <c r="D4000" i="1"/>
  <c r="A4000" i="1"/>
  <c r="C4000" i="1"/>
  <c r="E4000" i="1"/>
  <c r="F4000" i="1"/>
  <c r="G4088" i="1"/>
  <c r="H4088" i="1"/>
  <c r="D4088" i="1"/>
  <c r="A4088" i="1"/>
  <c r="C4088" i="1"/>
  <c r="E4088" i="1"/>
  <c r="F4088" i="1"/>
  <c r="G4773" i="1"/>
  <c r="H4773" i="1"/>
  <c r="D4773" i="1"/>
  <c r="A4773" i="1"/>
  <c r="C4773" i="1"/>
  <c r="E4773" i="1"/>
  <c r="F4773" i="1"/>
  <c r="G1219" i="1"/>
  <c r="H1219" i="1"/>
  <c r="D1219" i="1"/>
  <c r="A1219" i="1"/>
  <c r="C1219" i="1"/>
  <c r="E1219" i="1"/>
  <c r="F1219" i="1"/>
  <c r="G1864" i="1"/>
  <c r="H1864" i="1"/>
  <c r="D1864" i="1"/>
  <c r="A1864" i="1"/>
  <c r="C1864" i="1"/>
  <c r="E1864" i="1"/>
  <c r="F1864" i="1"/>
  <c r="G4609" i="1"/>
  <c r="H4609" i="1"/>
  <c r="D4609" i="1"/>
  <c r="A4609" i="1"/>
  <c r="C4609" i="1"/>
  <c r="E4609" i="1"/>
  <c r="F4609" i="1"/>
  <c r="G884" i="1"/>
  <c r="H884" i="1"/>
  <c r="D884" i="1"/>
  <c r="A884" i="1"/>
  <c r="C884" i="1"/>
  <c r="E884" i="1"/>
  <c r="F884" i="1"/>
  <c r="G4597" i="1"/>
  <c r="H4597" i="1"/>
  <c r="D4597" i="1"/>
  <c r="A4597" i="1"/>
  <c r="C4597" i="1"/>
  <c r="E4597" i="1"/>
  <c r="F4597" i="1"/>
  <c r="G2773" i="1"/>
  <c r="H2773" i="1"/>
  <c r="D2773" i="1"/>
  <c r="A2773" i="1"/>
  <c r="C2773" i="1"/>
  <c r="E2773" i="1"/>
  <c r="F2773" i="1"/>
  <c r="G4404" i="1"/>
  <c r="H4404" i="1"/>
  <c r="D4404" i="1"/>
  <c r="A4404" i="1"/>
  <c r="C4404" i="1"/>
  <c r="E4404" i="1"/>
  <c r="F4404" i="1"/>
  <c r="G3137" i="1"/>
  <c r="H3137" i="1"/>
  <c r="D3137" i="1"/>
  <c r="A3137" i="1"/>
  <c r="C3137" i="1"/>
  <c r="E3137" i="1"/>
  <c r="F3137" i="1"/>
  <c r="G4788" i="1"/>
  <c r="H4788" i="1"/>
  <c r="D4788" i="1"/>
  <c r="A4788" i="1"/>
  <c r="C4788" i="1"/>
  <c r="E4788" i="1"/>
  <c r="F4788" i="1"/>
  <c r="G4706" i="1"/>
  <c r="H4706" i="1"/>
  <c r="D4706" i="1"/>
  <c r="A4706" i="1"/>
  <c r="C4706" i="1"/>
  <c r="E4706" i="1"/>
  <c r="F4706" i="1"/>
  <c r="G3017" i="1"/>
  <c r="H3017" i="1"/>
  <c r="D3017" i="1"/>
  <c r="A3017" i="1"/>
  <c r="C3017" i="1"/>
  <c r="E3017" i="1"/>
  <c r="F3017" i="1"/>
  <c r="G535" i="1"/>
  <c r="H535" i="1"/>
  <c r="D535" i="1"/>
  <c r="A535" i="1"/>
  <c r="C535" i="1"/>
  <c r="E535" i="1"/>
  <c r="F535" i="1"/>
  <c r="G683" i="1"/>
  <c r="H683" i="1"/>
  <c r="D683" i="1"/>
  <c r="A683" i="1"/>
  <c r="C683" i="1"/>
  <c r="E683" i="1"/>
  <c r="F683" i="1"/>
  <c r="G1986" i="1"/>
  <c r="H1986" i="1"/>
  <c r="D1986" i="1"/>
  <c r="A1986" i="1"/>
  <c r="C1986" i="1"/>
  <c r="E1986" i="1"/>
  <c r="F1986" i="1"/>
  <c r="G4315" i="1"/>
  <c r="H4315" i="1"/>
  <c r="D4315" i="1"/>
  <c r="A4315" i="1"/>
  <c r="C4315" i="1"/>
  <c r="E4315" i="1"/>
  <c r="F4315" i="1"/>
  <c r="G2369" i="1"/>
  <c r="H2369" i="1"/>
  <c r="D2369" i="1"/>
  <c r="A2369" i="1"/>
  <c r="C2369" i="1"/>
  <c r="E2369" i="1"/>
  <c r="F2369" i="1"/>
  <c r="G4969" i="1"/>
  <c r="H4969" i="1"/>
  <c r="D4969" i="1"/>
  <c r="A4969" i="1"/>
  <c r="C4969" i="1"/>
  <c r="E4969" i="1"/>
  <c r="F4969" i="1"/>
  <c r="G2158" i="1"/>
  <c r="H2158" i="1"/>
  <c r="D2158" i="1"/>
  <c r="A2158" i="1"/>
  <c r="C2158" i="1"/>
  <c r="E2158" i="1"/>
  <c r="F2158" i="1"/>
  <c r="G364" i="1"/>
  <c r="H364" i="1"/>
  <c r="D364" i="1"/>
  <c r="A364" i="1"/>
  <c r="C364" i="1"/>
  <c r="E364" i="1"/>
  <c r="F364" i="1"/>
  <c r="G282" i="1"/>
  <c r="H282" i="1"/>
  <c r="D282" i="1"/>
  <c r="A282" i="1"/>
  <c r="C282" i="1"/>
  <c r="E282" i="1"/>
  <c r="F282" i="1"/>
  <c r="G4703" i="1"/>
  <c r="H4703" i="1"/>
  <c r="D4703" i="1"/>
  <c r="A4703" i="1"/>
  <c r="C4703" i="1"/>
  <c r="E4703" i="1"/>
  <c r="F4703" i="1"/>
  <c r="G4162" i="1"/>
  <c r="H4162" i="1"/>
  <c r="D4162" i="1"/>
  <c r="A4162" i="1"/>
  <c r="C4162" i="1"/>
  <c r="E4162" i="1"/>
  <c r="F4162" i="1"/>
  <c r="G4829" i="1"/>
  <c r="H4829" i="1"/>
  <c r="D4829" i="1"/>
  <c r="A4829" i="1"/>
  <c r="C4829" i="1"/>
  <c r="E4829" i="1"/>
  <c r="F4829" i="1"/>
  <c r="G943" i="1"/>
  <c r="H943" i="1"/>
  <c r="D943" i="1"/>
  <c r="A943" i="1"/>
  <c r="C943" i="1"/>
  <c r="E943" i="1"/>
  <c r="F943" i="1"/>
  <c r="G345" i="1"/>
  <c r="H345" i="1"/>
  <c r="D345" i="1"/>
  <c r="A345" i="1"/>
  <c r="C345" i="1"/>
  <c r="E345" i="1"/>
  <c r="F345" i="1"/>
  <c r="G3040" i="1"/>
  <c r="H3040" i="1"/>
  <c r="D3040" i="1"/>
  <c r="A3040" i="1"/>
  <c r="C3040" i="1"/>
  <c r="E3040" i="1"/>
  <c r="F3040" i="1"/>
  <c r="G4392" i="1"/>
  <c r="H4392" i="1"/>
  <c r="D4392" i="1"/>
  <c r="A4392" i="1"/>
  <c r="C4392" i="1"/>
  <c r="E4392" i="1"/>
  <c r="F4392" i="1"/>
  <c r="G2751" i="1"/>
  <c r="H2751" i="1"/>
  <c r="D2751" i="1"/>
  <c r="A2751" i="1"/>
  <c r="C2751" i="1"/>
  <c r="E2751" i="1"/>
  <c r="F2751" i="1"/>
  <c r="G1488" i="1"/>
  <c r="H1488" i="1"/>
  <c r="D1488" i="1"/>
  <c r="A1488" i="1"/>
  <c r="C1488" i="1"/>
  <c r="E1488" i="1"/>
  <c r="F1488" i="1"/>
  <c r="G4684" i="1"/>
  <c r="H4684" i="1"/>
  <c r="D4684" i="1"/>
  <c r="A4684" i="1"/>
  <c r="C4684" i="1"/>
  <c r="E4684" i="1"/>
  <c r="F4684" i="1"/>
  <c r="G1817" i="1"/>
  <c r="H1817" i="1"/>
  <c r="D1817" i="1"/>
  <c r="A1817" i="1"/>
  <c r="C1817" i="1"/>
  <c r="E1817" i="1"/>
  <c r="F1817" i="1"/>
  <c r="G3949" i="1"/>
  <c r="H3949" i="1"/>
  <c r="D3949" i="1"/>
  <c r="A3949" i="1"/>
  <c r="C3949" i="1"/>
  <c r="E3949" i="1"/>
  <c r="F3949" i="1"/>
  <c r="G4412" i="1"/>
  <c r="H4412" i="1"/>
  <c r="D4412" i="1"/>
  <c r="A4412" i="1"/>
  <c r="C4412" i="1"/>
  <c r="E4412" i="1"/>
  <c r="F4412" i="1"/>
  <c r="G4" i="1"/>
  <c r="H4" i="1"/>
  <c r="D4" i="1"/>
  <c r="A4" i="1"/>
  <c r="C4" i="1"/>
  <c r="E4" i="1"/>
  <c r="F4" i="1"/>
  <c r="G695" i="1"/>
  <c r="H695" i="1"/>
  <c r="D695" i="1"/>
  <c r="A695" i="1"/>
  <c r="C695" i="1"/>
  <c r="E695" i="1"/>
  <c r="F695" i="1"/>
  <c r="G3200" i="1"/>
  <c r="H3200" i="1"/>
  <c r="D3200" i="1"/>
  <c r="A3200" i="1"/>
  <c r="C3200" i="1"/>
  <c r="E3200" i="1"/>
  <c r="F3200" i="1"/>
  <c r="G4207" i="1"/>
  <c r="H4207" i="1"/>
  <c r="D4207" i="1"/>
  <c r="A4207" i="1"/>
  <c r="C4207" i="1"/>
  <c r="E4207" i="1"/>
  <c r="F4207" i="1"/>
  <c r="G4054" i="1"/>
  <c r="H4054" i="1"/>
  <c r="D4054" i="1"/>
  <c r="A4054" i="1"/>
  <c r="C4054" i="1"/>
  <c r="E4054" i="1"/>
  <c r="F4054" i="1"/>
  <c r="G38" i="1"/>
  <c r="H38" i="1"/>
  <c r="D38" i="1"/>
  <c r="A38" i="1"/>
  <c r="C38" i="1"/>
  <c r="E38" i="1"/>
  <c r="F38" i="1"/>
  <c r="G4288" i="1"/>
  <c r="H4288" i="1"/>
  <c r="D4288" i="1"/>
  <c r="A4288" i="1"/>
  <c r="C4288" i="1"/>
  <c r="E4288" i="1"/>
  <c r="F4288" i="1"/>
  <c r="G2428" i="1"/>
  <c r="H2428" i="1"/>
  <c r="D2428" i="1"/>
  <c r="A2428" i="1"/>
  <c r="C2428" i="1"/>
  <c r="E2428" i="1"/>
  <c r="F2428" i="1"/>
  <c r="G4322" i="1"/>
  <c r="H4322" i="1"/>
  <c r="D4322" i="1"/>
  <c r="A4322" i="1"/>
  <c r="C4322" i="1"/>
  <c r="E4322" i="1"/>
  <c r="F4322" i="1"/>
  <c r="G4064" i="1"/>
  <c r="H4064" i="1"/>
  <c r="D4064" i="1"/>
  <c r="A4064" i="1"/>
  <c r="C4064" i="1"/>
  <c r="E4064" i="1"/>
  <c r="F4064" i="1"/>
  <c r="G2101" i="1"/>
  <c r="H2101" i="1"/>
  <c r="D2101" i="1"/>
  <c r="A2101" i="1"/>
  <c r="C2101" i="1"/>
  <c r="E2101" i="1"/>
  <c r="F2101" i="1"/>
  <c r="G360" i="1"/>
  <c r="H360" i="1"/>
  <c r="D360" i="1"/>
  <c r="A360" i="1"/>
  <c r="C360" i="1"/>
  <c r="E360" i="1"/>
  <c r="F360" i="1"/>
  <c r="G1868" i="1"/>
  <c r="H1868" i="1"/>
  <c r="D1868" i="1"/>
  <c r="A1868" i="1"/>
  <c r="C1868" i="1"/>
  <c r="E1868" i="1"/>
  <c r="F1868" i="1"/>
  <c r="G3220" i="1"/>
  <c r="H3220" i="1"/>
  <c r="D3220" i="1"/>
  <c r="A3220" i="1"/>
  <c r="C3220" i="1"/>
  <c r="E3220" i="1"/>
  <c r="F3220" i="1"/>
  <c r="G2193" i="1"/>
  <c r="H2193" i="1"/>
  <c r="D2193" i="1"/>
  <c r="A2193" i="1"/>
  <c r="C2193" i="1"/>
  <c r="E2193" i="1"/>
  <c r="F2193" i="1"/>
  <c r="G3818" i="1"/>
  <c r="H3818" i="1"/>
  <c r="D3818" i="1"/>
  <c r="A3818" i="1"/>
  <c r="C3818" i="1"/>
  <c r="E3818" i="1"/>
  <c r="F3818" i="1"/>
  <c r="G5014" i="1"/>
  <c r="H5014" i="1"/>
  <c r="D5014" i="1"/>
  <c r="A5014" i="1"/>
  <c r="C5014" i="1"/>
  <c r="E5014" i="1"/>
  <c r="F5014" i="1"/>
  <c r="G3308" i="1"/>
  <c r="H3308" i="1"/>
  <c r="D3308" i="1"/>
  <c r="A3308" i="1"/>
  <c r="C3308" i="1"/>
  <c r="E3308" i="1"/>
  <c r="F3308" i="1"/>
  <c r="G3948" i="1"/>
  <c r="H3948" i="1"/>
  <c r="D3948" i="1"/>
  <c r="A3948" i="1"/>
  <c r="C3948" i="1"/>
  <c r="E3948" i="1"/>
  <c r="F3948" i="1"/>
  <c r="G2102" i="1"/>
  <c r="H2102" i="1"/>
  <c r="D2102" i="1"/>
  <c r="A2102" i="1"/>
  <c r="C2102" i="1"/>
  <c r="E2102" i="1"/>
  <c r="F2102" i="1"/>
  <c r="G97" i="1"/>
  <c r="H97" i="1"/>
  <c r="D97" i="1"/>
  <c r="A97" i="1"/>
  <c r="C97" i="1"/>
  <c r="E97" i="1"/>
  <c r="F97" i="1"/>
  <c r="G1370" i="1"/>
  <c r="H1370" i="1"/>
  <c r="D1370" i="1"/>
  <c r="A1370" i="1"/>
  <c r="C1370" i="1"/>
  <c r="E1370" i="1"/>
  <c r="F1370" i="1"/>
  <c r="G4240" i="1"/>
  <c r="H4240" i="1"/>
  <c r="D4240" i="1"/>
  <c r="A4240" i="1"/>
  <c r="C4240" i="1"/>
  <c r="E4240" i="1"/>
  <c r="F4240" i="1"/>
  <c r="G1979" i="1"/>
  <c r="H1979" i="1"/>
  <c r="D1979" i="1"/>
  <c r="A1979" i="1"/>
  <c r="C1979" i="1"/>
  <c r="E1979" i="1"/>
  <c r="F1979" i="1"/>
  <c r="G837" i="1"/>
  <c r="H837" i="1"/>
  <c r="D837" i="1"/>
  <c r="A837" i="1"/>
  <c r="C837" i="1"/>
  <c r="E837" i="1"/>
  <c r="F837" i="1"/>
  <c r="G2366" i="1"/>
  <c r="H2366" i="1"/>
  <c r="D2366" i="1"/>
  <c r="A2366" i="1"/>
  <c r="C2366" i="1"/>
  <c r="E2366" i="1"/>
  <c r="F2366" i="1"/>
  <c r="G344" i="1"/>
  <c r="H344" i="1"/>
  <c r="D344" i="1"/>
  <c r="A344" i="1"/>
  <c r="C344" i="1"/>
  <c r="E344" i="1"/>
  <c r="F344" i="1"/>
  <c r="G2430" i="1"/>
  <c r="H2430" i="1"/>
  <c r="D2430" i="1"/>
  <c r="A2430" i="1"/>
  <c r="C2430" i="1"/>
  <c r="E2430" i="1"/>
  <c r="F2430" i="1"/>
  <c r="G3170" i="1"/>
  <c r="H3170" i="1"/>
  <c r="D3170" i="1"/>
  <c r="A3170" i="1"/>
  <c r="C3170" i="1"/>
  <c r="E3170" i="1"/>
  <c r="F3170" i="1"/>
  <c r="G2920" i="1"/>
  <c r="H2920" i="1"/>
  <c r="D2920" i="1"/>
  <c r="A2920" i="1"/>
  <c r="C2920" i="1"/>
  <c r="E2920" i="1"/>
  <c r="F2920" i="1"/>
  <c r="G4811" i="1"/>
  <c r="H4811" i="1"/>
  <c r="D4811" i="1"/>
  <c r="A4811" i="1"/>
  <c r="C4811" i="1"/>
  <c r="E4811" i="1"/>
  <c r="F4811" i="1"/>
  <c r="G2674" i="1"/>
  <c r="H2674" i="1"/>
  <c r="D2674" i="1"/>
  <c r="A2674" i="1"/>
  <c r="C2674" i="1"/>
  <c r="E2674" i="1"/>
  <c r="F2674" i="1"/>
  <c r="G2910" i="1"/>
  <c r="H2910" i="1"/>
  <c r="D2910" i="1"/>
  <c r="A2910" i="1"/>
  <c r="C2910" i="1"/>
  <c r="E2910" i="1"/>
  <c r="F2910" i="1"/>
  <c r="G4532" i="1"/>
  <c r="H4532" i="1"/>
  <c r="D4532" i="1"/>
  <c r="A4532" i="1"/>
  <c r="C4532" i="1"/>
  <c r="E4532" i="1"/>
  <c r="F4532" i="1"/>
  <c r="G251" i="1"/>
  <c r="H251" i="1"/>
  <c r="D251" i="1"/>
  <c r="A251" i="1"/>
  <c r="C251" i="1"/>
  <c r="E251" i="1"/>
  <c r="F251" i="1"/>
  <c r="G3082" i="1"/>
  <c r="H3082" i="1"/>
  <c r="D3082" i="1"/>
  <c r="A3082" i="1"/>
  <c r="C3082" i="1"/>
  <c r="E3082" i="1"/>
  <c r="F3082" i="1"/>
  <c r="G3432" i="1"/>
  <c r="H3432" i="1"/>
  <c r="D3432" i="1"/>
  <c r="A3432" i="1"/>
  <c r="C3432" i="1"/>
  <c r="E3432" i="1"/>
  <c r="F3432" i="1"/>
  <c r="G1523" i="1"/>
  <c r="H1523" i="1"/>
  <c r="D1523" i="1"/>
  <c r="A1523" i="1"/>
  <c r="C1523" i="1"/>
  <c r="E1523" i="1"/>
  <c r="F1523" i="1"/>
  <c r="G3850" i="1"/>
  <c r="H3850" i="1"/>
  <c r="D3850" i="1"/>
  <c r="A3850" i="1"/>
  <c r="C3850" i="1"/>
  <c r="E3850" i="1"/>
  <c r="F3850" i="1"/>
  <c r="G497" i="1"/>
  <c r="H497" i="1"/>
  <c r="D497" i="1"/>
  <c r="A497" i="1"/>
  <c r="C497" i="1"/>
  <c r="E497" i="1"/>
  <c r="F497" i="1"/>
  <c r="G550" i="1"/>
  <c r="H550" i="1"/>
  <c r="D550" i="1"/>
  <c r="A550" i="1"/>
  <c r="C550" i="1"/>
  <c r="E550" i="1"/>
  <c r="F550" i="1"/>
  <c r="G4235" i="1"/>
  <c r="H4235" i="1"/>
  <c r="D4235" i="1"/>
  <c r="A4235" i="1"/>
  <c r="C4235" i="1"/>
  <c r="E4235" i="1"/>
  <c r="F4235" i="1"/>
  <c r="G4598" i="1"/>
  <c r="H4598" i="1"/>
  <c r="D4598" i="1"/>
  <c r="A4598" i="1"/>
  <c r="C4598" i="1"/>
  <c r="E4598" i="1"/>
  <c r="F4598" i="1"/>
  <c r="G549" i="1"/>
  <c r="H549" i="1"/>
  <c r="D549" i="1"/>
  <c r="A549" i="1"/>
  <c r="C549" i="1"/>
  <c r="E549" i="1"/>
  <c r="F549" i="1"/>
  <c r="G4540" i="1"/>
  <c r="H4540" i="1"/>
  <c r="D4540" i="1"/>
  <c r="A4540" i="1"/>
  <c r="C4540" i="1"/>
  <c r="E4540" i="1"/>
  <c r="F4540" i="1"/>
  <c r="G3318" i="1"/>
  <c r="H3318" i="1"/>
  <c r="D3318" i="1"/>
  <c r="A3318" i="1"/>
  <c r="C3318" i="1"/>
  <c r="E3318" i="1"/>
  <c r="F3318" i="1"/>
  <c r="G2109" i="1"/>
  <c r="H2109" i="1"/>
  <c r="D2109" i="1"/>
  <c r="A2109" i="1"/>
  <c r="C2109" i="1"/>
  <c r="E2109" i="1"/>
  <c r="F2109" i="1"/>
  <c r="G4886" i="1"/>
  <c r="H4886" i="1"/>
  <c r="D4886" i="1"/>
  <c r="A4886" i="1"/>
  <c r="C4886" i="1"/>
  <c r="E4886" i="1"/>
  <c r="F4886" i="1"/>
  <c r="G3675" i="1"/>
  <c r="H3675" i="1"/>
  <c r="D3675" i="1"/>
  <c r="A3675" i="1"/>
  <c r="C3675" i="1"/>
  <c r="E3675" i="1"/>
  <c r="F3675" i="1"/>
  <c r="G41" i="1"/>
  <c r="H41" i="1"/>
  <c r="D41" i="1"/>
  <c r="A41" i="1"/>
  <c r="C41" i="1"/>
  <c r="E41" i="1"/>
  <c r="F41" i="1"/>
  <c r="G1802" i="1"/>
  <c r="H1802" i="1"/>
  <c r="D1802" i="1"/>
  <c r="A1802" i="1"/>
  <c r="C1802" i="1"/>
  <c r="E1802" i="1"/>
  <c r="F1802" i="1"/>
  <c r="G4303" i="1"/>
  <c r="H4303" i="1"/>
  <c r="D4303" i="1"/>
  <c r="A4303" i="1"/>
  <c r="C4303" i="1"/>
  <c r="E4303" i="1"/>
  <c r="F4303" i="1"/>
  <c r="G2423" i="1"/>
  <c r="H2423" i="1"/>
  <c r="D2423" i="1"/>
  <c r="A2423" i="1"/>
  <c r="C2423" i="1"/>
  <c r="E2423" i="1"/>
  <c r="F2423" i="1"/>
  <c r="G2509" i="1"/>
  <c r="H2509" i="1"/>
  <c r="D2509" i="1"/>
  <c r="A2509" i="1"/>
  <c r="C2509" i="1"/>
  <c r="E2509" i="1"/>
  <c r="F2509" i="1"/>
  <c r="G2512" i="1"/>
  <c r="H2512" i="1"/>
  <c r="D2512" i="1"/>
  <c r="A2512" i="1"/>
  <c r="C2512" i="1"/>
  <c r="E2512" i="1"/>
  <c r="F2512" i="1"/>
  <c r="G2515" i="1"/>
  <c r="H2515" i="1"/>
  <c r="D2515" i="1"/>
  <c r="A2515" i="1"/>
  <c r="C2515" i="1"/>
  <c r="E2515" i="1"/>
  <c r="F2515" i="1"/>
  <c r="G1730" i="1"/>
  <c r="H1730" i="1"/>
  <c r="D1730" i="1"/>
  <c r="A1730" i="1"/>
  <c r="C1730" i="1"/>
  <c r="E1730" i="1"/>
  <c r="F1730" i="1"/>
  <c r="G3906" i="1"/>
  <c r="H3906" i="1"/>
  <c r="D3906" i="1"/>
  <c r="A3906" i="1"/>
  <c r="C3906" i="1"/>
  <c r="E3906" i="1"/>
  <c r="F3906" i="1"/>
  <c r="G4671" i="1"/>
  <c r="H4671" i="1"/>
  <c r="D4671" i="1"/>
  <c r="A4671" i="1"/>
  <c r="C4671" i="1"/>
  <c r="E4671" i="1"/>
  <c r="F4671" i="1"/>
  <c r="G3184" i="1"/>
  <c r="H3184" i="1"/>
  <c r="D3184" i="1"/>
  <c r="A3184" i="1"/>
  <c r="C3184" i="1"/>
  <c r="E3184" i="1"/>
  <c r="F3184" i="1"/>
  <c r="G2243" i="1"/>
  <c r="H2243" i="1"/>
  <c r="D2243" i="1"/>
  <c r="A2243" i="1"/>
  <c r="C2243" i="1"/>
  <c r="E2243" i="1"/>
  <c r="F2243" i="1"/>
  <c r="G5013" i="1"/>
  <c r="H5013" i="1"/>
  <c r="D5013" i="1"/>
  <c r="A5013" i="1"/>
  <c r="C5013" i="1"/>
  <c r="E5013" i="1"/>
  <c r="F5013" i="1"/>
  <c r="G4486" i="1"/>
  <c r="H4486" i="1"/>
  <c r="D4486" i="1"/>
  <c r="A4486" i="1"/>
  <c r="C4486" i="1"/>
  <c r="E4486" i="1"/>
  <c r="F4486" i="1"/>
  <c r="G2994" i="1"/>
  <c r="H2994" i="1"/>
  <c r="D2994" i="1"/>
  <c r="A2994" i="1"/>
  <c r="C2994" i="1"/>
  <c r="E2994" i="1"/>
  <c r="F2994" i="1"/>
  <c r="G1371" i="1"/>
  <c r="H1371" i="1"/>
  <c r="D1371" i="1"/>
  <c r="A1371" i="1"/>
  <c r="C1371" i="1"/>
  <c r="E1371" i="1"/>
  <c r="F1371" i="1"/>
  <c r="G2789" i="1"/>
  <c r="H2789" i="1"/>
  <c r="D2789" i="1"/>
  <c r="A2789" i="1"/>
  <c r="C2789" i="1"/>
  <c r="E2789" i="1"/>
  <c r="F2789" i="1"/>
  <c r="G4006" i="1"/>
  <c r="H4006" i="1"/>
  <c r="D4006" i="1"/>
  <c r="A4006" i="1"/>
  <c r="C4006" i="1"/>
  <c r="E4006" i="1"/>
  <c r="F4006" i="1"/>
  <c r="G44" i="1"/>
  <c r="H44" i="1"/>
  <c r="D44" i="1"/>
  <c r="A44" i="1"/>
  <c r="C44" i="1"/>
  <c r="E44" i="1"/>
  <c r="F44" i="1"/>
  <c r="G3602" i="1"/>
  <c r="H3602" i="1"/>
  <c r="D3602" i="1"/>
  <c r="A3602" i="1"/>
  <c r="C3602" i="1"/>
  <c r="E3602" i="1"/>
  <c r="F3602" i="1"/>
  <c r="G4784" i="1"/>
  <c r="H4784" i="1"/>
  <c r="D4784" i="1"/>
  <c r="A4784" i="1"/>
  <c r="C4784" i="1"/>
  <c r="E4784" i="1"/>
  <c r="F4784" i="1"/>
  <c r="G2200" i="1"/>
  <c r="H2200" i="1"/>
  <c r="D2200" i="1"/>
  <c r="A2200" i="1"/>
  <c r="C2200" i="1"/>
  <c r="E2200" i="1"/>
  <c r="F2200" i="1"/>
  <c r="G2203" i="1"/>
  <c r="H2203" i="1"/>
  <c r="D2203" i="1"/>
  <c r="A2203" i="1"/>
  <c r="C2203" i="1"/>
  <c r="E2203" i="1"/>
  <c r="F2203" i="1"/>
  <c r="G1165" i="1"/>
  <c r="H1165" i="1"/>
  <c r="D1165" i="1"/>
  <c r="A1165" i="1"/>
  <c r="C1165" i="1"/>
  <c r="E1165" i="1"/>
  <c r="F1165" i="1"/>
  <c r="G3261" i="1"/>
  <c r="H3261" i="1"/>
  <c r="D3261" i="1"/>
  <c r="A3261" i="1"/>
  <c r="C3261" i="1"/>
  <c r="E3261" i="1"/>
  <c r="F3261" i="1"/>
  <c r="G3240" i="1"/>
  <c r="H3240" i="1"/>
  <c r="D3240" i="1"/>
  <c r="A3240" i="1"/>
  <c r="C3240" i="1"/>
  <c r="E3240" i="1"/>
  <c r="F3240" i="1"/>
  <c r="G1464" i="1"/>
  <c r="H1464" i="1"/>
  <c r="D1464" i="1"/>
  <c r="A1464" i="1"/>
  <c r="C1464" i="1"/>
  <c r="E1464" i="1"/>
  <c r="F1464" i="1"/>
  <c r="G4466" i="1"/>
  <c r="H4466" i="1"/>
  <c r="D4466" i="1"/>
  <c r="A4466" i="1"/>
  <c r="C4466" i="1"/>
  <c r="E4466" i="1"/>
  <c r="F4466" i="1"/>
  <c r="G5021" i="1"/>
  <c r="H5021" i="1"/>
  <c r="D5021" i="1"/>
  <c r="A5021" i="1"/>
  <c r="C5021" i="1"/>
  <c r="E5021" i="1"/>
  <c r="F5021" i="1"/>
  <c r="G4679" i="1"/>
  <c r="H4679" i="1"/>
  <c r="D4679" i="1"/>
  <c r="A4679" i="1"/>
  <c r="C4679" i="1"/>
  <c r="E4679" i="1"/>
  <c r="F4679" i="1"/>
  <c r="G3717" i="1"/>
  <c r="H3717" i="1"/>
  <c r="D3717" i="1"/>
  <c r="A3717" i="1"/>
  <c r="C3717" i="1"/>
  <c r="E3717" i="1"/>
  <c r="F3717" i="1"/>
  <c r="G1922" i="1"/>
  <c r="H1922" i="1"/>
  <c r="D1922" i="1"/>
  <c r="A1922" i="1"/>
  <c r="C1922" i="1"/>
  <c r="E1922" i="1"/>
  <c r="F1922" i="1"/>
  <c r="G605" i="1"/>
  <c r="H605" i="1"/>
  <c r="D605" i="1"/>
  <c r="A605" i="1"/>
  <c r="C605" i="1"/>
  <c r="E605" i="1"/>
  <c r="F605" i="1"/>
  <c r="G1434" i="1"/>
  <c r="H1434" i="1"/>
  <c r="D1434" i="1"/>
  <c r="A1434" i="1"/>
  <c r="C1434" i="1"/>
  <c r="E1434" i="1"/>
  <c r="F1434" i="1"/>
  <c r="G3066" i="1"/>
  <c r="H3066" i="1"/>
  <c r="D3066" i="1"/>
  <c r="A3066" i="1"/>
  <c r="C3066" i="1"/>
  <c r="E3066" i="1"/>
  <c r="F3066" i="1"/>
  <c r="G359" i="1"/>
  <c r="H359" i="1"/>
  <c r="D359" i="1"/>
  <c r="A359" i="1"/>
  <c r="C359" i="1"/>
  <c r="E359" i="1"/>
  <c r="F359" i="1"/>
  <c r="G1731" i="1"/>
  <c r="H1731" i="1"/>
  <c r="D1731" i="1"/>
  <c r="A1731" i="1"/>
  <c r="C1731" i="1"/>
  <c r="E1731" i="1"/>
  <c r="F1731" i="1"/>
  <c r="G3339" i="1"/>
  <c r="H3339" i="1"/>
  <c r="D3339" i="1"/>
  <c r="A3339" i="1"/>
  <c r="C3339" i="1"/>
  <c r="E3339" i="1"/>
  <c r="F3339" i="1"/>
  <c r="G3641" i="1"/>
  <c r="H3641" i="1"/>
  <c r="D3641" i="1"/>
  <c r="A3641" i="1"/>
  <c r="C3641" i="1"/>
  <c r="E3641" i="1"/>
  <c r="F3641" i="1"/>
  <c r="G933" i="1"/>
  <c r="H933" i="1"/>
  <c r="D933" i="1"/>
  <c r="A933" i="1"/>
  <c r="C933" i="1"/>
  <c r="E933" i="1"/>
  <c r="F933" i="1"/>
  <c r="G3652" i="1"/>
  <c r="H3652" i="1"/>
  <c r="D3652" i="1"/>
  <c r="A3652" i="1"/>
  <c r="C3652" i="1"/>
  <c r="E3652" i="1"/>
  <c r="F3652" i="1"/>
  <c r="G2461" i="1"/>
  <c r="H2461" i="1"/>
  <c r="D2461" i="1"/>
  <c r="A2461" i="1"/>
  <c r="C2461" i="1"/>
  <c r="E2461" i="1"/>
  <c r="F2461" i="1"/>
  <c r="G2485" i="1"/>
  <c r="H2485" i="1"/>
  <c r="D2485" i="1"/>
  <c r="A2485" i="1"/>
  <c r="C2485" i="1"/>
  <c r="E2485" i="1"/>
  <c r="F2485" i="1"/>
  <c r="G4508" i="1"/>
  <c r="H4508" i="1"/>
  <c r="D4508" i="1"/>
  <c r="A4508" i="1"/>
  <c r="C4508" i="1"/>
  <c r="E4508" i="1"/>
  <c r="F4508" i="1"/>
  <c r="G4379" i="1"/>
  <c r="H4379" i="1"/>
  <c r="D4379" i="1"/>
  <c r="A4379" i="1"/>
  <c r="C4379" i="1"/>
  <c r="E4379" i="1"/>
  <c r="F4379" i="1"/>
  <c r="G4307" i="1"/>
  <c r="H4307" i="1"/>
  <c r="D4307" i="1"/>
  <c r="A4307" i="1"/>
  <c r="C4307" i="1"/>
  <c r="E4307" i="1"/>
  <c r="F4307" i="1"/>
  <c r="G2560" i="1"/>
  <c r="H2560" i="1"/>
  <c r="D2560" i="1"/>
  <c r="A2560" i="1"/>
  <c r="C2560" i="1"/>
  <c r="E2560" i="1"/>
  <c r="F2560" i="1"/>
  <c r="G3438" i="1"/>
  <c r="H3438" i="1"/>
  <c r="D3438" i="1"/>
  <c r="A3438" i="1"/>
  <c r="C3438" i="1"/>
  <c r="E3438" i="1"/>
  <c r="F3438" i="1"/>
  <c r="G1439" i="1"/>
  <c r="H1439" i="1"/>
  <c r="D1439" i="1"/>
  <c r="A1439" i="1"/>
  <c r="C1439" i="1"/>
  <c r="E1439" i="1"/>
  <c r="F1439" i="1"/>
  <c r="G2946" i="1"/>
  <c r="H2946" i="1"/>
  <c r="D2946" i="1"/>
  <c r="A2946" i="1"/>
  <c r="C2946" i="1"/>
  <c r="E2946" i="1"/>
  <c r="F2946" i="1"/>
  <c r="G45" i="1"/>
  <c r="H45" i="1"/>
  <c r="D45" i="1"/>
  <c r="A45" i="1"/>
  <c r="C45" i="1"/>
  <c r="E45" i="1"/>
  <c r="F45" i="1"/>
  <c r="G3077" i="1"/>
  <c r="H3077" i="1"/>
  <c r="D3077" i="1"/>
  <c r="A3077" i="1"/>
  <c r="C3077" i="1"/>
  <c r="E3077" i="1"/>
  <c r="F3077" i="1"/>
  <c r="G2660" i="1"/>
  <c r="H2660" i="1"/>
  <c r="D2660" i="1"/>
  <c r="A2660" i="1"/>
  <c r="C2660" i="1"/>
  <c r="E2660" i="1"/>
  <c r="F2660" i="1"/>
  <c r="G246" i="1"/>
  <c r="H246" i="1"/>
  <c r="D246" i="1"/>
  <c r="A246" i="1"/>
  <c r="C246" i="1"/>
  <c r="E246" i="1"/>
  <c r="F246" i="1"/>
  <c r="G46" i="1"/>
  <c r="H46" i="1"/>
  <c r="D46" i="1"/>
  <c r="A46" i="1"/>
  <c r="C46" i="1"/>
  <c r="E46" i="1"/>
  <c r="F46" i="1"/>
  <c r="G2659" i="1"/>
  <c r="H2659" i="1"/>
  <c r="D2659" i="1"/>
  <c r="A2659" i="1"/>
  <c r="C2659" i="1"/>
  <c r="E2659" i="1"/>
  <c r="F2659" i="1"/>
  <c r="G2081" i="1"/>
  <c r="H2081" i="1"/>
  <c r="D2081" i="1"/>
  <c r="A2081" i="1"/>
  <c r="C2081" i="1"/>
  <c r="E2081" i="1"/>
  <c r="F2081" i="1"/>
  <c r="G551" i="1"/>
  <c r="H551" i="1"/>
  <c r="D551" i="1"/>
  <c r="A551" i="1"/>
  <c r="C551" i="1"/>
  <c r="E551" i="1"/>
  <c r="F551" i="1"/>
  <c r="G3978" i="1"/>
  <c r="H3978" i="1"/>
  <c r="D3978" i="1"/>
  <c r="A3978" i="1"/>
  <c r="C3978" i="1"/>
  <c r="E3978" i="1"/>
  <c r="F3978" i="1"/>
  <c r="G1425" i="1"/>
  <c r="H1425" i="1"/>
  <c r="D1425" i="1"/>
  <c r="A1425" i="1"/>
  <c r="C1425" i="1"/>
  <c r="E1425" i="1"/>
  <c r="F1425" i="1"/>
  <c r="G5060" i="1"/>
  <c r="H5060" i="1"/>
  <c r="D5060" i="1"/>
  <c r="A5060" i="1"/>
  <c r="C5060" i="1"/>
  <c r="E5060" i="1"/>
  <c r="F5060" i="1"/>
  <c r="G2661" i="1"/>
  <c r="H2661" i="1"/>
  <c r="D2661" i="1"/>
  <c r="A2661" i="1"/>
  <c r="C2661" i="1"/>
  <c r="E2661" i="1"/>
  <c r="F2661" i="1"/>
  <c r="G3936" i="1"/>
  <c r="H3936" i="1"/>
  <c r="D3936" i="1"/>
  <c r="A3936" i="1"/>
  <c r="C3936" i="1"/>
  <c r="E3936" i="1"/>
  <c r="F3936" i="1"/>
  <c r="G4453" i="1"/>
  <c r="H4453" i="1"/>
  <c r="D4453" i="1"/>
  <c r="A4453" i="1"/>
  <c r="C4453" i="1"/>
  <c r="E4453" i="1"/>
  <c r="F4453" i="1"/>
  <c r="G1293" i="1"/>
  <c r="H1293" i="1"/>
  <c r="D1293" i="1"/>
  <c r="A1293" i="1"/>
  <c r="C1293" i="1"/>
  <c r="E1293" i="1"/>
  <c r="F1293" i="1"/>
  <c r="G5019" i="1"/>
  <c r="H5019" i="1"/>
  <c r="D5019" i="1"/>
  <c r="A5019" i="1"/>
  <c r="C5019" i="1"/>
  <c r="E5019" i="1"/>
  <c r="F5019" i="1"/>
  <c r="G967" i="1"/>
  <c r="H967" i="1"/>
  <c r="D967" i="1"/>
  <c r="A967" i="1"/>
  <c r="C967" i="1"/>
  <c r="E967" i="1"/>
  <c r="F967" i="1"/>
  <c r="G431" i="1"/>
  <c r="H431" i="1"/>
  <c r="D431" i="1"/>
  <c r="A431" i="1"/>
  <c r="C431" i="1"/>
  <c r="E431" i="1"/>
  <c r="F431" i="1"/>
  <c r="G4131" i="1"/>
  <c r="H4131" i="1"/>
  <c r="D4131" i="1"/>
  <c r="A4131" i="1"/>
  <c r="C4131" i="1"/>
  <c r="E4131" i="1"/>
  <c r="F4131" i="1"/>
  <c r="G3643" i="1"/>
  <c r="H3643" i="1"/>
  <c r="D3643" i="1"/>
  <c r="A3643" i="1"/>
  <c r="C3643" i="1"/>
  <c r="E3643" i="1"/>
  <c r="F3643" i="1"/>
  <c r="G3058" i="1"/>
  <c r="H3058" i="1"/>
  <c r="D3058" i="1"/>
  <c r="A3058" i="1"/>
  <c r="C3058" i="1"/>
  <c r="E3058" i="1"/>
  <c r="F3058" i="1"/>
  <c r="G4309" i="1"/>
  <c r="H4309" i="1"/>
  <c r="D4309" i="1"/>
  <c r="A4309" i="1"/>
  <c r="C4309" i="1"/>
  <c r="E4309" i="1"/>
  <c r="F4309" i="1"/>
  <c r="G3035" i="1"/>
  <c r="H3035" i="1"/>
  <c r="D3035" i="1"/>
  <c r="A3035" i="1"/>
  <c r="C3035" i="1"/>
  <c r="E3035" i="1"/>
  <c r="F3035" i="1"/>
  <c r="G329" i="1"/>
  <c r="H329" i="1"/>
  <c r="D329" i="1"/>
  <c r="A329" i="1"/>
  <c r="C329" i="1"/>
  <c r="E329" i="1"/>
  <c r="F329" i="1"/>
  <c r="G1589" i="1"/>
  <c r="H1589" i="1"/>
  <c r="D1589" i="1"/>
  <c r="A1589" i="1"/>
  <c r="C1589" i="1"/>
  <c r="E1589" i="1"/>
  <c r="F1589" i="1"/>
  <c r="G1791" i="1"/>
  <c r="H1791" i="1"/>
  <c r="D1791" i="1"/>
  <c r="A1791" i="1"/>
  <c r="C1791" i="1"/>
  <c r="E1791" i="1"/>
  <c r="F1791" i="1"/>
  <c r="G32" i="1"/>
  <c r="H32" i="1"/>
  <c r="D32" i="1"/>
  <c r="A32" i="1"/>
  <c r="C32" i="1"/>
  <c r="E32" i="1"/>
  <c r="F32" i="1"/>
  <c r="G1728" i="1"/>
  <c r="H1728" i="1"/>
  <c r="D1728" i="1"/>
  <c r="A1728" i="1"/>
  <c r="C1728" i="1"/>
  <c r="E1728" i="1"/>
  <c r="F1728" i="1"/>
  <c r="G2385" i="1"/>
  <c r="H2385" i="1"/>
  <c r="D2385" i="1"/>
  <c r="A2385" i="1"/>
  <c r="C2385" i="1"/>
  <c r="E2385" i="1"/>
  <c r="F2385" i="1"/>
  <c r="G4003" i="1"/>
  <c r="H4003" i="1"/>
  <c r="D4003" i="1"/>
  <c r="A4003" i="1"/>
  <c r="C4003" i="1"/>
  <c r="E4003" i="1"/>
  <c r="F4003" i="1"/>
  <c r="G387" i="1"/>
  <c r="H387" i="1"/>
  <c r="D387" i="1"/>
  <c r="A387" i="1"/>
  <c r="C387" i="1"/>
  <c r="E387" i="1"/>
  <c r="F387" i="1"/>
  <c r="G4080" i="1"/>
  <c r="H4080" i="1"/>
  <c r="D4080" i="1"/>
  <c r="A4080" i="1"/>
  <c r="C4080" i="1"/>
  <c r="E4080" i="1"/>
  <c r="F4080" i="1"/>
  <c r="G673" i="1"/>
  <c r="H673" i="1"/>
  <c r="D673" i="1"/>
  <c r="A673" i="1"/>
  <c r="C673" i="1"/>
  <c r="E673" i="1"/>
  <c r="F673" i="1"/>
  <c r="G3001" i="1"/>
  <c r="H3001" i="1"/>
  <c r="D3001" i="1"/>
  <c r="A3001" i="1"/>
  <c r="C3001" i="1"/>
  <c r="E3001" i="1"/>
  <c r="F3001" i="1"/>
  <c r="G493" i="1"/>
  <c r="H493" i="1"/>
  <c r="D493" i="1"/>
  <c r="A493" i="1"/>
  <c r="C493" i="1"/>
  <c r="E493" i="1"/>
  <c r="F493" i="1"/>
  <c r="G4063" i="1"/>
  <c r="H4063" i="1"/>
  <c r="D4063" i="1"/>
  <c r="A4063" i="1"/>
  <c r="C4063" i="1"/>
  <c r="E4063" i="1"/>
  <c r="F4063" i="1"/>
  <c r="G4615" i="1"/>
  <c r="H4615" i="1"/>
  <c r="D4615" i="1"/>
  <c r="A4615" i="1"/>
  <c r="C4615" i="1"/>
  <c r="E4615" i="1"/>
  <c r="F4615" i="1"/>
  <c r="G4313" i="1"/>
  <c r="H4313" i="1"/>
  <c r="D4313" i="1"/>
  <c r="A4313" i="1"/>
  <c r="C4313" i="1"/>
  <c r="E4313" i="1"/>
  <c r="F4313" i="1"/>
  <c r="G3674" i="1"/>
  <c r="H3674" i="1"/>
  <c r="D3674" i="1"/>
  <c r="A3674" i="1"/>
  <c r="C3674" i="1"/>
  <c r="E3674" i="1"/>
  <c r="F3674" i="1"/>
  <c r="G2637" i="1"/>
  <c r="H2637" i="1"/>
  <c r="D2637" i="1"/>
  <c r="A2637" i="1"/>
  <c r="C2637" i="1"/>
  <c r="E2637" i="1"/>
  <c r="F2637" i="1"/>
  <c r="G4495" i="1"/>
  <c r="H4495" i="1"/>
  <c r="D4495" i="1"/>
  <c r="A4495" i="1"/>
  <c r="C4495" i="1"/>
  <c r="E4495" i="1"/>
  <c r="F4495" i="1"/>
  <c r="G5059" i="1"/>
  <c r="H5059" i="1"/>
  <c r="D5059" i="1"/>
  <c r="A5059" i="1"/>
  <c r="C5059" i="1"/>
  <c r="E5059" i="1"/>
  <c r="F5059" i="1"/>
  <c r="G4037" i="1"/>
  <c r="H4037" i="1"/>
  <c r="D4037" i="1"/>
  <c r="A4037" i="1"/>
  <c r="C4037" i="1"/>
  <c r="E4037" i="1"/>
  <c r="F4037" i="1"/>
  <c r="G2812" i="1"/>
  <c r="H2812" i="1"/>
  <c r="D2812" i="1"/>
  <c r="A2812" i="1"/>
  <c r="C2812" i="1"/>
  <c r="E2812" i="1"/>
  <c r="F2812" i="1"/>
  <c r="G2827" i="1"/>
  <c r="H2827" i="1"/>
  <c r="D2827" i="1"/>
  <c r="A2827" i="1"/>
  <c r="C2827" i="1"/>
  <c r="E2827" i="1"/>
  <c r="F2827" i="1"/>
  <c r="G2407" i="1"/>
  <c r="H2407" i="1"/>
  <c r="D2407" i="1"/>
  <c r="A2407" i="1"/>
  <c r="C2407" i="1"/>
  <c r="E2407" i="1"/>
  <c r="F2407" i="1"/>
  <c r="G1025" i="1"/>
  <c r="H1025" i="1"/>
  <c r="D1025" i="1"/>
  <c r="A1025" i="1"/>
  <c r="C1025" i="1"/>
  <c r="E1025" i="1"/>
  <c r="F1025" i="1"/>
  <c r="G1465" i="1"/>
  <c r="H1465" i="1"/>
  <c r="D1465" i="1"/>
  <c r="A1465" i="1"/>
  <c r="C1465" i="1"/>
  <c r="E1465" i="1"/>
  <c r="F1465" i="1"/>
  <c r="G4219" i="1"/>
  <c r="H4219" i="1"/>
  <c r="D4219" i="1"/>
  <c r="A4219" i="1"/>
  <c r="C4219" i="1"/>
  <c r="E4219" i="1"/>
  <c r="F4219" i="1"/>
  <c r="G807" i="1"/>
  <c r="H807" i="1"/>
  <c r="D807" i="1"/>
  <c r="A807" i="1"/>
  <c r="C807" i="1"/>
  <c r="E807" i="1"/>
  <c r="F807" i="1"/>
  <c r="G199" i="1"/>
  <c r="H199" i="1"/>
  <c r="D199" i="1"/>
  <c r="A199" i="1"/>
  <c r="C199" i="1"/>
  <c r="E199" i="1"/>
  <c r="F199" i="1"/>
  <c r="G1925" i="1"/>
  <c r="H1925" i="1"/>
  <c r="D1925" i="1"/>
  <c r="A1925" i="1"/>
  <c r="C1925" i="1"/>
  <c r="E1925" i="1"/>
  <c r="F1925" i="1"/>
  <c r="G2627" i="1"/>
  <c r="H2627" i="1"/>
  <c r="D2627" i="1"/>
  <c r="A2627" i="1"/>
  <c r="C2627" i="1"/>
  <c r="E2627" i="1"/>
  <c r="F2627" i="1"/>
  <c r="G2961" i="1"/>
  <c r="H2961" i="1"/>
  <c r="D2961" i="1"/>
  <c r="A2961" i="1"/>
  <c r="C2961" i="1"/>
  <c r="E2961" i="1"/>
  <c r="F2961" i="1"/>
  <c r="G1021" i="1"/>
  <c r="H1021" i="1"/>
  <c r="D1021" i="1"/>
  <c r="A1021" i="1"/>
  <c r="C1021" i="1"/>
  <c r="E1021" i="1"/>
  <c r="F1021" i="1"/>
  <c r="G2150" i="1"/>
  <c r="H2150" i="1"/>
  <c r="D2150" i="1"/>
  <c r="A2150" i="1"/>
  <c r="C2150" i="1"/>
  <c r="E2150" i="1"/>
  <c r="F2150" i="1"/>
  <c r="G2324" i="1"/>
  <c r="H2324" i="1"/>
  <c r="D2324" i="1"/>
  <c r="A2324" i="1"/>
  <c r="C2324" i="1"/>
  <c r="E2324" i="1"/>
  <c r="F2324" i="1"/>
  <c r="G2201" i="1"/>
  <c r="H2201" i="1"/>
  <c r="D2201" i="1"/>
  <c r="A2201" i="1"/>
  <c r="C2201" i="1"/>
  <c r="E2201" i="1"/>
  <c r="F2201" i="1"/>
  <c r="G3896" i="1"/>
  <c r="H3896" i="1"/>
  <c r="D3896" i="1"/>
  <c r="A3896" i="1"/>
  <c r="C3896" i="1"/>
  <c r="E3896" i="1"/>
  <c r="F3896" i="1"/>
  <c r="G1055" i="1"/>
  <c r="H1055" i="1"/>
  <c r="D1055" i="1"/>
  <c r="A1055" i="1"/>
  <c r="C1055" i="1"/>
  <c r="E1055" i="1"/>
  <c r="F1055" i="1"/>
  <c r="G1315" i="1"/>
  <c r="H1315" i="1"/>
  <c r="D1315" i="1"/>
  <c r="A1315" i="1"/>
  <c r="C1315" i="1"/>
  <c r="E1315" i="1"/>
  <c r="F1315" i="1"/>
  <c r="G13" i="1"/>
  <c r="H13" i="1"/>
  <c r="D13" i="1"/>
  <c r="A13" i="1"/>
  <c r="C13" i="1"/>
  <c r="E13" i="1"/>
  <c r="F13" i="1"/>
  <c r="G4378" i="1"/>
  <c r="H4378" i="1"/>
  <c r="D4378" i="1"/>
  <c r="A4378" i="1"/>
  <c r="C4378" i="1"/>
  <c r="E4378" i="1"/>
  <c r="F4378" i="1"/>
  <c r="G5036" i="1"/>
  <c r="H5036" i="1"/>
  <c r="D5036" i="1"/>
  <c r="A5036" i="1"/>
  <c r="C5036" i="1"/>
  <c r="E5036" i="1"/>
  <c r="F5036" i="1"/>
  <c r="G1824" i="1"/>
  <c r="H1824" i="1"/>
  <c r="D1824" i="1"/>
  <c r="A1824" i="1"/>
  <c r="C1824" i="1"/>
  <c r="E1824" i="1"/>
  <c r="F1824" i="1"/>
  <c r="G4490" i="1"/>
  <c r="H4490" i="1"/>
  <c r="D4490" i="1"/>
  <c r="A4490" i="1"/>
  <c r="C4490" i="1"/>
  <c r="E4490" i="1"/>
  <c r="F4490" i="1"/>
  <c r="G648" i="1"/>
  <c r="H648" i="1"/>
  <c r="D648" i="1"/>
  <c r="A648" i="1"/>
  <c r="C648" i="1"/>
  <c r="E648" i="1"/>
  <c r="F648" i="1"/>
  <c r="G3775" i="1"/>
  <c r="H3775" i="1"/>
  <c r="D3775" i="1"/>
  <c r="A3775" i="1"/>
  <c r="C3775" i="1"/>
  <c r="E3775" i="1"/>
  <c r="F3775" i="1"/>
  <c r="G2117" i="1"/>
  <c r="H2117" i="1"/>
  <c r="D2117" i="1"/>
  <c r="A2117" i="1"/>
  <c r="C2117" i="1"/>
  <c r="E2117" i="1"/>
  <c r="F2117" i="1"/>
  <c r="G4368" i="1"/>
  <c r="H4368" i="1"/>
  <c r="D4368" i="1"/>
  <c r="A4368" i="1"/>
  <c r="C4368" i="1"/>
  <c r="E4368" i="1"/>
  <c r="F4368" i="1"/>
  <c r="G3203" i="1"/>
  <c r="H3203" i="1"/>
  <c r="D3203" i="1"/>
  <c r="A3203" i="1"/>
  <c r="C3203" i="1"/>
  <c r="E3203" i="1"/>
  <c r="F3203" i="1"/>
  <c r="G877" i="1"/>
  <c r="H877" i="1"/>
  <c r="D877" i="1"/>
  <c r="A877" i="1"/>
  <c r="C877" i="1"/>
  <c r="E877" i="1"/>
  <c r="F877" i="1"/>
  <c r="G4620" i="1"/>
  <c r="H4620" i="1"/>
  <c r="D4620" i="1"/>
  <c r="A4620" i="1"/>
  <c r="C4620" i="1"/>
  <c r="E4620" i="1"/>
  <c r="F4620" i="1"/>
  <c r="G3195" i="1"/>
  <c r="H3195" i="1"/>
  <c r="D3195" i="1"/>
  <c r="A3195" i="1"/>
  <c r="C3195" i="1"/>
  <c r="E3195" i="1"/>
  <c r="F3195" i="1"/>
  <c r="G1977" i="1"/>
  <c r="H1977" i="1"/>
  <c r="D1977" i="1"/>
  <c r="A1977" i="1"/>
  <c r="C1977" i="1"/>
  <c r="E1977" i="1"/>
  <c r="F1977" i="1"/>
  <c r="G2274" i="1"/>
  <c r="H2274" i="1"/>
  <c r="D2274" i="1"/>
  <c r="A2274" i="1"/>
  <c r="C2274" i="1"/>
  <c r="E2274" i="1"/>
  <c r="F2274" i="1"/>
  <c r="G4488" i="1"/>
  <c r="H4488" i="1"/>
  <c r="D4488" i="1"/>
  <c r="A4488" i="1"/>
  <c r="C4488" i="1"/>
  <c r="E4488" i="1"/>
  <c r="F4488" i="1"/>
  <c r="G1706" i="1"/>
  <c r="H1706" i="1"/>
  <c r="D1706" i="1"/>
  <c r="A1706" i="1"/>
  <c r="C1706" i="1"/>
  <c r="E1706" i="1"/>
  <c r="F1706" i="1"/>
  <c r="G2116" i="1"/>
  <c r="H2116" i="1"/>
  <c r="D2116" i="1"/>
  <c r="A2116" i="1"/>
  <c r="C2116" i="1"/>
  <c r="E2116" i="1"/>
  <c r="F2116" i="1"/>
  <c r="G1360" i="1"/>
  <c r="H1360" i="1"/>
  <c r="D1360" i="1"/>
  <c r="A1360" i="1"/>
  <c r="C1360" i="1"/>
  <c r="E1360" i="1"/>
  <c r="F1360" i="1"/>
  <c r="G2866" i="1"/>
  <c r="H2866" i="1"/>
  <c r="D2866" i="1"/>
  <c r="A2866" i="1"/>
  <c r="C2866" i="1"/>
  <c r="E2866" i="1"/>
  <c r="F2866" i="1"/>
  <c r="G795" i="1"/>
  <c r="H795" i="1"/>
  <c r="D795" i="1"/>
  <c r="A795" i="1"/>
  <c r="C795" i="1"/>
  <c r="E795" i="1"/>
  <c r="F795" i="1"/>
  <c r="G796" i="1"/>
  <c r="H796" i="1"/>
  <c r="D796" i="1"/>
  <c r="A796" i="1"/>
  <c r="C796" i="1"/>
  <c r="E796" i="1"/>
  <c r="F796" i="1"/>
  <c r="G514" i="1"/>
  <c r="H514" i="1"/>
  <c r="D514" i="1"/>
  <c r="A514" i="1"/>
  <c r="C514" i="1"/>
  <c r="E514" i="1"/>
  <c r="F514" i="1"/>
  <c r="G2684" i="1"/>
  <c r="H2684" i="1"/>
  <c r="D2684" i="1"/>
  <c r="A2684" i="1"/>
  <c r="C2684" i="1"/>
  <c r="E2684" i="1"/>
  <c r="F2684" i="1"/>
  <c r="G4055" i="1"/>
  <c r="H4055" i="1"/>
  <c r="D4055" i="1"/>
  <c r="A4055" i="1"/>
  <c r="C4055" i="1"/>
  <c r="E4055" i="1"/>
  <c r="F4055" i="1"/>
  <c r="G322" i="1"/>
  <c r="H322" i="1"/>
  <c r="D322" i="1"/>
  <c r="A322" i="1"/>
  <c r="C322" i="1"/>
  <c r="E322" i="1"/>
  <c r="F322" i="1"/>
  <c r="G991" i="1"/>
  <c r="H991" i="1"/>
  <c r="D991" i="1"/>
  <c r="A991" i="1"/>
  <c r="C991" i="1"/>
  <c r="E991" i="1"/>
  <c r="F991" i="1"/>
  <c r="G4842" i="1"/>
  <c r="H4842" i="1"/>
  <c r="D4842" i="1"/>
  <c r="A4842" i="1"/>
  <c r="C4842" i="1"/>
  <c r="E4842" i="1"/>
  <c r="F4842" i="1"/>
  <c r="G3831" i="1"/>
  <c r="H3831" i="1"/>
  <c r="D3831" i="1"/>
  <c r="A3831" i="1"/>
  <c r="C3831" i="1"/>
  <c r="E3831" i="1"/>
  <c r="F3831" i="1"/>
  <c r="G231" i="1"/>
  <c r="H231" i="1"/>
  <c r="D231" i="1"/>
  <c r="A231" i="1"/>
  <c r="C231" i="1"/>
  <c r="E231" i="1"/>
  <c r="F231" i="1"/>
  <c r="G3986" i="1"/>
  <c r="H3986" i="1"/>
  <c r="D3986" i="1"/>
  <c r="A3986" i="1"/>
  <c r="C3986" i="1"/>
  <c r="E3986" i="1"/>
  <c r="F3986" i="1"/>
  <c r="G3854" i="1"/>
  <c r="H3854" i="1"/>
  <c r="D3854" i="1"/>
  <c r="A3854" i="1"/>
  <c r="C3854" i="1"/>
  <c r="E3854" i="1"/>
  <c r="F3854" i="1"/>
  <c r="G153" i="1"/>
  <c r="H153" i="1"/>
  <c r="D153" i="1"/>
  <c r="A153" i="1"/>
  <c r="C153" i="1"/>
  <c r="E153" i="1"/>
  <c r="F153" i="1"/>
  <c r="G2926" i="1"/>
  <c r="H2926" i="1"/>
  <c r="D2926" i="1"/>
  <c r="A2926" i="1"/>
  <c r="C2926" i="1"/>
  <c r="E2926" i="1"/>
  <c r="F2926" i="1"/>
  <c r="G1981" i="1"/>
  <c r="H1981" i="1"/>
  <c r="D1981" i="1"/>
  <c r="A1981" i="1"/>
  <c r="C1981" i="1"/>
  <c r="E1981" i="1"/>
  <c r="F1981" i="1"/>
  <c r="G2002" i="1"/>
  <c r="H2002" i="1"/>
  <c r="D2002" i="1"/>
  <c r="A2002" i="1"/>
  <c r="C2002" i="1"/>
  <c r="E2002" i="1"/>
  <c r="F2002" i="1"/>
  <c r="G4272" i="1"/>
  <c r="H4272" i="1"/>
  <c r="D4272" i="1"/>
  <c r="A4272" i="1"/>
  <c r="C4272" i="1"/>
  <c r="E4272" i="1"/>
  <c r="F4272" i="1"/>
  <c r="G2183" i="1"/>
  <c r="H2183" i="1"/>
  <c r="D2183" i="1"/>
  <c r="A2183" i="1"/>
  <c r="C2183" i="1"/>
  <c r="E2183" i="1"/>
  <c r="F2183" i="1"/>
  <c r="G2960" i="1"/>
  <c r="H2960" i="1"/>
  <c r="D2960" i="1"/>
  <c r="A2960" i="1"/>
  <c r="C2960" i="1"/>
  <c r="E2960" i="1"/>
  <c r="F2960" i="1"/>
  <c r="G639" i="1"/>
  <c r="H639" i="1"/>
  <c r="D639" i="1"/>
  <c r="A639" i="1"/>
  <c r="C639" i="1"/>
  <c r="E639" i="1"/>
  <c r="F639" i="1"/>
  <c r="G264" i="1"/>
  <c r="H264" i="1"/>
  <c r="D264" i="1"/>
  <c r="A264" i="1"/>
  <c r="C264" i="1"/>
  <c r="E264" i="1"/>
  <c r="F264" i="1"/>
  <c r="G741" i="1"/>
  <c r="H741" i="1"/>
  <c r="D741" i="1"/>
  <c r="A741" i="1"/>
  <c r="C741" i="1"/>
  <c r="E741" i="1"/>
  <c r="F741" i="1"/>
  <c r="G68" i="1"/>
  <c r="H68" i="1"/>
  <c r="D68" i="1"/>
  <c r="A68" i="1"/>
  <c r="C68" i="1"/>
  <c r="E68" i="1"/>
  <c r="F68" i="1"/>
  <c r="G182" i="1"/>
  <c r="H182" i="1"/>
  <c r="D182" i="1"/>
  <c r="A182" i="1"/>
  <c r="C182" i="1"/>
  <c r="E182" i="1"/>
  <c r="F182" i="1"/>
  <c r="G4461" i="1"/>
  <c r="H4461" i="1"/>
  <c r="D4461" i="1"/>
  <c r="A4461" i="1"/>
  <c r="C4461" i="1"/>
  <c r="E4461" i="1"/>
  <c r="F4461" i="1"/>
  <c r="G3783" i="1"/>
  <c r="H3783" i="1"/>
  <c r="D3783" i="1"/>
  <c r="A3783" i="1"/>
  <c r="C3783" i="1"/>
  <c r="E3783" i="1"/>
  <c r="F3783" i="1"/>
  <c r="G4318" i="1"/>
  <c r="H4318" i="1"/>
  <c r="D4318" i="1"/>
  <c r="A4318" i="1"/>
  <c r="C4318" i="1"/>
  <c r="E4318" i="1"/>
  <c r="F4318" i="1"/>
  <c r="G179" i="1"/>
  <c r="H179" i="1"/>
  <c r="D179" i="1"/>
  <c r="A179" i="1"/>
  <c r="C179" i="1"/>
  <c r="E179" i="1"/>
  <c r="F179" i="1"/>
  <c r="G2317" i="1"/>
  <c r="H2317" i="1"/>
  <c r="D2317" i="1"/>
  <c r="A2317" i="1"/>
  <c r="C2317" i="1"/>
  <c r="E2317" i="1"/>
  <c r="F2317" i="1"/>
  <c r="G2205" i="1"/>
  <c r="H2205" i="1"/>
  <c r="D2205" i="1"/>
  <c r="A2205" i="1"/>
  <c r="C2205" i="1"/>
  <c r="E2205" i="1"/>
  <c r="F2205" i="1"/>
  <c r="G1217" i="1"/>
  <c r="H1217" i="1"/>
  <c r="D1217" i="1"/>
  <c r="A1217" i="1"/>
  <c r="C1217" i="1"/>
  <c r="E1217" i="1"/>
  <c r="F1217" i="1"/>
  <c r="G1395" i="1"/>
  <c r="H1395" i="1"/>
  <c r="D1395" i="1"/>
  <c r="A1395" i="1"/>
  <c r="C1395" i="1"/>
  <c r="E1395" i="1"/>
  <c r="F1395" i="1"/>
  <c r="G4812" i="1"/>
  <c r="H4812" i="1"/>
  <c r="D4812" i="1"/>
  <c r="A4812" i="1"/>
  <c r="C4812" i="1"/>
  <c r="E4812" i="1"/>
  <c r="F4812" i="1"/>
  <c r="G558" i="1"/>
  <c r="H558" i="1"/>
  <c r="D558" i="1"/>
  <c r="A558" i="1"/>
  <c r="C558" i="1"/>
  <c r="E558" i="1"/>
  <c r="F558" i="1"/>
  <c r="G822" i="1"/>
  <c r="H822" i="1"/>
  <c r="D822" i="1"/>
  <c r="A822" i="1"/>
  <c r="C822" i="1"/>
  <c r="E822" i="1"/>
  <c r="F822" i="1"/>
  <c r="G4603" i="1"/>
  <c r="H4603" i="1"/>
  <c r="D4603" i="1"/>
  <c r="A4603" i="1"/>
  <c r="C4603" i="1"/>
  <c r="E4603" i="1"/>
  <c r="F4603" i="1"/>
  <c r="G2184" i="1"/>
  <c r="H2184" i="1"/>
  <c r="D2184" i="1"/>
  <c r="A2184" i="1"/>
  <c r="C2184" i="1"/>
  <c r="E2184" i="1"/>
  <c r="F2184" i="1"/>
  <c r="G3827" i="1"/>
  <c r="H3827" i="1"/>
  <c r="D3827" i="1"/>
  <c r="A3827" i="1"/>
  <c r="C3827" i="1"/>
  <c r="E3827" i="1"/>
  <c r="F3827" i="1"/>
  <c r="G1953" i="1"/>
  <c r="H1953" i="1"/>
  <c r="D1953" i="1"/>
  <c r="A1953" i="1"/>
  <c r="C1953" i="1"/>
  <c r="E1953" i="1"/>
  <c r="F1953" i="1"/>
  <c r="G820" i="1"/>
  <c r="H820" i="1"/>
  <c r="D820" i="1"/>
  <c r="A820" i="1"/>
  <c r="C820" i="1"/>
  <c r="E820" i="1"/>
  <c r="F820" i="1"/>
  <c r="G4302" i="1"/>
  <c r="H4302" i="1"/>
  <c r="D4302" i="1"/>
  <c r="A4302" i="1"/>
  <c r="C4302" i="1"/>
  <c r="E4302" i="1"/>
  <c r="F4302" i="1"/>
  <c r="G2584" i="1"/>
  <c r="H2584" i="1"/>
  <c r="D2584" i="1"/>
  <c r="A2584" i="1"/>
  <c r="C2584" i="1"/>
  <c r="E2584" i="1"/>
  <c r="F2584" i="1"/>
  <c r="G2067" i="1"/>
  <c r="H2067" i="1"/>
  <c r="D2067" i="1"/>
  <c r="A2067" i="1"/>
  <c r="C2067" i="1"/>
  <c r="E2067" i="1"/>
  <c r="F2067" i="1"/>
  <c r="G3925" i="1"/>
  <c r="H3925" i="1"/>
  <c r="D3925" i="1"/>
  <c r="A3925" i="1"/>
  <c r="C3925" i="1"/>
  <c r="E3925" i="1"/>
  <c r="F3925" i="1"/>
  <c r="G2477" i="1"/>
  <c r="H2477" i="1"/>
  <c r="D2477" i="1"/>
  <c r="A2477" i="1"/>
  <c r="C2477" i="1"/>
  <c r="E2477" i="1"/>
  <c r="F2477" i="1"/>
  <c r="G518" i="1"/>
  <c r="H518" i="1"/>
  <c r="D518" i="1"/>
  <c r="A518" i="1"/>
  <c r="C518" i="1"/>
  <c r="E518" i="1"/>
  <c r="F518" i="1"/>
  <c r="G3335" i="1"/>
  <c r="H3335" i="1"/>
  <c r="D3335" i="1"/>
  <c r="A3335" i="1"/>
  <c r="C3335" i="1"/>
  <c r="E3335" i="1"/>
  <c r="F3335" i="1"/>
  <c r="G1135" i="1"/>
  <c r="H1135" i="1"/>
  <c r="D1135" i="1"/>
  <c r="A1135" i="1"/>
  <c r="C1135" i="1"/>
  <c r="E1135" i="1"/>
  <c r="F1135" i="1"/>
  <c r="G671" i="1"/>
  <c r="H671" i="1"/>
  <c r="D671" i="1"/>
  <c r="A671" i="1"/>
  <c r="C671" i="1"/>
  <c r="E671" i="1"/>
  <c r="F671" i="1"/>
  <c r="G435" i="1"/>
  <c r="H435" i="1"/>
  <c r="D435" i="1"/>
  <c r="A435" i="1"/>
  <c r="C435" i="1"/>
  <c r="E435" i="1"/>
  <c r="F435" i="1"/>
  <c r="G1643" i="1"/>
  <c r="H1643" i="1"/>
  <c r="D1643" i="1"/>
  <c r="A1643" i="1"/>
  <c r="C1643" i="1"/>
  <c r="E1643" i="1"/>
  <c r="F1643" i="1"/>
  <c r="G2305" i="1"/>
  <c r="H2305" i="1"/>
  <c r="D2305" i="1"/>
  <c r="A2305" i="1"/>
  <c r="C2305" i="1"/>
  <c r="E2305" i="1"/>
  <c r="F2305" i="1"/>
  <c r="G3533" i="1"/>
  <c r="H3533" i="1"/>
  <c r="D3533" i="1"/>
  <c r="A3533" i="1"/>
  <c r="C3533" i="1"/>
  <c r="E3533" i="1"/>
  <c r="F3533" i="1"/>
  <c r="G4279" i="1"/>
  <c r="H4279" i="1"/>
  <c r="D4279" i="1"/>
  <c r="A4279" i="1"/>
  <c r="C4279" i="1"/>
  <c r="E4279" i="1"/>
  <c r="F4279" i="1"/>
  <c r="G1359" i="1"/>
  <c r="H1359" i="1"/>
  <c r="D1359" i="1"/>
  <c r="A1359" i="1"/>
  <c r="C1359" i="1"/>
  <c r="E1359" i="1"/>
  <c r="F1359" i="1"/>
  <c r="G2245" i="1"/>
  <c r="H2245" i="1"/>
  <c r="D2245" i="1"/>
  <c r="A2245" i="1"/>
  <c r="C2245" i="1"/>
  <c r="E2245" i="1"/>
  <c r="F2245" i="1"/>
  <c r="G3732" i="1"/>
  <c r="H3732" i="1"/>
  <c r="D3732" i="1"/>
  <c r="A3732" i="1"/>
  <c r="C3732" i="1"/>
  <c r="E3732" i="1"/>
  <c r="F3732" i="1"/>
  <c r="G3007" i="1"/>
  <c r="H3007" i="1"/>
  <c r="D3007" i="1"/>
  <c r="A3007" i="1"/>
  <c r="C3007" i="1"/>
  <c r="E3007" i="1"/>
  <c r="F3007" i="1"/>
  <c r="G1416" i="1"/>
  <c r="H1416" i="1"/>
  <c r="D1416" i="1"/>
  <c r="A1416" i="1"/>
  <c r="C1416" i="1"/>
  <c r="E1416" i="1"/>
  <c r="F1416" i="1"/>
  <c r="G4814" i="1"/>
  <c r="H4814" i="1"/>
  <c r="D4814" i="1"/>
  <c r="A4814" i="1"/>
  <c r="C4814" i="1"/>
  <c r="E4814" i="1"/>
  <c r="F4814" i="1"/>
  <c r="G3436" i="1"/>
  <c r="H3436" i="1"/>
  <c r="D3436" i="1"/>
  <c r="A3436" i="1"/>
  <c r="C3436" i="1"/>
  <c r="E3436" i="1"/>
  <c r="F3436" i="1"/>
  <c r="G3033" i="1"/>
  <c r="H3033" i="1"/>
  <c r="D3033" i="1"/>
  <c r="A3033" i="1"/>
  <c r="C3033" i="1"/>
  <c r="E3033" i="1"/>
  <c r="F3033" i="1"/>
  <c r="G3589" i="1"/>
  <c r="H3589" i="1"/>
  <c r="D3589" i="1"/>
  <c r="A3589" i="1"/>
  <c r="C3589" i="1"/>
  <c r="E3589" i="1"/>
  <c r="F3589" i="1"/>
  <c r="G4195" i="1"/>
  <c r="H4195" i="1"/>
  <c r="D4195" i="1"/>
  <c r="A4195" i="1"/>
  <c r="C4195" i="1"/>
  <c r="E4195" i="1"/>
  <c r="F4195" i="1"/>
  <c r="G1524" i="1"/>
  <c r="H1524" i="1"/>
  <c r="D1524" i="1"/>
  <c r="A1524" i="1"/>
  <c r="C1524" i="1"/>
  <c r="E1524" i="1"/>
  <c r="F1524" i="1"/>
  <c r="G287" i="1"/>
  <c r="H287" i="1"/>
  <c r="D287" i="1"/>
  <c r="A287" i="1"/>
  <c r="C287" i="1"/>
  <c r="E287" i="1"/>
  <c r="F287" i="1"/>
  <c r="G4649" i="1"/>
  <c r="H4649" i="1"/>
  <c r="D4649" i="1"/>
  <c r="A4649" i="1"/>
  <c r="C4649" i="1"/>
  <c r="E4649" i="1"/>
  <c r="F4649" i="1"/>
  <c r="G777" i="1"/>
  <c r="H777" i="1"/>
  <c r="D777" i="1"/>
  <c r="A777" i="1"/>
  <c r="C777" i="1"/>
  <c r="E777" i="1"/>
  <c r="F777" i="1"/>
  <c r="G2304" i="1"/>
  <c r="H2304" i="1"/>
  <c r="D2304" i="1"/>
  <c r="A2304" i="1"/>
  <c r="C2304" i="1"/>
  <c r="E2304" i="1"/>
  <c r="F2304" i="1"/>
  <c r="G3201" i="1"/>
  <c r="H3201" i="1"/>
  <c r="D3201" i="1"/>
  <c r="A3201" i="1"/>
  <c r="C3201" i="1"/>
  <c r="E3201" i="1"/>
  <c r="F3201" i="1"/>
  <c r="G2303" i="1"/>
  <c r="H2303" i="1"/>
  <c r="D2303" i="1"/>
  <c r="A2303" i="1"/>
  <c r="C2303" i="1"/>
  <c r="E2303" i="1"/>
  <c r="F2303" i="1"/>
  <c r="G4915" i="1"/>
  <c r="H4915" i="1"/>
  <c r="D4915" i="1"/>
  <c r="A4915" i="1"/>
  <c r="C4915" i="1"/>
  <c r="E4915" i="1"/>
  <c r="F4915" i="1"/>
  <c r="G4242" i="1"/>
  <c r="H4242" i="1"/>
  <c r="D4242" i="1"/>
  <c r="A4242" i="1"/>
  <c r="C4242" i="1"/>
  <c r="E4242" i="1"/>
  <c r="F4242" i="1"/>
  <c r="G33" i="1"/>
  <c r="H33" i="1"/>
  <c r="D33" i="1"/>
  <c r="A33" i="1"/>
  <c r="C33" i="1"/>
  <c r="E33" i="1"/>
  <c r="F33" i="1"/>
  <c r="G2608" i="1"/>
  <c r="H2608" i="1"/>
  <c r="D2608" i="1"/>
  <c r="A2608" i="1"/>
  <c r="C2608" i="1"/>
  <c r="E2608" i="1"/>
  <c r="F2608" i="1"/>
  <c r="G4465" i="1"/>
  <c r="H4465" i="1"/>
  <c r="D4465" i="1"/>
  <c r="A4465" i="1"/>
  <c r="C4465" i="1"/>
  <c r="E4465" i="1"/>
  <c r="F4465" i="1"/>
  <c r="G59" i="1"/>
  <c r="H59" i="1"/>
  <c r="D59" i="1"/>
  <c r="A59" i="1"/>
  <c r="C59" i="1"/>
  <c r="E59" i="1"/>
  <c r="F59" i="1"/>
  <c r="G1396" i="1"/>
  <c r="H1396" i="1"/>
  <c r="D1396" i="1"/>
  <c r="A1396" i="1"/>
  <c r="C1396" i="1"/>
  <c r="E1396" i="1"/>
  <c r="F1396" i="1"/>
  <c r="G756" i="1"/>
  <c r="H756" i="1"/>
  <c r="D756" i="1"/>
  <c r="A756" i="1"/>
  <c r="C756" i="1"/>
  <c r="E756" i="1"/>
  <c r="F756" i="1"/>
  <c r="G3609" i="1"/>
  <c r="H3609" i="1"/>
  <c r="D3609" i="1"/>
  <c r="A3609" i="1"/>
  <c r="C3609" i="1"/>
  <c r="E3609" i="1"/>
  <c r="F3609" i="1"/>
  <c r="G3501" i="1"/>
  <c r="H3501" i="1"/>
  <c r="D3501" i="1"/>
  <c r="A3501" i="1"/>
  <c r="C3501" i="1"/>
  <c r="E3501" i="1"/>
  <c r="F3501" i="1"/>
  <c r="G654" i="1"/>
  <c r="H654" i="1"/>
  <c r="D654" i="1"/>
  <c r="A654" i="1"/>
  <c r="C654" i="1"/>
  <c r="E654" i="1"/>
  <c r="F654" i="1"/>
  <c r="G1534" i="1"/>
  <c r="H1534" i="1"/>
  <c r="D1534" i="1"/>
  <c r="A1534" i="1"/>
  <c r="C1534" i="1"/>
  <c r="E1534" i="1"/>
  <c r="F1534" i="1"/>
  <c r="G2375" i="1"/>
  <c r="H2375" i="1"/>
  <c r="D2375" i="1"/>
  <c r="A2375" i="1"/>
  <c r="C2375" i="1"/>
  <c r="E2375" i="1"/>
  <c r="F2375" i="1"/>
  <c r="G4858" i="1"/>
  <c r="H4858" i="1"/>
  <c r="D4858" i="1"/>
  <c r="A4858" i="1"/>
  <c r="C4858" i="1"/>
  <c r="E4858" i="1"/>
  <c r="F4858" i="1"/>
  <c r="G1451" i="1"/>
  <c r="H1451" i="1"/>
  <c r="D1451" i="1"/>
  <c r="A1451" i="1"/>
  <c r="C1451" i="1"/>
  <c r="E1451" i="1"/>
  <c r="F1451" i="1"/>
  <c r="G2973" i="1"/>
  <c r="H2973" i="1"/>
  <c r="D2973" i="1"/>
  <c r="A2973" i="1"/>
  <c r="C2973" i="1"/>
  <c r="E2973" i="1"/>
  <c r="F2973" i="1"/>
  <c r="G3250" i="1"/>
  <c r="H3250" i="1"/>
  <c r="D3250" i="1"/>
  <c r="A3250" i="1"/>
  <c r="C3250" i="1"/>
  <c r="E3250" i="1"/>
  <c r="F3250" i="1"/>
  <c r="G91" i="1"/>
  <c r="H91" i="1"/>
  <c r="D91" i="1"/>
  <c r="A91" i="1"/>
  <c r="C91" i="1"/>
  <c r="E91" i="1"/>
  <c r="F91" i="1"/>
  <c r="G3113" i="1"/>
  <c r="H3113" i="1"/>
  <c r="D3113" i="1"/>
  <c r="A3113" i="1"/>
  <c r="C3113" i="1"/>
  <c r="E3113" i="1"/>
  <c r="F3113" i="1"/>
  <c r="G1820" i="1"/>
  <c r="H1820" i="1"/>
  <c r="D1820" i="1"/>
  <c r="A1820" i="1"/>
  <c r="C1820" i="1"/>
  <c r="E1820" i="1"/>
  <c r="F1820" i="1"/>
  <c r="G1483" i="1"/>
  <c r="H1483" i="1"/>
  <c r="D1483" i="1"/>
  <c r="A1483" i="1"/>
  <c r="C1483" i="1"/>
  <c r="E1483" i="1"/>
  <c r="F1483" i="1"/>
  <c r="G2308" i="1"/>
  <c r="H2308" i="1"/>
  <c r="D2308" i="1"/>
  <c r="A2308" i="1"/>
  <c r="C2308" i="1"/>
  <c r="E2308" i="1"/>
  <c r="F2308" i="1"/>
  <c r="G2697" i="1"/>
  <c r="H2697" i="1"/>
  <c r="D2697" i="1"/>
  <c r="A2697" i="1"/>
  <c r="C2697" i="1"/>
  <c r="E2697" i="1"/>
  <c r="F2697" i="1"/>
  <c r="G2664" i="1"/>
  <c r="H2664" i="1"/>
  <c r="D2664" i="1"/>
  <c r="A2664" i="1"/>
  <c r="C2664" i="1"/>
  <c r="E2664" i="1"/>
  <c r="F2664" i="1"/>
  <c r="G4041" i="1"/>
  <c r="H4041" i="1"/>
  <c r="D4041" i="1"/>
  <c r="A4041" i="1"/>
  <c r="C4041" i="1"/>
  <c r="E4041" i="1"/>
  <c r="F4041" i="1"/>
  <c r="G4061" i="1"/>
  <c r="H4061" i="1"/>
  <c r="D4061" i="1"/>
  <c r="A4061" i="1"/>
  <c r="C4061" i="1"/>
  <c r="E4061" i="1"/>
  <c r="F4061" i="1"/>
  <c r="G804" i="1"/>
  <c r="H804" i="1"/>
  <c r="D804" i="1"/>
  <c r="A804" i="1"/>
  <c r="C804" i="1"/>
  <c r="E804" i="1"/>
  <c r="F804" i="1"/>
  <c r="G3911" i="1"/>
  <c r="H3911" i="1"/>
  <c r="D3911" i="1"/>
  <c r="A3911" i="1"/>
  <c r="C3911" i="1"/>
  <c r="E3911" i="1"/>
  <c r="F3911" i="1"/>
  <c r="G2780" i="1"/>
  <c r="H2780" i="1"/>
  <c r="D2780" i="1"/>
  <c r="A2780" i="1"/>
  <c r="C2780" i="1"/>
  <c r="E2780" i="1"/>
  <c r="F2780" i="1"/>
  <c r="G3502" i="1"/>
  <c r="H3502" i="1"/>
  <c r="D3502" i="1"/>
  <c r="A3502" i="1"/>
  <c r="C3502" i="1"/>
  <c r="E3502" i="1"/>
  <c r="F3502" i="1"/>
  <c r="G2590" i="1"/>
  <c r="H2590" i="1"/>
  <c r="D2590" i="1"/>
  <c r="A2590" i="1"/>
  <c r="C2590" i="1"/>
  <c r="E2590" i="1"/>
  <c r="F2590" i="1"/>
  <c r="G843" i="1"/>
  <c r="H843" i="1"/>
  <c r="D843" i="1"/>
  <c r="A843" i="1"/>
  <c r="C843" i="1"/>
  <c r="E843" i="1"/>
  <c r="F843" i="1"/>
  <c r="G3813" i="1"/>
  <c r="H3813" i="1"/>
  <c r="D3813" i="1"/>
  <c r="A3813" i="1"/>
  <c r="C3813" i="1"/>
  <c r="E3813" i="1"/>
  <c r="F3813" i="1"/>
  <c r="G4353" i="1"/>
  <c r="H4353" i="1"/>
  <c r="D4353" i="1"/>
  <c r="A4353" i="1"/>
  <c r="C4353" i="1"/>
  <c r="E4353" i="1"/>
  <c r="F4353" i="1"/>
  <c r="G3484" i="1"/>
  <c r="H3484" i="1"/>
  <c r="D3484" i="1"/>
  <c r="A3484" i="1"/>
  <c r="C3484" i="1"/>
  <c r="E3484" i="1"/>
  <c r="F3484" i="1"/>
  <c r="G2051" i="1"/>
  <c r="H2051" i="1"/>
  <c r="D2051" i="1"/>
  <c r="A2051" i="1"/>
  <c r="C2051" i="1"/>
  <c r="E2051" i="1"/>
  <c r="F2051" i="1"/>
  <c r="G4697" i="1"/>
  <c r="H4697" i="1"/>
  <c r="D4697" i="1"/>
  <c r="A4697" i="1"/>
  <c r="C4697" i="1"/>
  <c r="E4697" i="1"/>
  <c r="F4697" i="1"/>
  <c r="G2507" i="1"/>
  <c r="H2507" i="1"/>
  <c r="D2507" i="1"/>
  <c r="A2507" i="1"/>
  <c r="C2507" i="1"/>
  <c r="E2507" i="1"/>
  <c r="F2507" i="1"/>
  <c r="G3852" i="1"/>
  <c r="H3852" i="1"/>
  <c r="D3852" i="1"/>
  <c r="A3852" i="1"/>
  <c r="C3852" i="1"/>
  <c r="E3852" i="1"/>
  <c r="F3852" i="1"/>
  <c r="G2268" i="1"/>
  <c r="H2268" i="1"/>
  <c r="D2268" i="1"/>
  <c r="A2268" i="1"/>
  <c r="C2268" i="1"/>
  <c r="E2268" i="1"/>
  <c r="F2268" i="1"/>
  <c r="G3882" i="1"/>
  <c r="H3882" i="1"/>
  <c r="D3882" i="1"/>
  <c r="A3882" i="1"/>
  <c r="C3882" i="1"/>
  <c r="E3882" i="1"/>
  <c r="F3882" i="1"/>
  <c r="G2840" i="1"/>
  <c r="H2840" i="1"/>
  <c r="D2840" i="1"/>
  <c r="A2840" i="1"/>
  <c r="C2840" i="1"/>
  <c r="E2840" i="1"/>
  <c r="F2840" i="1"/>
  <c r="G1452" i="1"/>
  <c r="H1452" i="1"/>
  <c r="D1452" i="1"/>
  <c r="A1452" i="1"/>
  <c r="C1452" i="1"/>
  <c r="E1452" i="1"/>
  <c r="F1452" i="1"/>
  <c r="G660" i="1"/>
  <c r="H660" i="1"/>
  <c r="D660" i="1"/>
  <c r="A660" i="1"/>
  <c r="C660" i="1"/>
  <c r="E660" i="1"/>
  <c r="F660" i="1"/>
  <c r="G781" i="1"/>
  <c r="H781" i="1"/>
  <c r="D781" i="1"/>
  <c r="A781" i="1"/>
  <c r="C781" i="1"/>
  <c r="E781" i="1"/>
  <c r="F781" i="1"/>
  <c r="G4913" i="1"/>
  <c r="H4913" i="1"/>
  <c r="D4913" i="1"/>
  <c r="A4913" i="1"/>
  <c r="C4913" i="1"/>
  <c r="E4913" i="1"/>
  <c r="F4913" i="1"/>
  <c r="G988" i="1"/>
  <c r="H988" i="1"/>
  <c r="D988" i="1"/>
  <c r="A988" i="1"/>
  <c r="C988" i="1"/>
  <c r="E988" i="1"/>
  <c r="F988" i="1"/>
  <c r="G989" i="1"/>
  <c r="H989" i="1"/>
  <c r="D989" i="1"/>
  <c r="A989" i="1"/>
  <c r="C989" i="1"/>
  <c r="E989" i="1"/>
  <c r="F989" i="1"/>
  <c r="G1453" i="1"/>
  <c r="H1453" i="1"/>
  <c r="D1453" i="1"/>
  <c r="A1453" i="1"/>
  <c r="C1453" i="1"/>
  <c r="E1453" i="1"/>
  <c r="F1453" i="1"/>
  <c r="G456" i="1"/>
  <c r="H456" i="1"/>
  <c r="D456" i="1"/>
  <c r="A456" i="1"/>
  <c r="C456" i="1"/>
  <c r="E456" i="1"/>
  <c r="F456" i="1"/>
  <c r="G418" i="1"/>
  <c r="H418" i="1"/>
  <c r="D418" i="1"/>
  <c r="A418" i="1"/>
  <c r="C418" i="1"/>
  <c r="E418" i="1"/>
  <c r="F418" i="1"/>
  <c r="G457" i="1"/>
  <c r="H457" i="1"/>
  <c r="D457" i="1"/>
  <c r="A457" i="1"/>
  <c r="C457" i="1"/>
  <c r="E457" i="1"/>
  <c r="F457" i="1"/>
  <c r="G3147" i="1"/>
  <c r="H3147" i="1"/>
  <c r="D3147" i="1"/>
  <c r="A3147" i="1"/>
  <c r="C3147" i="1"/>
  <c r="E3147" i="1"/>
  <c r="F3147" i="1"/>
  <c r="G3701" i="1"/>
  <c r="H3701" i="1"/>
  <c r="D3701" i="1"/>
  <c r="A3701" i="1"/>
  <c r="C3701" i="1"/>
  <c r="E3701" i="1"/>
  <c r="F3701" i="1"/>
  <c r="G5097" i="1"/>
  <c r="H5097" i="1"/>
  <c r="D5097" i="1"/>
  <c r="A5097" i="1"/>
  <c r="C5097" i="1"/>
  <c r="E5097" i="1"/>
  <c r="F5097" i="1"/>
  <c r="G3828" i="1"/>
  <c r="H3828" i="1"/>
  <c r="D3828" i="1"/>
  <c r="A3828" i="1"/>
  <c r="C3828" i="1"/>
  <c r="E3828" i="1"/>
  <c r="F3828" i="1"/>
  <c r="G3629" i="1"/>
  <c r="H3629" i="1"/>
  <c r="D3629" i="1"/>
  <c r="A3629" i="1"/>
  <c r="C3629" i="1"/>
  <c r="E3629" i="1"/>
  <c r="F3629" i="1"/>
  <c r="G1069" i="1"/>
  <c r="H1069" i="1"/>
  <c r="D1069" i="1"/>
  <c r="A1069" i="1"/>
  <c r="C1069" i="1"/>
  <c r="E1069" i="1"/>
  <c r="F1069" i="1"/>
  <c r="G422" i="1"/>
  <c r="H422" i="1"/>
  <c r="D422" i="1"/>
  <c r="A422" i="1"/>
  <c r="C422" i="1"/>
  <c r="E422" i="1"/>
  <c r="F422" i="1"/>
  <c r="G555" i="1"/>
  <c r="H555" i="1"/>
  <c r="D555" i="1"/>
  <c r="A555" i="1"/>
  <c r="C555" i="1"/>
  <c r="E555" i="1"/>
  <c r="F555" i="1"/>
  <c r="G4768" i="1"/>
  <c r="H4768" i="1"/>
  <c r="D4768" i="1"/>
  <c r="A4768" i="1"/>
  <c r="C4768" i="1"/>
  <c r="E4768" i="1"/>
  <c r="F4768" i="1"/>
  <c r="G4566" i="1"/>
  <c r="H4566" i="1"/>
  <c r="D4566" i="1"/>
  <c r="A4566" i="1"/>
  <c r="C4566" i="1"/>
  <c r="E4566" i="1"/>
  <c r="F4566" i="1"/>
  <c r="G1874" i="1"/>
  <c r="H1874" i="1"/>
  <c r="D1874" i="1"/>
  <c r="A1874" i="1"/>
  <c r="C1874" i="1"/>
  <c r="E1874" i="1"/>
  <c r="F1874" i="1"/>
  <c r="G284" i="1"/>
  <c r="H284" i="1"/>
  <c r="D284" i="1"/>
  <c r="A284" i="1"/>
  <c r="C284" i="1"/>
  <c r="E284" i="1"/>
  <c r="F284" i="1"/>
  <c r="G1782" i="1"/>
  <c r="H1782" i="1"/>
  <c r="D1782" i="1"/>
  <c r="A1782" i="1"/>
  <c r="C1782" i="1"/>
  <c r="E1782" i="1"/>
  <c r="F1782" i="1"/>
  <c r="G1903" i="1"/>
  <c r="H1903" i="1"/>
  <c r="D1903" i="1"/>
  <c r="A1903" i="1"/>
  <c r="C1903" i="1"/>
  <c r="E1903" i="1"/>
  <c r="F1903" i="1"/>
  <c r="G1725" i="1"/>
  <c r="H1725" i="1"/>
  <c r="D1725" i="1"/>
  <c r="A1725" i="1"/>
  <c r="C1725" i="1"/>
  <c r="E1725" i="1"/>
  <c r="F1725" i="1"/>
  <c r="G618" i="1"/>
  <c r="H618" i="1"/>
  <c r="D618" i="1"/>
  <c r="A618" i="1"/>
  <c r="C618" i="1"/>
  <c r="E618" i="1"/>
  <c r="F618" i="1"/>
  <c r="G731" i="1"/>
  <c r="H731" i="1"/>
  <c r="D731" i="1"/>
  <c r="A731" i="1"/>
  <c r="C731" i="1"/>
  <c r="E731" i="1"/>
  <c r="F731" i="1"/>
  <c r="G4636" i="1"/>
  <c r="H4636" i="1"/>
  <c r="D4636" i="1"/>
  <c r="A4636" i="1"/>
  <c r="C4636" i="1"/>
  <c r="E4636" i="1"/>
  <c r="F4636" i="1"/>
  <c r="G1484" i="1"/>
  <c r="H1484" i="1"/>
  <c r="D1484" i="1"/>
  <c r="A1484" i="1"/>
  <c r="C1484" i="1"/>
  <c r="E1484" i="1"/>
  <c r="F1484" i="1"/>
  <c r="G644" i="1"/>
  <c r="H644" i="1"/>
  <c r="D644" i="1"/>
  <c r="A644" i="1"/>
  <c r="C644" i="1"/>
  <c r="E644" i="1"/>
  <c r="F644" i="1"/>
  <c r="G1770" i="1"/>
  <c r="H1770" i="1"/>
  <c r="D1770" i="1"/>
  <c r="A1770" i="1"/>
  <c r="C1770" i="1"/>
  <c r="E1770" i="1"/>
  <c r="F1770" i="1"/>
  <c r="G3363" i="1"/>
  <c r="H3363" i="1"/>
  <c r="D3363" i="1"/>
  <c r="A3363" i="1"/>
  <c r="C3363" i="1"/>
  <c r="E3363" i="1"/>
  <c r="F3363" i="1"/>
  <c r="G681" i="1"/>
  <c r="H681" i="1"/>
  <c r="D681" i="1"/>
  <c r="A681" i="1"/>
  <c r="C681" i="1"/>
  <c r="E681" i="1"/>
  <c r="F681" i="1"/>
  <c r="G4228" i="1"/>
  <c r="H4228" i="1"/>
  <c r="D4228" i="1"/>
  <c r="A4228" i="1"/>
  <c r="C4228" i="1"/>
  <c r="E4228" i="1"/>
  <c r="F4228" i="1"/>
  <c r="G505" i="1"/>
  <c r="H505" i="1"/>
  <c r="D505" i="1"/>
  <c r="A505" i="1"/>
  <c r="C505" i="1"/>
  <c r="E505" i="1"/>
  <c r="F505" i="1"/>
  <c r="G27" i="1"/>
  <c r="H27" i="1"/>
  <c r="D27" i="1"/>
  <c r="A27" i="1"/>
  <c r="C27" i="1"/>
  <c r="E27" i="1"/>
  <c r="F27" i="1"/>
  <c r="G2875" i="1"/>
  <c r="H2875" i="1"/>
  <c r="D2875" i="1"/>
  <c r="A2875" i="1"/>
  <c r="C2875" i="1"/>
  <c r="E2875" i="1"/>
  <c r="F2875" i="1"/>
  <c r="G2007" i="1"/>
  <c r="H2007" i="1"/>
  <c r="D2007" i="1"/>
  <c r="A2007" i="1"/>
  <c r="C2007" i="1"/>
  <c r="E2007" i="1"/>
  <c r="F2007" i="1"/>
  <c r="G4960" i="1"/>
  <c r="H4960" i="1"/>
  <c r="D4960" i="1"/>
  <c r="A4960" i="1"/>
  <c r="C4960" i="1"/>
  <c r="E4960" i="1"/>
  <c r="F4960" i="1"/>
  <c r="G4622" i="1"/>
  <c r="H4622" i="1"/>
  <c r="D4622" i="1"/>
  <c r="A4622" i="1"/>
  <c r="C4622" i="1"/>
  <c r="E4622" i="1"/>
  <c r="F4622" i="1"/>
  <c r="G899" i="1"/>
  <c r="H899" i="1"/>
  <c r="D899" i="1"/>
  <c r="A899" i="1"/>
  <c r="C899" i="1"/>
  <c r="E899" i="1"/>
  <c r="F899" i="1"/>
  <c r="G486" i="1"/>
  <c r="H486" i="1"/>
  <c r="D486" i="1"/>
  <c r="A486" i="1"/>
  <c r="C486" i="1"/>
  <c r="E486" i="1"/>
  <c r="F486" i="1"/>
  <c r="G2467" i="1"/>
  <c r="H2467" i="1"/>
  <c r="D2467" i="1"/>
  <c r="A2467" i="1"/>
  <c r="C2467" i="1"/>
  <c r="E2467" i="1"/>
  <c r="F2467" i="1"/>
  <c r="G803" i="1"/>
  <c r="H803" i="1"/>
  <c r="D803" i="1"/>
  <c r="A803" i="1"/>
  <c r="C803" i="1"/>
  <c r="E803" i="1"/>
  <c r="F803" i="1"/>
  <c r="G4438" i="1"/>
  <c r="H4438" i="1"/>
  <c r="D4438" i="1"/>
  <c r="A4438" i="1"/>
  <c r="C4438" i="1"/>
  <c r="E4438" i="1"/>
  <c r="F4438" i="1"/>
  <c r="G1897" i="1"/>
  <c r="H1897" i="1"/>
  <c r="D1897" i="1"/>
  <c r="A1897" i="1"/>
  <c r="C1897" i="1"/>
  <c r="E1897" i="1"/>
  <c r="F1897" i="1"/>
  <c r="G4860" i="1"/>
  <c r="H4860" i="1"/>
  <c r="D4860" i="1"/>
  <c r="A4860" i="1"/>
  <c r="C4860" i="1"/>
  <c r="E4860" i="1"/>
  <c r="F4860" i="1"/>
  <c r="G4355" i="1"/>
  <c r="H4355" i="1"/>
  <c r="D4355" i="1"/>
  <c r="A4355" i="1"/>
  <c r="C4355" i="1"/>
  <c r="E4355" i="1"/>
  <c r="F4355" i="1"/>
  <c r="G20" i="1"/>
  <c r="H20" i="1"/>
  <c r="D20" i="1"/>
  <c r="A20" i="1"/>
  <c r="C20" i="1"/>
  <c r="E20" i="1"/>
  <c r="F20" i="1"/>
  <c r="G2987" i="1"/>
  <c r="H2987" i="1"/>
  <c r="D2987" i="1"/>
  <c r="A2987" i="1"/>
  <c r="C2987" i="1"/>
  <c r="E2987" i="1"/>
  <c r="F2987" i="1"/>
  <c r="G1939" i="1"/>
  <c r="H1939" i="1"/>
  <c r="D1939" i="1"/>
  <c r="A1939" i="1"/>
  <c r="C1939" i="1"/>
  <c r="E1939" i="1"/>
  <c r="F1939" i="1"/>
  <c r="G3336" i="1"/>
  <c r="H3336" i="1"/>
  <c r="D3336" i="1"/>
  <c r="A3336" i="1"/>
  <c r="C3336" i="1"/>
  <c r="E3336" i="1"/>
  <c r="F3336" i="1"/>
  <c r="G2753" i="1"/>
  <c r="H2753" i="1"/>
  <c r="D2753" i="1"/>
  <c r="A2753" i="1"/>
  <c r="C2753" i="1"/>
  <c r="E2753" i="1"/>
  <c r="F2753" i="1"/>
  <c r="G1122" i="1"/>
  <c r="H1122" i="1"/>
  <c r="D1122" i="1"/>
  <c r="A1122" i="1"/>
  <c r="C1122" i="1"/>
  <c r="E1122" i="1"/>
  <c r="F1122" i="1"/>
  <c r="G782" i="1"/>
  <c r="H782" i="1"/>
  <c r="D782" i="1"/>
  <c r="A782" i="1"/>
  <c r="C782" i="1"/>
  <c r="E782" i="1"/>
  <c r="F782" i="1"/>
  <c r="G1052" i="1"/>
  <c r="H1052" i="1"/>
  <c r="D1052" i="1"/>
  <c r="A1052" i="1"/>
  <c r="C1052" i="1"/>
  <c r="E1052" i="1"/>
  <c r="F1052" i="1"/>
  <c r="G3773" i="1"/>
  <c r="H3773" i="1"/>
  <c r="D3773" i="1"/>
  <c r="A3773" i="1"/>
  <c r="C3773" i="1"/>
  <c r="E3773" i="1"/>
  <c r="F3773" i="1"/>
  <c r="G1898" i="1"/>
  <c r="H1898" i="1"/>
  <c r="D1898" i="1"/>
  <c r="A1898" i="1"/>
  <c r="C1898" i="1"/>
  <c r="E1898" i="1"/>
  <c r="F1898" i="1"/>
  <c r="G4701" i="1"/>
  <c r="H4701" i="1"/>
  <c r="D4701" i="1"/>
  <c r="A4701" i="1"/>
  <c r="C4701" i="1"/>
  <c r="E4701" i="1"/>
  <c r="F4701" i="1"/>
  <c r="G4863" i="1"/>
  <c r="H4863" i="1"/>
  <c r="D4863" i="1"/>
  <c r="A4863" i="1"/>
  <c r="C4863" i="1"/>
  <c r="E4863" i="1"/>
  <c r="F4863" i="1"/>
  <c r="G4783" i="1"/>
  <c r="H4783" i="1"/>
  <c r="D4783" i="1"/>
  <c r="A4783" i="1"/>
  <c r="C4783" i="1"/>
  <c r="E4783" i="1"/>
  <c r="F4783" i="1"/>
  <c r="G2290" i="1"/>
  <c r="H2290" i="1"/>
  <c r="D2290" i="1"/>
  <c r="A2290" i="1"/>
  <c r="C2290" i="1"/>
  <c r="E2290" i="1"/>
  <c r="F2290" i="1"/>
  <c r="G2021" i="1"/>
  <c r="H2021" i="1"/>
  <c r="D2021" i="1"/>
  <c r="A2021" i="1"/>
  <c r="C2021" i="1"/>
  <c r="E2021" i="1"/>
  <c r="F2021" i="1"/>
  <c r="G4932" i="1"/>
  <c r="H4932" i="1"/>
  <c r="D4932" i="1"/>
  <c r="A4932" i="1"/>
  <c r="C4932" i="1"/>
  <c r="E4932" i="1"/>
  <c r="F4932" i="1"/>
  <c r="G2645" i="1"/>
  <c r="H2645" i="1"/>
  <c r="D2645" i="1"/>
  <c r="A2645" i="1"/>
  <c r="C2645" i="1"/>
  <c r="E2645" i="1"/>
  <c r="F2645" i="1"/>
  <c r="G305" i="1"/>
  <c r="H305" i="1"/>
  <c r="D305" i="1"/>
  <c r="A305" i="1"/>
  <c r="C305" i="1"/>
  <c r="E305" i="1"/>
  <c r="F305" i="1"/>
  <c r="G4815" i="1"/>
  <c r="H4815" i="1"/>
  <c r="D4815" i="1"/>
  <c r="A4815" i="1"/>
  <c r="C4815" i="1"/>
  <c r="E4815" i="1"/>
  <c r="F4815" i="1"/>
  <c r="G3499" i="1"/>
  <c r="H3499" i="1"/>
  <c r="D3499" i="1"/>
  <c r="A3499" i="1"/>
  <c r="C3499" i="1"/>
  <c r="E3499" i="1"/>
  <c r="F3499" i="1"/>
  <c r="G1850" i="1"/>
  <c r="H1850" i="1"/>
  <c r="D1850" i="1"/>
  <c r="A1850" i="1"/>
  <c r="C1850" i="1"/>
  <c r="E1850" i="1"/>
  <c r="F1850" i="1"/>
  <c r="G2696" i="1"/>
  <c r="H2696" i="1"/>
  <c r="D2696" i="1"/>
  <c r="A2696" i="1"/>
  <c r="C2696" i="1"/>
  <c r="E2696" i="1"/>
  <c r="F2696" i="1"/>
  <c r="G2818" i="1"/>
  <c r="H2818" i="1"/>
  <c r="D2818" i="1"/>
  <c r="A2818" i="1"/>
  <c r="C2818" i="1"/>
  <c r="E2818" i="1"/>
  <c r="F2818" i="1"/>
  <c r="G4798" i="1"/>
  <c r="H4798" i="1"/>
  <c r="D4798" i="1"/>
  <c r="A4798" i="1"/>
  <c r="C4798" i="1"/>
  <c r="E4798" i="1"/>
  <c r="F4798" i="1"/>
  <c r="G2103" i="1"/>
  <c r="H2103" i="1"/>
  <c r="D2103" i="1"/>
  <c r="A2103" i="1"/>
  <c r="C2103" i="1"/>
  <c r="E2103" i="1"/>
  <c r="F2103" i="1"/>
  <c r="G4810" i="1"/>
  <c r="H4810" i="1"/>
  <c r="D4810" i="1"/>
  <c r="A4810" i="1"/>
  <c r="C4810" i="1"/>
  <c r="E4810" i="1"/>
  <c r="F4810" i="1"/>
  <c r="G983" i="1"/>
  <c r="H983" i="1"/>
  <c r="D983" i="1"/>
  <c r="A983" i="1"/>
  <c r="C983" i="1"/>
  <c r="E983" i="1"/>
  <c r="F983" i="1"/>
  <c r="G2320" i="1"/>
  <c r="H2320" i="1"/>
  <c r="D2320" i="1"/>
  <c r="A2320" i="1"/>
  <c r="C2320" i="1"/>
  <c r="E2320" i="1"/>
  <c r="F2320" i="1"/>
  <c r="G202" i="1"/>
  <c r="H202" i="1"/>
  <c r="D202" i="1"/>
  <c r="A202" i="1"/>
  <c r="C202" i="1"/>
  <c r="E202" i="1"/>
  <c r="F202" i="1"/>
  <c r="G4772" i="1"/>
  <c r="H4772" i="1"/>
  <c r="D4772" i="1"/>
  <c r="A4772" i="1"/>
  <c r="C4772" i="1"/>
  <c r="E4772" i="1"/>
  <c r="F4772" i="1"/>
  <c r="G2306" i="1"/>
  <c r="H2306" i="1"/>
  <c r="D2306" i="1"/>
  <c r="A2306" i="1"/>
  <c r="C2306" i="1"/>
  <c r="E2306" i="1"/>
  <c r="F2306" i="1"/>
  <c r="G4511" i="1"/>
  <c r="H4511" i="1"/>
  <c r="D4511" i="1"/>
  <c r="A4511" i="1"/>
  <c r="C4511" i="1"/>
  <c r="E4511" i="1"/>
  <c r="F4511" i="1"/>
  <c r="G3834" i="1"/>
  <c r="H3834" i="1"/>
  <c r="D3834" i="1"/>
  <c r="A3834" i="1"/>
  <c r="C3834" i="1"/>
  <c r="E3834" i="1"/>
  <c r="F3834" i="1"/>
  <c r="G2020" i="1"/>
  <c r="H2020" i="1"/>
  <c r="D2020" i="1"/>
  <c r="A2020" i="1"/>
  <c r="C2020" i="1"/>
  <c r="E2020" i="1"/>
  <c r="F2020" i="1"/>
  <c r="G1338" i="1"/>
  <c r="H1338" i="1"/>
  <c r="D1338" i="1"/>
  <c r="A1338" i="1"/>
  <c r="C1338" i="1"/>
  <c r="E1338" i="1"/>
  <c r="F1338" i="1"/>
  <c r="G4698" i="1"/>
  <c r="H4698" i="1"/>
  <c r="D4698" i="1"/>
  <c r="A4698" i="1"/>
  <c r="C4698" i="1"/>
  <c r="E4698" i="1"/>
  <c r="F4698" i="1"/>
  <c r="G2683" i="1"/>
  <c r="H2683" i="1"/>
  <c r="D2683" i="1"/>
  <c r="A2683" i="1"/>
  <c r="C2683" i="1"/>
  <c r="E2683" i="1"/>
  <c r="F2683" i="1"/>
  <c r="G3504" i="1"/>
  <c r="H3504" i="1"/>
  <c r="D3504" i="1"/>
  <c r="A3504" i="1"/>
  <c r="C3504" i="1"/>
  <c r="E3504" i="1"/>
  <c r="F3504" i="1"/>
  <c r="G4997" i="1"/>
  <c r="H4997" i="1"/>
  <c r="D4997" i="1"/>
  <c r="A4997" i="1"/>
  <c r="C4997" i="1"/>
  <c r="E4997" i="1"/>
  <c r="F4997" i="1"/>
  <c r="G104" i="1"/>
  <c r="H104" i="1"/>
  <c r="D104" i="1"/>
  <c r="A104" i="1"/>
  <c r="C104" i="1"/>
  <c r="E104" i="1"/>
  <c r="F104" i="1"/>
  <c r="G914" i="1"/>
  <c r="H914" i="1"/>
  <c r="D914" i="1"/>
  <c r="A914" i="1"/>
  <c r="C914" i="1"/>
  <c r="E914" i="1"/>
  <c r="F914" i="1"/>
  <c r="G3255" i="1"/>
  <c r="H3255" i="1"/>
  <c r="D3255" i="1"/>
  <c r="A3255" i="1"/>
  <c r="C3255" i="1"/>
  <c r="E3255" i="1"/>
  <c r="F3255" i="1"/>
  <c r="G981" i="1"/>
  <c r="H981" i="1"/>
  <c r="D981" i="1"/>
  <c r="A981" i="1"/>
  <c r="C981" i="1"/>
  <c r="E981" i="1"/>
  <c r="F981" i="1"/>
  <c r="G1746" i="1"/>
  <c r="H1746" i="1"/>
  <c r="D1746" i="1"/>
  <c r="A1746" i="1"/>
  <c r="C1746" i="1"/>
  <c r="E1746" i="1"/>
  <c r="F1746" i="1"/>
  <c r="G3346" i="1"/>
  <c r="H3346" i="1"/>
  <c r="D3346" i="1"/>
  <c r="A3346" i="1"/>
  <c r="C3346" i="1"/>
  <c r="E3346" i="1"/>
  <c r="F3346" i="1"/>
  <c r="G4212" i="1"/>
  <c r="H4212" i="1"/>
  <c r="D4212" i="1"/>
  <c r="A4212" i="1"/>
  <c r="C4212" i="1"/>
  <c r="E4212" i="1"/>
  <c r="F4212" i="1"/>
  <c r="G655" i="1"/>
  <c r="H655" i="1"/>
  <c r="D655" i="1"/>
  <c r="A655" i="1"/>
  <c r="C655" i="1"/>
  <c r="E655" i="1"/>
  <c r="F655" i="1"/>
  <c r="G606" i="1"/>
  <c r="H606" i="1"/>
  <c r="D606" i="1"/>
  <c r="A606" i="1"/>
  <c r="C606" i="1"/>
  <c r="E606" i="1"/>
  <c r="F606" i="1"/>
  <c r="G2125" i="1"/>
  <c r="H2125" i="1"/>
  <c r="D2125" i="1"/>
  <c r="A2125" i="1"/>
  <c r="C2125" i="1"/>
  <c r="E2125" i="1"/>
  <c r="F2125" i="1"/>
  <c r="G309" i="1"/>
  <c r="H309" i="1"/>
  <c r="D309" i="1"/>
  <c r="A309" i="1"/>
  <c r="C309" i="1"/>
  <c r="E309" i="1"/>
  <c r="F309" i="1"/>
  <c r="G3534" i="1"/>
  <c r="H3534" i="1"/>
  <c r="D3534" i="1"/>
  <c r="A3534" i="1"/>
  <c r="C3534" i="1"/>
  <c r="E3534" i="1"/>
  <c r="F3534" i="1"/>
  <c r="G3179" i="1"/>
  <c r="H3179" i="1"/>
  <c r="D3179" i="1"/>
  <c r="A3179" i="1"/>
  <c r="C3179" i="1"/>
  <c r="E3179" i="1"/>
  <c r="F3179" i="1"/>
  <c r="G2233" i="1"/>
  <c r="H2233" i="1"/>
  <c r="D2233" i="1"/>
  <c r="A2233" i="1"/>
  <c r="C2233" i="1"/>
  <c r="E2233" i="1"/>
  <c r="F2233" i="1"/>
  <c r="G4286" i="1"/>
  <c r="H4286" i="1"/>
  <c r="D4286" i="1"/>
  <c r="A4286" i="1"/>
  <c r="C4286" i="1"/>
  <c r="E4286" i="1"/>
  <c r="F4286" i="1"/>
  <c r="G2405" i="1"/>
  <c r="H2405" i="1"/>
  <c r="D2405" i="1"/>
  <c r="A2405" i="1"/>
  <c r="C2405" i="1"/>
  <c r="E2405" i="1"/>
  <c r="F2405" i="1"/>
  <c r="G1693" i="1"/>
  <c r="H1693" i="1"/>
  <c r="D1693" i="1"/>
  <c r="A1693" i="1"/>
  <c r="C1693" i="1"/>
  <c r="E1693" i="1"/>
  <c r="F1693" i="1"/>
  <c r="G1899" i="1"/>
  <c r="H1899" i="1"/>
  <c r="D1899" i="1"/>
  <c r="A1899" i="1"/>
  <c r="C1899" i="1"/>
  <c r="E1899" i="1"/>
  <c r="F1899" i="1"/>
  <c r="G2017" i="1"/>
  <c r="H2017" i="1"/>
  <c r="D2017" i="1"/>
  <c r="A2017" i="1"/>
  <c r="C2017" i="1"/>
  <c r="E2017" i="1"/>
  <c r="F2017" i="1"/>
  <c r="G3177" i="1"/>
  <c r="H3177" i="1"/>
  <c r="D3177" i="1"/>
  <c r="A3177" i="1"/>
  <c r="C3177" i="1"/>
  <c r="E3177" i="1"/>
  <c r="F3177" i="1"/>
  <c r="G2440" i="1"/>
  <c r="H2440" i="1"/>
  <c r="D2440" i="1"/>
  <c r="A2440" i="1"/>
  <c r="C2440" i="1"/>
  <c r="E2440" i="1"/>
  <c r="F2440" i="1"/>
  <c r="G2293" i="1"/>
  <c r="H2293" i="1"/>
  <c r="D2293" i="1"/>
  <c r="A2293" i="1"/>
  <c r="C2293" i="1"/>
  <c r="E2293" i="1"/>
  <c r="F2293" i="1"/>
  <c r="G2370" i="1"/>
  <c r="H2370" i="1"/>
  <c r="D2370" i="1"/>
  <c r="A2370" i="1"/>
  <c r="C2370" i="1"/>
  <c r="E2370" i="1"/>
  <c r="F2370" i="1"/>
  <c r="G454" i="1"/>
  <c r="H454" i="1"/>
  <c r="D454" i="1"/>
  <c r="A454" i="1"/>
  <c r="C454" i="1"/>
  <c r="E454" i="1"/>
  <c r="F454" i="1"/>
  <c r="G690" i="1"/>
  <c r="H690" i="1"/>
  <c r="D690" i="1"/>
  <c r="A690" i="1"/>
  <c r="C690" i="1"/>
  <c r="E690" i="1"/>
  <c r="F690" i="1"/>
  <c r="G982" i="1"/>
  <c r="H982" i="1"/>
  <c r="D982" i="1"/>
  <c r="A982" i="1"/>
  <c r="C982" i="1"/>
  <c r="E982" i="1"/>
  <c r="F982" i="1"/>
  <c r="G1176" i="1"/>
  <c r="H1176" i="1"/>
  <c r="D1176" i="1"/>
  <c r="A1176" i="1"/>
  <c r="C1176" i="1"/>
  <c r="E1176" i="1"/>
  <c r="F1176" i="1"/>
  <c r="G481" i="1"/>
  <c r="H481" i="1"/>
  <c r="D481" i="1"/>
  <c r="A481" i="1"/>
  <c r="C481" i="1"/>
  <c r="E481" i="1"/>
  <c r="F481" i="1"/>
  <c r="G47" i="1"/>
  <c r="H47" i="1"/>
  <c r="D47" i="1"/>
  <c r="A47" i="1"/>
  <c r="C47" i="1"/>
  <c r="E47" i="1"/>
  <c r="F47" i="1"/>
  <c r="G2288" i="1"/>
  <c r="H2288" i="1"/>
  <c r="D2288" i="1"/>
  <c r="A2288" i="1"/>
  <c r="C2288" i="1"/>
  <c r="E2288" i="1"/>
  <c r="F2288" i="1"/>
  <c r="G1436" i="1"/>
  <c r="H1436" i="1"/>
  <c r="D1436" i="1"/>
  <c r="A1436" i="1"/>
  <c r="C1436" i="1"/>
  <c r="E1436" i="1"/>
  <c r="F1436" i="1"/>
  <c r="G421" i="1"/>
  <c r="H421" i="1"/>
  <c r="D421" i="1"/>
  <c r="A421" i="1"/>
  <c r="C421" i="1"/>
  <c r="E421" i="1"/>
  <c r="F421" i="1"/>
  <c r="G3212" i="1"/>
  <c r="H3212" i="1"/>
  <c r="D3212" i="1"/>
  <c r="A3212" i="1"/>
  <c r="C3212" i="1"/>
  <c r="E3212" i="1"/>
  <c r="F3212" i="1"/>
  <c r="G4097" i="1"/>
  <c r="H4097" i="1"/>
  <c r="D4097" i="1"/>
  <c r="A4097" i="1"/>
  <c r="C4097" i="1"/>
  <c r="E4097" i="1"/>
  <c r="F4097" i="1"/>
  <c r="G670" i="1"/>
  <c r="H670" i="1"/>
  <c r="D670" i="1"/>
  <c r="A670" i="1"/>
  <c r="C670" i="1"/>
  <c r="E670" i="1"/>
  <c r="F670" i="1"/>
  <c r="G2938" i="1"/>
  <c r="H2938" i="1"/>
  <c r="D2938" i="1"/>
  <c r="A2938" i="1"/>
  <c r="C2938" i="1"/>
  <c r="E2938" i="1"/>
  <c r="F2938" i="1"/>
  <c r="G3923" i="1"/>
  <c r="H3923" i="1"/>
  <c r="D3923" i="1"/>
  <c r="A3923" i="1"/>
  <c r="C3923" i="1"/>
  <c r="E3923" i="1"/>
  <c r="F3923" i="1"/>
  <c r="G2934" i="1"/>
  <c r="H2934" i="1"/>
  <c r="D2934" i="1"/>
  <c r="A2934" i="1"/>
  <c r="C2934" i="1"/>
  <c r="E2934" i="1"/>
  <c r="F2934" i="1"/>
  <c r="G4165" i="1"/>
  <c r="H4165" i="1"/>
  <c r="D4165" i="1"/>
  <c r="A4165" i="1"/>
  <c r="C4165" i="1"/>
  <c r="E4165" i="1"/>
  <c r="F4165" i="1"/>
  <c r="G4034" i="1"/>
  <c r="H4034" i="1"/>
  <c r="D4034" i="1"/>
  <c r="A4034" i="1"/>
  <c r="C4034" i="1"/>
  <c r="E4034" i="1"/>
  <c r="F4034" i="1"/>
  <c r="G3199" i="1"/>
  <c r="H3199" i="1"/>
  <c r="D3199" i="1"/>
  <c r="A3199" i="1"/>
  <c r="C3199" i="1"/>
  <c r="E3199" i="1"/>
  <c r="F3199" i="1"/>
  <c r="G4374" i="1"/>
  <c r="H4374" i="1"/>
  <c r="D4374" i="1"/>
  <c r="A4374" i="1"/>
  <c r="C4374" i="1"/>
  <c r="E4374" i="1"/>
  <c r="F4374" i="1"/>
  <c r="G3347" i="1"/>
  <c r="H3347" i="1"/>
  <c r="D3347" i="1"/>
  <c r="A3347" i="1"/>
  <c r="C3347" i="1"/>
  <c r="E3347" i="1"/>
  <c r="F3347" i="1"/>
  <c r="G3349" i="1"/>
  <c r="H3349" i="1"/>
  <c r="D3349" i="1"/>
  <c r="A3349" i="1"/>
  <c r="C3349" i="1"/>
  <c r="E3349" i="1"/>
  <c r="F3349" i="1"/>
  <c r="G2339" i="1"/>
  <c r="H2339" i="1"/>
  <c r="D2339" i="1"/>
  <c r="A2339" i="1"/>
  <c r="C2339" i="1"/>
  <c r="E2339" i="1"/>
  <c r="F2339" i="1"/>
  <c r="G2412" i="1"/>
  <c r="H2412" i="1"/>
  <c r="D2412" i="1"/>
  <c r="A2412" i="1"/>
  <c r="C2412" i="1"/>
  <c r="E2412" i="1"/>
  <c r="F2412" i="1"/>
  <c r="G2815" i="1"/>
  <c r="H2815" i="1"/>
  <c r="D2815" i="1"/>
  <c r="A2815" i="1"/>
  <c r="C2815" i="1"/>
  <c r="E2815" i="1"/>
  <c r="F2815" i="1"/>
  <c r="G3216" i="1"/>
  <c r="H3216" i="1"/>
  <c r="D3216" i="1"/>
  <c r="A3216" i="1"/>
  <c r="C3216" i="1"/>
  <c r="E3216" i="1"/>
  <c r="F3216" i="1"/>
  <c r="G4559" i="1"/>
  <c r="H4559" i="1"/>
  <c r="D4559" i="1"/>
  <c r="A4559" i="1"/>
  <c r="C4559" i="1"/>
  <c r="E4559" i="1"/>
  <c r="F4559" i="1"/>
  <c r="G4746" i="1"/>
  <c r="H4746" i="1"/>
  <c r="D4746" i="1"/>
  <c r="A4746" i="1"/>
  <c r="C4746" i="1"/>
  <c r="E4746" i="1"/>
  <c r="F4746" i="1"/>
  <c r="G4062" i="1"/>
  <c r="H4062" i="1"/>
  <c r="D4062" i="1"/>
  <c r="A4062" i="1"/>
  <c r="C4062" i="1"/>
  <c r="E4062" i="1"/>
  <c r="F4062" i="1"/>
  <c r="G4557" i="1"/>
  <c r="H4557" i="1"/>
  <c r="D4557" i="1"/>
  <c r="A4557" i="1"/>
  <c r="C4557" i="1"/>
  <c r="E4557" i="1"/>
  <c r="F4557" i="1"/>
  <c r="G1305" i="1"/>
  <c r="H1305" i="1"/>
  <c r="D1305" i="1"/>
  <c r="A1305" i="1"/>
  <c r="C1305" i="1"/>
  <c r="E1305" i="1"/>
  <c r="F1305" i="1"/>
  <c r="G2954" i="1"/>
  <c r="H2954" i="1"/>
  <c r="D2954" i="1"/>
  <c r="A2954" i="1"/>
  <c r="C2954" i="1"/>
  <c r="E2954" i="1"/>
  <c r="F2954" i="1"/>
  <c r="G4335" i="1"/>
  <c r="H4335" i="1"/>
  <c r="D4335" i="1"/>
  <c r="A4335" i="1"/>
  <c r="C4335" i="1"/>
  <c r="E4335" i="1"/>
  <c r="F4335" i="1"/>
  <c r="G980" i="1"/>
  <c r="H980" i="1"/>
  <c r="D980" i="1"/>
  <c r="A980" i="1"/>
  <c r="C980" i="1"/>
  <c r="E980" i="1"/>
  <c r="F980" i="1"/>
  <c r="G1008" i="1"/>
  <c r="H1008" i="1"/>
  <c r="D1008" i="1"/>
  <c r="A1008" i="1"/>
  <c r="C1008" i="1"/>
  <c r="E1008" i="1"/>
  <c r="F1008" i="1"/>
  <c r="G873" i="1"/>
  <c r="H873" i="1"/>
  <c r="D873" i="1"/>
  <c r="A873" i="1"/>
  <c r="C873" i="1"/>
  <c r="E873" i="1"/>
  <c r="F873" i="1"/>
  <c r="G677" i="1"/>
  <c r="H677" i="1"/>
  <c r="D677" i="1"/>
  <c r="A677" i="1"/>
  <c r="C677" i="1"/>
  <c r="E677" i="1"/>
  <c r="F677" i="1"/>
  <c r="G3459" i="1"/>
  <c r="H3459" i="1"/>
  <c r="D3459" i="1"/>
  <c r="A3459" i="1"/>
  <c r="C3459" i="1"/>
  <c r="E3459" i="1"/>
  <c r="F3459" i="1"/>
  <c r="G4505" i="1"/>
  <c r="H4505" i="1"/>
  <c r="D4505" i="1"/>
  <c r="A4505" i="1"/>
  <c r="C4505" i="1"/>
  <c r="E4505" i="1"/>
  <c r="F4505" i="1"/>
  <c r="G4507" i="1"/>
  <c r="H4507" i="1"/>
  <c r="D4507" i="1"/>
  <c r="A4507" i="1"/>
  <c r="C4507" i="1"/>
  <c r="E4507" i="1"/>
  <c r="F4507" i="1"/>
  <c r="G2301" i="1"/>
  <c r="H2301" i="1"/>
  <c r="D2301" i="1"/>
  <c r="A2301" i="1"/>
  <c r="C2301" i="1"/>
  <c r="E2301" i="1"/>
  <c r="F2301" i="1"/>
  <c r="G1863" i="1"/>
  <c r="H1863" i="1"/>
  <c r="D1863" i="1"/>
  <c r="A1863" i="1"/>
  <c r="C1863" i="1"/>
  <c r="E1863" i="1"/>
  <c r="F1863" i="1"/>
  <c r="G3729" i="1"/>
  <c r="H3729" i="1"/>
  <c r="D3729" i="1"/>
  <c r="A3729" i="1"/>
  <c r="C3729" i="1"/>
  <c r="E3729" i="1"/>
  <c r="F3729" i="1"/>
  <c r="G2056" i="1"/>
  <c r="H2056" i="1"/>
  <c r="D2056" i="1"/>
  <c r="A2056" i="1"/>
  <c r="C2056" i="1"/>
  <c r="E2056" i="1"/>
  <c r="F2056" i="1"/>
  <c r="G3284" i="1"/>
  <c r="H3284" i="1"/>
  <c r="D3284" i="1"/>
  <c r="A3284" i="1"/>
  <c r="C3284" i="1"/>
  <c r="E3284" i="1"/>
  <c r="F3284" i="1"/>
  <c r="G2310" i="1"/>
  <c r="H2310" i="1"/>
  <c r="D2310" i="1"/>
  <c r="A2310" i="1"/>
  <c r="C2310" i="1"/>
  <c r="E2310" i="1"/>
  <c r="F2310" i="1"/>
  <c r="G5080" i="1"/>
  <c r="H5080" i="1"/>
  <c r="D5080" i="1"/>
  <c r="A5080" i="1"/>
  <c r="C5080" i="1"/>
  <c r="E5080" i="1"/>
  <c r="F5080" i="1"/>
  <c r="G2332" i="1"/>
  <c r="H2332" i="1"/>
  <c r="D2332" i="1"/>
  <c r="A2332" i="1"/>
  <c r="C2332" i="1"/>
  <c r="E2332" i="1"/>
  <c r="F2332" i="1"/>
  <c r="G4008" i="1"/>
  <c r="H4008" i="1"/>
  <c r="D4008" i="1"/>
  <c r="A4008" i="1"/>
  <c r="C4008" i="1"/>
  <c r="E4008" i="1"/>
  <c r="F4008" i="1"/>
  <c r="G3627" i="1"/>
  <c r="H3627" i="1"/>
  <c r="D3627" i="1"/>
  <c r="A3627" i="1"/>
  <c r="C3627" i="1"/>
  <c r="E3627" i="1"/>
  <c r="F3627" i="1"/>
  <c r="G1064" i="1"/>
  <c r="H1064" i="1"/>
  <c r="D1064" i="1"/>
  <c r="A1064" i="1"/>
  <c r="C1064" i="1"/>
  <c r="E1064" i="1"/>
  <c r="F1064" i="1"/>
  <c r="G4653" i="1"/>
  <c r="H4653" i="1"/>
  <c r="D4653" i="1"/>
  <c r="A4653" i="1"/>
  <c r="C4653" i="1"/>
  <c r="E4653" i="1"/>
  <c r="F4653" i="1"/>
  <c r="G2411" i="1"/>
  <c r="H2411" i="1"/>
  <c r="D2411" i="1"/>
  <c r="A2411" i="1"/>
  <c r="C2411" i="1"/>
  <c r="E2411" i="1"/>
  <c r="F2411" i="1"/>
  <c r="G3738" i="1"/>
  <c r="H3738" i="1"/>
  <c r="D3738" i="1"/>
  <c r="A3738" i="1"/>
  <c r="C3738" i="1"/>
  <c r="E3738" i="1"/>
  <c r="F3738" i="1"/>
  <c r="G1565" i="1"/>
  <c r="H1565" i="1"/>
  <c r="D1565" i="1"/>
  <c r="A1565" i="1"/>
  <c r="C1565" i="1"/>
  <c r="E1565" i="1"/>
  <c r="F1565" i="1"/>
  <c r="G5051" i="1"/>
  <c r="H5051" i="1"/>
  <c r="D5051" i="1"/>
  <c r="A5051" i="1"/>
  <c r="C5051" i="1"/>
  <c r="E5051" i="1"/>
  <c r="F5051" i="1"/>
  <c r="G4642" i="1"/>
  <c r="H4642" i="1"/>
  <c r="D4642" i="1"/>
  <c r="A4642" i="1"/>
  <c r="C4642" i="1"/>
  <c r="E4642" i="1"/>
  <c r="F4642" i="1"/>
  <c r="G3869" i="1"/>
  <c r="H3869" i="1"/>
  <c r="D3869" i="1"/>
  <c r="A3869" i="1"/>
  <c r="C3869" i="1"/>
  <c r="E3869" i="1"/>
  <c r="F3869" i="1"/>
  <c r="G2648" i="1"/>
  <c r="H2648" i="1"/>
  <c r="D2648" i="1"/>
  <c r="A2648" i="1"/>
  <c r="C2648" i="1"/>
  <c r="E2648" i="1"/>
  <c r="F2648" i="1"/>
  <c r="G3197" i="1"/>
  <c r="H3197" i="1"/>
  <c r="D3197" i="1"/>
  <c r="A3197" i="1"/>
  <c r="C3197" i="1"/>
  <c r="E3197" i="1"/>
  <c r="F3197" i="1"/>
  <c r="G2932" i="1"/>
  <c r="H2932" i="1"/>
  <c r="D2932" i="1"/>
  <c r="A2932" i="1"/>
  <c r="C2932" i="1"/>
  <c r="E2932" i="1"/>
  <c r="F2932" i="1"/>
  <c r="G145" i="1"/>
  <c r="H145" i="1"/>
  <c r="D145" i="1"/>
  <c r="A145" i="1"/>
  <c r="C145" i="1"/>
  <c r="E145" i="1"/>
  <c r="F145" i="1"/>
  <c r="G1970" i="1"/>
  <c r="H1970" i="1"/>
  <c r="D1970" i="1"/>
  <c r="A1970" i="1"/>
  <c r="C1970" i="1"/>
  <c r="E1970" i="1"/>
  <c r="F1970" i="1"/>
  <c r="G977" i="1"/>
  <c r="H977" i="1"/>
  <c r="D977" i="1"/>
  <c r="A977" i="1"/>
  <c r="C977" i="1"/>
  <c r="E977" i="1"/>
  <c r="F977" i="1"/>
  <c r="G4185" i="1"/>
  <c r="H4185" i="1"/>
  <c r="D4185" i="1"/>
  <c r="A4185" i="1"/>
  <c r="C4185" i="1"/>
  <c r="E4185" i="1"/>
  <c r="F4185" i="1"/>
  <c r="G4742" i="1"/>
  <c r="H4742" i="1"/>
  <c r="D4742" i="1"/>
  <c r="A4742" i="1"/>
  <c r="C4742" i="1"/>
  <c r="E4742" i="1"/>
  <c r="F4742" i="1"/>
  <c r="G4506" i="1"/>
  <c r="H4506" i="1"/>
  <c r="D4506" i="1"/>
  <c r="A4506" i="1"/>
  <c r="C4506" i="1"/>
  <c r="E4506" i="1"/>
  <c r="F4506" i="1"/>
  <c r="G2928" i="1"/>
  <c r="H2928" i="1"/>
  <c r="D2928" i="1"/>
  <c r="A2928" i="1"/>
  <c r="C2928" i="1"/>
  <c r="E2928" i="1"/>
  <c r="F2928" i="1"/>
  <c r="G4892" i="1"/>
  <c r="H4892" i="1"/>
  <c r="D4892" i="1"/>
  <c r="A4892" i="1"/>
  <c r="C4892" i="1"/>
  <c r="E4892" i="1"/>
  <c r="F4892" i="1"/>
  <c r="G2302" i="1"/>
  <c r="H2302" i="1"/>
  <c r="D2302" i="1"/>
  <c r="A2302" i="1"/>
  <c r="C2302" i="1"/>
  <c r="E2302" i="1"/>
  <c r="F2302" i="1"/>
  <c r="G3054" i="1"/>
  <c r="H3054" i="1"/>
  <c r="D3054" i="1"/>
  <c r="A3054" i="1"/>
  <c r="C3054" i="1"/>
  <c r="E3054" i="1"/>
  <c r="F3054" i="1"/>
  <c r="G4329" i="1"/>
  <c r="H4329" i="1"/>
  <c r="D4329" i="1"/>
  <c r="A4329" i="1"/>
  <c r="C4329" i="1"/>
  <c r="E4329" i="1"/>
  <c r="F4329" i="1"/>
  <c r="G3448" i="1"/>
  <c r="H3448" i="1"/>
  <c r="D3448" i="1"/>
  <c r="A3448" i="1"/>
  <c r="C3448" i="1"/>
  <c r="E3448" i="1"/>
  <c r="F3448" i="1"/>
  <c r="G3321" i="1"/>
  <c r="H3321" i="1"/>
  <c r="D3321" i="1"/>
  <c r="A3321" i="1"/>
  <c r="C3321" i="1"/>
  <c r="E3321" i="1"/>
  <c r="F3321" i="1"/>
  <c r="G1229" i="1"/>
  <c r="H1229" i="1"/>
  <c r="D1229" i="1"/>
  <c r="A1229" i="1"/>
  <c r="C1229" i="1"/>
  <c r="E1229" i="1"/>
  <c r="F1229" i="1"/>
  <c r="G992" i="1"/>
  <c r="H992" i="1"/>
  <c r="D992" i="1"/>
  <c r="A992" i="1"/>
  <c r="C992" i="1"/>
  <c r="E992" i="1"/>
  <c r="F992" i="1"/>
  <c r="G2040" i="1"/>
  <c r="H2040" i="1"/>
  <c r="D2040" i="1"/>
  <c r="A2040" i="1"/>
  <c r="C2040" i="1"/>
  <c r="E2040" i="1"/>
  <c r="F2040" i="1"/>
  <c r="G4327" i="1"/>
  <c r="H4327" i="1"/>
  <c r="D4327" i="1"/>
  <c r="A4327" i="1"/>
  <c r="C4327" i="1"/>
  <c r="E4327" i="1"/>
  <c r="F4327" i="1"/>
  <c r="G1470" i="1"/>
  <c r="H1470" i="1"/>
  <c r="D1470" i="1"/>
  <c r="A1470" i="1"/>
  <c r="C1470" i="1"/>
  <c r="E1470" i="1"/>
  <c r="F1470" i="1"/>
  <c r="G5002" i="1"/>
  <c r="H5002" i="1"/>
  <c r="D5002" i="1"/>
  <c r="A5002" i="1"/>
  <c r="C5002" i="1"/>
  <c r="E5002" i="1"/>
  <c r="F5002" i="1"/>
  <c r="G3410" i="1"/>
  <c r="H3410" i="1"/>
  <c r="D3410" i="1"/>
  <c r="A3410" i="1"/>
  <c r="C3410" i="1"/>
  <c r="E3410" i="1"/>
  <c r="F3410" i="1"/>
  <c r="G3060" i="1"/>
  <c r="H3060" i="1"/>
  <c r="D3060" i="1"/>
  <c r="A3060" i="1"/>
  <c r="C3060" i="1"/>
  <c r="E3060" i="1"/>
  <c r="F3060" i="1"/>
  <c r="G291" i="1"/>
  <c r="H291" i="1"/>
  <c r="D291" i="1"/>
  <c r="A291" i="1"/>
  <c r="C291" i="1"/>
  <c r="E291" i="1"/>
  <c r="F291" i="1"/>
  <c r="G1294" i="1"/>
  <c r="H1294" i="1"/>
  <c r="D1294" i="1"/>
  <c r="A1294" i="1"/>
  <c r="C1294" i="1"/>
  <c r="E1294" i="1"/>
  <c r="F1294" i="1"/>
  <c r="G4330" i="1"/>
  <c r="H4330" i="1"/>
  <c r="D4330" i="1"/>
  <c r="A4330" i="1"/>
  <c r="C4330" i="1"/>
  <c r="E4330" i="1"/>
  <c r="F4330" i="1"/>
  <c r="G1070" i="1"/>
  <c r="H1070" i="1"/>
  <c r="D1070" i="1"/>
  <c r="A1070" i="1"/>
  <c r="C1070" i="1"/>
  <c r="E1070" i="1"/>
  <c r="F1070" i="1"/>
  <c r="G4908" i="1"/>
  <c r="H4908" i="1"/>
  <c r="D4908" i="1"/>
  <c r="A4908" i="1"/>
  <c r="C4908" i="1"/>
  <c r="E4908" i="1"/>
  <c r="F4908" i="1"/>
  <c r="G1838" i="1"/>
  <c r="H1838" i="1"/>
  <c r="D1838" i="1"/>
  <c r="A1838" i="1"/>
  <c r="C1838" i="1"/>
  <c r="E1838" i="1"/>
  <c r="F1838" i="1"/>
  <c r="G5077" i="1"/>
  <c r="H5077" i="1"/>
  <c r="D5077" i="1"/>
  <c r="A5077" i="1"/>
  <c r="C5077" i="1"/>
  <c r="E5077" i="1"/>
  <c r="F5077" i="1"/>
  <c r="G299" i="1"/>
  <c r="H299" i="1"/>
  <c r="D299" i="1"/>
  <c r="A299" i="1"/>
  <c r="C299" i="1"/>
  <c r="E299" i="1"/>
  <c r="F299" i="1"/>
  <c r="G2606" i="1"/>
  <c r="H2606" i="1"/>
  <c r="D2606" i="1"/>
  <c r="A2606" i="1"/>
  <c r="C2606" i="1"/>
  <c r="E2606" i="1"/>
  <c r="F2606" i="1"/>
  <c r="G5024" i="1"/>
  <c r="H5024" i="1"/>
  <c r="D5024" i="1"/>
  <c r="A5024" i="1"/>
  <c r="C5024" i="1"/>
  <c r="E5024" i="1"/>
  <c r="F5024" i="1"/>
  <c r="G4476" i="1"/>
  <c r="H4476" i="1"/>
  <c r="D4476" i="1"/>
  <c r="A4476" i="1"/>
  <c r="C4476" i="1"/>
  <c r="E4476" i="1"/>
  <c r="F4476" i="1"/>
  <c r="G4755" i="1"/>
  <c r="H4755" i="1"/>
  <c r="D4755" i="1"/>
  <c r="A4755" i="1"/>
  <c r="C4755" i="1"/>
  <c r="E4755" i="1"/>
  <c r="F4755" i="1"/>
  <c r="G1053" i="1"/>
  <c r="H1053" i="1"/>
  <c r="D1053" i="1"/>
  <c r="A1053" i="1"/>
  <c r="C1053" i="1"/>
  <c r="E1053" i="1"/>
  <c r="F1053" i="1"/>
  <c r="G3267" i="1"/>
  <c r="H3267" i="1"/>
  <c r="D3267" i="1"/>
  <c r="A3267" i="1"/>
  <c r="C3267" i="1"/>
  <c r="E3267" i="1"/>
  <c r="F3267" i="1"/>
  <c r="G674" i="1"/>
  <c r="H674" i="1"/>
  <c r="D674" i="1"/>
  <c r="A674" i="1"/>
  <c r="C674" i="1"/>
  <c r="E674" i="1"/>
  <c r="F674" i="1"/>
  <c r="G303" i="1"/>
  <c r="H303" i="1"/>
  <c r="D303" i="1"/>
  <c r="A303" i="1"/>
  <c r="C303" i="1"/>
  <c r="E303" i="1"/>
  <c r="F303" i="1"/>
  <c r="G543" i="1"/>
  <c r="H543" i="1"/>
  <c r="D543" i="1"/>
  <c r="A543" i="1"/>
  <c r="C543" i="1"/>
  <c r="E543" i="1"/>
  <c r="F543" i="1"/>
  <c r="G3676" i="1"/>
  <c r="H3676" i="1"/>
  <c r="D3676" i="1"/>
  <c r="A3676" i="1"/>
  <c r="C3676" i="1"/>
  <c r="E3676" i="1"/>
  <c r="F3676" i="1"/>
  <c r="G3090" i="1"/>
  <c r="H3090" i="1"/>
  <c r="D3090" i="1"/>
  <c r="A3090" i="1"/>
  <c r="C3090" i="1"/>
  <c r="E3090" i="1"/>
  <c r="F3090" i="1"/>
  <c r="G1828" i="1"/>
  <c r="H1828" i="1"/>
  <c r="D1828" i="1"/>
  <c r="A1828" i="1"/>
  <c r="C1828" i="1"/>
  <c r="E1828" i="1"/>
  <c r="F1828" i="1"/>
  <c r="G311" i="1"/>
  <c r="H311" i="1"/>
  <c r="D311" i="1"/>
  <c r="A311" i="1"/>
  <c r="C311" i="1"/>
  <c r="E311" i="1"/>
  <c r="F311" i="1"/>
  <c r="G4632" i="1"/>
  <c r="H4632" i="1"/>
  <c r="D4632" i="1"/>
  <c r="A4632" i="1"/>
  <c r="C4632" i="1"/>
  <c r="E4632" i="1"/>
  <c r="F4632" i="1"/>
  <c r="G1945" i="1"/>
  <c r="H1945" i="1"/>
  <c r="D1945" i="1"/>
  <c r="A1945" i="1"/>
  <c r="C1945" i="1"/>
  <c r="E1945" i="1"/>
  <c r="F1945" i="1"/>
  <c r="G1911" i="1"/>
  <c r="H1911" i="1"/>
  <c r="D1911" i="1"/>
  <c r="A1911" i="1"/>
  <c r="C1911" i="1"/>
  <c r="E1911" i="1"/>
  <c r="F1911" i="1"/>
  <c r="G978" i="1"/>
  <c r="H978" i="1"/>
  <c r="D978" i="1"/>
  <c r="A978" i="1"/>
  <c r="C978" i="1"/>
  <c r="E978" i="1"/>
  <c r="F978" i="1"/>
  <c r="G2654" i="1"/>
  <c r="H2654" i="1"/>
  <c r="D2654" i="1"/>
  <c r="A2654" i="1"/>
  <c r="C2654" i="1"/>
  <c r="E2654" i="1"/>
  <c r="F2654" i="1"/>
  <c r="G2028" i="1"/>
  <c r="H2028" i="1"/>
  <c r="D2028" i="1"/>
  <c r="A2028" i="1"/>
  <c r="C2028" i="1"/>
  <c r="E2028" i="1"/>
  <c r="F2028" i="1"/>
  <c r="G1973" i="1"/>
  <c r="H1973" i="1"/>
  <c r="D1973" i="1"/>
  <c r="A1973" i="1"/>
  <c r="C1973" i="1"/>
  <c r="E1973" i="1"/>
  <c r="F1973" i="1"/>
  <c r="G4256" i="1"/>
  <c r="H4256" i="1"/>
  <c r="D4256" i="1"/>
  <c r="A4256" i="1"/>
  <c r="C4256" i="1"/>
  <c r="E4256" i="1"/>
  <c r="F4256" i="1"/>
  <c r="G1214" i="1"/>
  <c r="H1214" i="1"/>
  <c r="D1214" i="1"/>
  <c r="A1214" i="1"/>
  <c r="C1214" i="1"/>
  <c r="E1214" i="1"/>
  <c r="F1214" i="1"/>
  <c r="G2053" i="1"/>
  <c r="H2053" i="1"/>
  <c r="D2053" i="1"/>
  <c r="A2053" i="1"/>
  <c r="C2053" i="1"/>
  <c r="E2053" i="1"/>
  <c r="F2053" i="1"/>
  <c r="G296" i="1"/>
  <c r="H296" i="1"/>
  <c r="D296" i="1"/>
  <c r="A296" i="1"/>
  <c r="C296" i="1"/>
  <c r="E296" i="1"/>
  <c r="F296" i="1"/>
  <c r="G4591" i="1"/>
  <c r="H4591" i="1"/>
  <c r="D4591" i="1"/>
  <c r="A4591" i="1"/>
  <c r="C4591" i="1"/>
  <c r="E4591" i="1"/>
  <c r="F4591" i="1"/>
  <c r="G4112" i="1"/>
  <c r="H4112" i="1"/>
  <c r="D4112" i="1"/>
  <c r="A4112" i="1"/>
  <c r="C4112" i="1"/>
  <c r="E4112" i="1"/>
  <c r="F4112" i="1"/>
  <c r="G409" i="1"/>
  <c r="H409" i="1"/>
  <c r="D409" i="1"/>
  <c r="A409" i="1"/>
  <c r="C409" i="1"/>
  <c r="E409" i="1"/>
  <c r="F409" i="1"/>
  <c r="G4942" i="1"/>
  <c r="H4942" i="1"/>
  <c r="D4942" i="1"/>
  <c r="A4942" i="1"/>
  <c r="C4942" i="1"/>
  <c r="E4942" i="1"/>
  <c r="F4942" i="1"/>
  <c r="G1593" i="1"/>
  <c r="H1593" i="1"/>
  <c r="D1593" i="1"/>
  <c r="A1593" i="1"/>
  <c r="C1593" i="1"/>
  <c r="E1593" i="1"/>
  <c r="F1593" i="1"/>
  <c r="G3726" i="1"/>
  <c r="H3726" i="1"/>
  <c r="D3726" i="1"/>
  <c r="A3726" i="1"/>
  <c r="C3726" i="1"/>
  <c r="E3726" i="1"/>
  <c r="F3726" i="1"/>
  <c r="G1547" i="1"/>
  <c r="H1547" i="1"/>
  <c r="D1547" i="1"/>
  <c r="A1547" i="1"/>
  <c r="C1547" i="1"/>
  <c r="E1547" i="1"/>
  <c r="F1547" i="1"/>
  <c r="G2944" i="1"/>
  <c r="H2944" i="1"/>
  <c r="D2944" i="1"/>
  <c r="A2944" i="1"/>
  <c r="C2944" i="1"/>
  <c r="E2944" i="1"/>
  <c r="F2944" i="1"/>
  <c r="G4692" i="1"/>
  <c r="H4692" i="1"/>
  <c r="D4692" i="1"/>
  <c r="A4692" i="1"/>
  <c r="C4692" i="1"/>
  <c r="E4692" i="1"/>
  <c r="F4692" i="1"/>
  <c r="G3367" i="1"/>
  <c r="H3367" i="1"/>
  <c r="D3367" i="1"/>
  <c r="A3367" i="1"/>
  <c r="C3367" i="1"/>
  <c r="E3367" i="1"/>
  <c r="F3367" i="1"/>
  <c r="G4737" i="1"/>
  <c r="H4737" i="1"/>
  <c r="D4737" i="1"/>
  <c r="A4737" i="1"/>
  <c r="C4737" i="1"/>
  <c r="E4737" i="1"/>
  <c r="F4737" i="1"/>
  <c r="G1114" i="1"/>
  <c r="H1114" i="1"/>
  <c r="D1114" i="1"/>
  <c r="A1114" i="1"/>
  <c r="C1114" i="1"/>
  <c r="E1114" i="1"/>
  <c r="F1114" i="1"/>
  <c r="G2406" i="1"/>
  <c r="H2406" i="1"/>
  <c r="D2406" i="1"/>
  <c r="A2406" i="1"/>
  <c r="C2406" i="1"/>
  <c r="E2406" i="1"/>
  <c r="F2406" i="1"/>
  <c r="G5042" i="1"/>
  <c r="H5042" i="1"/>
  <c r="D5042" i="1"/>
  <c r="A5042" i="1"/>
  <c r="C5042" i="1"/>
  <c r="E5042" i="1"/>
  <c r="F5042" i="1"/>
  <c r="G4077" i="1"/>
  <c r="H4077" i="1"/>
  <c r="D4077" i="1"/>
  <c r="A4077" i="1"/>
  <c r="C4077" i="1"/>
  <c r="E4077" i="1"/>
  <c r="F4077" i="1"/>
  <c r="G1236" i="1"/>
  <c r="H1236" i="1"/>
  <c r="D1236" i="1"/>
  <c r="A1236" i="1"/>
  <c r="C1236" i="1"/>
  <c r="E1236" i="1"/>
  <c r="F1236" i="1"/>
  <c r="G1270" i="1"/>
  <c r="H1270" i="1"/>
  <c r="D1270" i="1"/>
  <c r="A1270" i="1"/>
  <c r="C1270" i="1"/>
  <c r="E1270" i="1"/>
  <c r="F1270" i="1"/>
  <c r="G3741" i="1"/>
  <c r="H3741" i="1"/>
  <c r="D3741" i="1"/>
  <c r="A3741" i="1"/>
  <c r="C3741" i="1"/>
  <c r="E3741" i="1"/>
  <c r="F3741" i="1"/>
  <c r="G2655" i="1"/>
  <c r="H2655" i="1"/>
  <c r="D2655" i="1"/>
  <c r="A2655" i="1"/>
  <c r="C2655" i="1"/>
  <c r="E2655" i="1"/>
  <c r="F2655" i="1"/>
  <c r="G1755" i="1"/>
  <c r="H1755" i="1"/>
  <c r="D1755" i="1"/>
  <c r="A1755" i="1"/>
  <c r="C1755" i="1"/>
  <c r="E1755" i="1"/>
  <c r="F1755" i="1"/>
  <c r="G1654" i="1"/>
  <c r="H1654" i="1"/>
  <c r="D1654" i="1"/>
  <c r="A1654" i="1"/>
  <c r="C1654" i="1"/>
  <c r="E1654" i="1"/>
  <c r="F1654" i="1"/>
  <c r="G3841" i="1"/>
  <c r="H3841" i="1"/>
  <c r="D3841" i="1"/>
  <c r="A3841" i="1"/>
  <c r="C3841" i="1"/>
  <c r="E3841" i="1"/>
  <c r="F3841" i="1"/>
  <c r="G1205" i="1"/>
  <c r="H1205" i="1"/>
  <c r="D1205" i="1"/>
  <c r="A1205" i="1"/>
  <c r="C1205" i="1"/>
  <c r="E1205" i="1"/>
  <c r="F1205" i="1"/>
  <c r="G2378" i="1"/>
  <c r="H2378" i="1"/>
  <c r="D2378" i="1"/>
  <c r="A2378" i="1"/>
  <c r="C2378" i="1"/>
  <c r="E2378" i="1"/>
  <c r="F2378" i="1"/>
  <c r="G4791" i="1"/>
  <c r="H4791" i="1"/>
  <c r="D4791" i="1"/>
  <c r="A4791" i="1"/>
  <c r="C4791" i="1"/>
  <c r="E4791" i="1"/>
  <c r="F4791" i="1"/>
  <c r="G1699" i="1"/>
  <c r="H1699" i="1"/>
  <c r="D1699" i="1"/>
  <c r="A1699" i="1"/>
  <c r="C1699" i="1"/>
  <c r="E1699" i="1"/>
  <c r="F1699" i="1"/>
  <c r="G1940" i="1"/>
  <c r="H1940" i="1"/>
  <c r="D1940" i="1"/>
  <c r="A1940" i="1"/>
  <c r="C1940" i="1"/>
  <c r="E1940" i="1"/>
  <c r="F1940" i="1"/>
  <c r="G3655" i="1"/>
  <c r="H3655" i="1"/>
  <c r="D3655" i="1"/>
  <c r="A3655" i="1"/>
  <c r="C3655" i="1"/>
  <c r="E3655" i="1"/>
  <c r="F3655" i="1"/>
  <c r="G4875" i="1"/>
  <c r="H4875" i="1"/>
  <c r="D4875" i="1"/>
  <c r="A4875" i="1"/>
  <c r="C4875" i="1"/>
  <c r="E4875" i="1"/>
  <c r="F4875" i="1"/>
  <c r="G265" i="1"/>
  <c r="H265" i="1"/>
  <c r="D265" i="1"/>
  <c r="A265" i="1"/>
  <c r="C265" i="1"/>
  <c r="E265" i="1"/>
  <c r="F265" i="1"/>
  <c r="G3839" i="1"/>
  <c r="H3839" i="1"/>
  <c r="D3839" i="1"/>
  <c r="A3839" i="1"/>
  <c r="C3839" i="1"/>
  <c r="E3839" i="1"/>
  <c r="F3839" i="1"/>
  <c r="G3176" i="1"/>
  <c r="H3176" i="1"/>
  <c r="D3176" i="1"/>
  <c r="A3176" i="1"/>
  <c r="C3176" i="1"/>
  <c r="E3176" i="1"/>
  <c r="F3176" i="1"/>
  <c r="G1054" i="1"/>
  <c r="H1054" i="1"/>
  <c r="D1054" i="1"/>
  <c r="A1054" i="1"/>
  <c r="C1054" i="1"/>
  <c r="E1054" i="1"/>
  <c r="F1054" i="1"/>
  <c r="G1535" i="1"/>
  <c r="H1535" i="1"/>
  <c r="D1535" i="1"/>
  <c r="A1535" i="1"/>
  <c r="C1535" i="1"/>
  <c r="E1535" i="1"/>
  <c r="F1535" i="1"/>
  <c r="G2371" i="1"/>
  <c r="H2371" i="1"/>
  <c r="D2371" i="1"/>
  <c r="A2371" i="1"/>
  <c r="C2371" i="1"/>
  <c r="E2371" i="1"/>
  <c r="F2371" i="1"/>
  <c r="G542" i="1"/>
  <c r="H542" i="1"/>
  <c r="D542" i="1"/>
  <c r="A542" i="1"/>
  <c r="C542" i="1"/>
  <c r="E542" i="1"/>
  <c r="F542" i="1"/>
  <c r="G3974" i="1"/>
  <c r="H3974" i="1"/>
  <c r="D3974" i="1"/>
  <c r="A3974" i="1"/>
  <c r="C3974" i="1"/>
  <c r="E3974" i="1"/>
  <c r="F3974" i="1"/>
  <c r="G3524" i="1"/>
  <c r="H3524" i="1"/>
  <c r="D3524" i="1"/>
  <c r="A3524" i="1"/>
  <c r="C3524" i="1"/>
  <c r="E3524" i="1"/>
  <c r="F3524" i="1"/>
  <c r="G4035" i="1"/>
  <c r="H4035" i="1"/>
  <c r="D4035" i="1"/>
  <c r="A4035" i="1"/>
  <c r="C4035" i="1"/>
  <c r="E4035" i="1"/>
  <c r="F4035" i="1"/>
  <c r="G3149" i="1"/>
  <c r="H3149" i="1"/>
  <c r="D3149" i="1"/>
  <c r="A3149" i="1"/>
  <c r="C3149" i="1"/>
  <c r="E3149" i="1"/>
  <c r="F3149" i="1"/>
  <c r="G3752" i="1"/>
  <c r="H3752" i="1"/>
  <c r="D3752" i="1"/>
  <c r="A3752" i="1"/>
  <c r="C3752" i="1"/>
  <c r="E3752" i="1"/>
  <c r="F3752" i="1"/>
  <c r="G3094" i="1"/>
  <c r="H3094" i="1"/>
  <c r="D3094" i="1"/>
  <c r="A3094" i="1"/>
  <c r="C3094" i="1"/>
  <c r="E3094" i="1"/>
  <c r="F3094" i="1"/>
  <c r="G1900" i="1"/>
  <c r="H1900" i="1"/>
  <c r="D1900" i="1"/>
  <c r="A1900" i="1"/>
  <c r="C1900" i="1"/>
  <c r="E1900" i="1"/>
  <c r="F1900" i="1"/>
  <c r="G2943" i="1"/>
  <c r="H2943" i="1"/>
  <c r="D2943" i="1"/>
  <c r="A2943" i="1"/>
  <c r="C2943" i="1"/>
  <c r="E2943" i="1"/>
  <c r="F2943" i="1"/>
  <c r="G4184" i="1"/>
  <c r="H4184" i="1"/>
  <c r="D4184" i="1"/>
  <c r="A4184" i="1"/>
  <c r="C4184" i="1"/>
  <c r="E4184" i="1"/>
  <c r="F4184" i="1"/>
  <c r="G4295" i="1"/>
  <c r="H4295" i="1"/>
  <c r="D4295" i="1"/>
  <c r="A4295" i="1"/>
  <c r="C4295" i="1"/>
  <c r="E4295" i="1"/>
  <c r="F4295" i="1"/>
  <c r="G3105" i="1"/>
  <c r="H3105" i="1"/>
  <c r="D3105" i="1"/>
  <c r="A3105" i="1"/>
  <c r="C3105" i="1"/>
  <c r="E3105" i="1"/>
  <c r="F3105" i="1"/>
  <c r="G4155" i="1"/>
  <c r="H4155" i="1"/>
  <c r="D4155" i="1"/>
  <c r="A4155" i="1"/>
  <c r="C4155" i="1"/>
  <c r="E4155" i="1"/>
  <c r="F4155" i="1"/>
  <c r="G3465" i="1"/>
  <c r="H3465" i="1"/>
  <c r="D3465" i="1"/>
  <c r="A3465" i="1"/>
  <c r="C3465" i="1"/>
  <c r="E3465" i="1"/>
  <c r="F3465" i="1"/>
  <c r="G3093" i="1"/>
  <c r="H3093" i="1"/>
  <c r="D3093" i="1"/>
  <c r="A3093" i="1"/>
  <c r="C3093" i="1"/>
  <c r="E3093" i="1"/>
  <c r="F3093" i="1"/>
  <c r="G4294" i="1"/>
  <c r="H4294" i="1"/>
  <c r="D4294" i="1"/>
  <c r="A4294" i="1"/>
  <c r="C4294" i="1"/>
  <c r="E4294" i="1"/>
  <c r="F4294" i="1"/>
  <c r="G1282" i="1"/>
  <c r="H1282" i="1"/>
  <c r="D1282" i="1"/>
  <c r="A1282" i="1"/>
  <c r="C1282" i="1"/>
  <c r="E1282" i="1"/>
  <c r="F1282" i="1"/>
  <c r="G52" i="1"/>
  <c r="H52" i="1"/>
  <c r="D52" i="1"/>
  <c r="A52" i="1"/>
  <c r="C52" i="1"/>
  <c r="E52" i="1"/>
  <c r="F52" i="1"/>
  <c r="G4601" i="1"/>
  <c r="H4601" i="1"/>
  <c r="D4601" i="1"/>
  <c r="A4601" i="1"/>
  <c r="C4601" i="1"/>
  <c r="E4601" i="1"/>
  <c r="F4601" i="1"/>
  <c r="G4333" i="1"/>
  <c r="H4333" i="1"/>
  <c r="D4333" i="1"/>
  <c r="A4333" i="1"/>
  <c r="C4333" i="1"/>
  <c r="E4333" i="1"/>
  <c r="F4333" i="1"/>
  <c r="G4217" i="1"/>
  <c r="H4217" i="1"/>
  <c r="D4217" i="1"/>
  <c r="A4217" i="1"/>
  <c r="C4217" i="1"/>
  <c r="E4217" i="1"/>
  <c r="F4217" i="1"/>
  <c r="G3867" i="1"/>
  <c r="H3867" i="1"/>
  <c r="D3867" i="1"/>
  <c r="A3867" i="1"/>
  <c r="C3867" i="1"/>
  <c r="E3867" i="1"/>
  <c r="F3867" i="1"/>
  <c r="G512" i="1"/>
  <c r="H512" i="1"/>
  <c r="D512" i="1"/>
  <c r="A512" i="1"/>
  <c r="C512" i="1"/>
  <c r="E512" i="1"/>
  <c r="F512" i="1"/>
  <c r="G3695" i="1"/>
  <c r="H3695" i="1"/>
  <c r="D3695" i="1"/>
  <c r="A3695" i="1"/>
  <c r="C3695" i="1"/>
  <c r="E3695" i="1"/>
  <c r="F3695" i="1"/>
  <c r="G3696" i="1"/>
  <c r="H3696" i="1"/>
  <c r="D3696" i="1"/>
  <c r="A3696" i="1"/>
  <c r="C3696" i="1"/>
  <c r="E3696" i="1"/>
  <c r="F3696" i="1"/>
  <c r="G4292" i="1"/>
  <c r="H4292" i="1"/>
  <c r="D4292" i="1"/>
  <c r="A4292" i="1"/>
  <c r="C4292" i="1"/>
  <c r="E4292" i="1"/>
  <c r="F4292" i="1"/>
  <c r="G4524" i="1"/>
  <c r="H4524" i="1"/>
  <c r="D4524" i="1"/>
  <c r="A4524" i="1"/>
  <c r="C4524" i="1"/>
  <c r="E4524" i="1"/>
  <c r="F4524" i="1"/>
  <c r="G4522" i="1"/>
  <c r="H4522" i="1"/>
  <c r="D4522" i="1"/>
  <c r="A4522" i="1"/>
  <c r="C4522" i="1"/>
  <c r="E4522" i="1"/>
  <c r="F4522" i="1"/>
  <c r="G1016" i="1"/>
  <c r="H1016" i="1"/>
  <c r="D1016" i="1"/>
  <c r="A1016" i="1"/>
  <c r="C1016" i="1"/>
  <c r="E1016" i="1"/>
  <c r="F1016" i="1"/>
  <c r="G3204" i="1"/>
  <c r="H3204" i="1"/>
  <c r="D3204" i="1"/>
  <c r="A3204" i="1"/>
  <c r="C3204" i="1"/>
  <c r="E3204" i="1"/>
  <c r="F3204" i="1"/>
  <c r="G4657" i="1"/>
  <c r="H4657" i="1"/>
  <c r="D4657" i="1"/>
  <c r="A4657" i="1"/>
  <c r="C4657" i="1"/>
  <c r="E4657" i="1"/>
  <c r="F4657" i="1"/>
  <c r="G1950" i="1"/>
  <c r="H1950" i="1"/>
  <c r="D1950" i="1"/>
  <c r="A1950" i="1"/>
  <c r="C1950" i="1"/>
  <c r="E1950" i="1"/>
  <c r="F1950" i="1"/>
  <c r="G4525" i="1"/>
  <c r="H4525" i="1"/>
  <c r="D4525" i="1"/>
  <c r="A4525" i="1"/>
  <c r="C4525" i="1"/>
  <c r="E4525" i="1"/>
  <c r="F4525" i="1"/>
  <c r="G4502" i="1"/>
  <c r="H4502" i="1"/>
  <c r="D4502" i="1"/>
  <c r="A4502" i="1"/>
  <c r="C4502" i="1"/>
  <c r="E4502" i="1"/>
  <c r="F4502" i="1"/>
  <c r="G4265" i="1"/>
  <c r="H4265" i="1"/>
  <c r="D4265" i="1"/>
  <c r="A4265" i="1"/>
  <c r="C4265" i="1"/>
  <c r="E4265" i="1"/>
  <c r="F4265" i="1"/>
  <c r="G388" i="1"/>
  <c r="H388" i="1"/>
  <c r="D388" i="1"/>
  <c r="A388" i="1"/>
  <c r="C388" i="1"/>
  <c r="E388" i="1"/>
  <c r="F388" i="1"/>
  <c r="G467" i="1"/>
  <c r="H467" i="1"/>
  <c r="D467" i="1"/>
  <c r="A467" i="1"/>
  <c r="C467" i="1"/>
  <c r="E467" i="1"/>
  <c r="F467" i="1"/>
  <c r="G915" i="1"/>
  <c r="H915" i="1"/>
  <c r="D915" i="1"/>
  <c r="A915" i="1"/>
  <c r="C915" i="1"/>
  <c r="E915" i="1"/>
  <c r="F915" i="1"/>
  <c r="G3158" i="1"/>
  <c r="H3158" i="1"/>
  <c r="D3158" i="1"/>
  <c r="A3158" i="1"/>
  <c r="C3158" i="1"/>
  <c r="E3158" i="1"/>
  <c r="F3158" i="1"/>
  <c r="G1541" i="1"/>
  <c r="H1541" i="1"/>
  <c r="D1541" i="1"/>
  <c r="A1541" i="1"/>
  <c r="C1541" i="1"/>
  <c r="E1541" i="1"/>
  <c r="F1541" i="1"/>
  <c r="G4431" i="1"/>
  <c r="H4431" i="1"/>
  <c r="D4431" i="1"/>
  <c r="A4431" i="1"/>
  <c r="C4431" i="1"/>
  <c r="E4431" i="1"/>
  <c r="F4431" i="1"/>
  <c r="G4674" i="1"/>
  <c r="H4674" i="1"/>
  <c r="D4674" i="1"/>
  <c r="A4674" i="1"/>
  <c r="C4674" i="1"/>
  <c r="E4674" i="1"/>
  <c r="F4674" i="1"/>
  <c r="G1655" i="1"/>
  <c r="H1655" i="1"/>
  <c r="D1655" i="1"/>
  <c r="A1655" i="1"/>
  <c r="C1655" i="1"/>
  <c r="E1655" i="1"/>
  <c r="F1655" i="1"/>
  <c r="G4762" i="1"/>
  <c r="H4762" i="1"/>
  <c r="D4762" i="1"/>
  <c r="A4762" i="1"/>
  <c r="C4762" i="1"/>
  <c r="E4762" i="1"/>
  <c r="F4762" i="1"/>
  <c r="G1540" i="1"/>
  <c r="H1540" i="1"/>
  <c r="D1540" i="1"/>
  <c r="A1540" i="1"/>
  <c r="C1540" i="1"/>
  <c r="E1540" i="1"/>
  <c r="F1540" i="1"/>
  <c r="G3857" i="1"/>
  <c r="H3857" i="1"/>
  <c r="D3857" i="1"/>
  <c r="A3857" i="1"/>
  <c r="C3857" i="1"/>
  <c r="E3857" i="1"/>
  <c r="F3857" i="1"/>
  <c r="G3990" i="1"/>
  <c r="H3990" i="1"/>
  <c r="D3990" i="1"/>
  <c r="A3990" i="1"/>
  <c r="C3990" i="1"/>
  <c r="E3990" i="1"/>
  <c r="F3990" i="1"/>
  <c r="G2936" i="1"/>
  <c r="H2936" i="1"/>
  <c r="D2936" i="1"/>
  <c r="A2936" i="1"/>
  <c r="C2936" i="1"/>
  <c r="E2936" i="1"/>
  <c r="F2936" i="1"/>
  <c r="G2834" i="1"/>
  <c r="H2834" i="1"/>
  <c r="D2834" i="1"/>
  <c r="A2834" i="1"/>
  <c r="C2834" i="1"/>
  <c r="E2834" i="1"/>
  <c r="F2834" i="1"/>
  <c r="G2196" i="1"/>
  <c r="H2196" i="1"/>
  <c r="D2196" i="1"/>
  <c r="A2196" i="1"/>
  <c r="C2196" i="1"/>
  <c r="E2196" i="1"/>
  <c r="F2196" i="1"/>
  <c r="G1777" i="1"/>
  <c r="H1777" i="1"/>
  <c r="D1777" i="1"/>
  <c r="A1777" i="1"/>
  <c r="C1777" i="1"/>
  <c r="E1777" i="1"/>
  <c r="F1777" i="1"/>
  <c r="G2881" i="1"/>
  <c r="H2881" i="1"/>
  <c r="D2881" i="1"/>
  <c r="A2881" i="1"/>
  <c r="C2881" i="1"/>
  <c r="E2881" i="1"/>
  <c r="F2881" i="1"/>
  <c r="G2276" i="1"/>
  <c r="H2276" i="1"/>
  <c r="D2276" i="1"/>
  <c r="A2276" i="1"/>
  <c r="C2276" i="1"/>
  <c r="E2276" i="1"/>
  <c r="F2276" i="1"/>
  <c r="G3089" i="1"/>
  <c r="H3089" i="1"/>
  <c r="D3089" i="1"/>
  <c r="A3089" i="1"/>
  <c r="C3089" i="1"/>
  <c r="E3089" i="1"/>
  <c r="F3089" i="1"/>
</calcChain>
</file>

<file path=xl/sharedStrings.xml><?xml version="1.0" encoding="utf-8"?>
<sst xmlns="http://schemas.openxmlformats.org/spreadsheetml/2006/main" count="5112" uniqueCount="5112">
  <si>
    <t>="このゆびと?まれ；“おはなし”の会通信"</t>
  </si>
  <si>
    <t>="“きび考”"</t>
  </si>
  <si>
    <t>="晴れの国岡山"宝くじだより"""</t>
  </si>
  <si>
    <t>="東京女子大学同窓会岡山支部風"編集室"""</t>
  </si>
  <si>
    <t>="仮称“きび”考"</t>
  </si>
  <si>
    <t>https://opac.libnet.pref.okayama.jp/licsxp-opac/WOpacMsgNewListToTifTilDetailAction.do?tilcod=2002222287231</t>
  </si>
  <si>
    <t>https://opac.libnet.pref.okayama.jp/licsxp-opac/WOpacMsgNewListToTifTilDetailAction.do?tilcod=2002222326046</t>
  </si>
  <si>
    <t>https://opac.libnet.pref.okayama.jp/licsxp-opac/WOpacMsgNewListToTifTilDetailAction.do?tilcod=2002222283271</t>
  </si>
  <si>
    <t>https://opac.libnet.pref.okayama.jp/licsxp-opac/WOpacMsgNewListToTifTilDetailAction.do?tilcod=2002222339370</t>
  </si>
  <si>
    <t>https://opac.libnet.pref.okayama.jp/licsxp-opac/WOpacMsgNewListToTifTilDetailAction.do?tilcod=2002222287271</t>
  </si>
  <si>
    <t>https://opac.libnet.pref.okayama.jp/licsxp-opac/WOpacMsgNewListToTifTilDetailAction.do?tilcod=2002222302333</t>
  </si>
  <si>
    <t>https://opac.libnet.pref.okayama.jp/licsxp-opac/WOpacMsgNewListToTifTilDetailAction.do?tilcod=2002222335366</t>
  </si>
  <si>
    <t>https://opac.libnet.pref.okayama.jp/licsxp-opac/WOpacMsgNewListToTifTilDetailAction.do?tilcod=2002222287281</t>
  </si>
  <si>
    <t>https://opac.libnet.pref.okayama.jp/licsxp-opac/WOpacMsgNewListToTifTilDetailAction.do?tilcod=2002222287291</t>
  </si>
  <si>
    <t>https://opac.libnet.pref.okayama.jp/licsxp-opac/WOpacMsgNewListToTifTilDetailAction.do?tilcod=2002222302122</t>
  </si>
  <si>
    <t>https://opac.libnet.pref.okayama.jp/licsxp-opac/WOpacMsgNewListToTifTilDetailAction.do?tilcod=2002222301064</t>
  </si>
  <si>
    <t>https://opac.libnet.pref.okayama.jp/licsxp-opac/WOpacMsgNewListToTifTilDetailAction.do?tilcod=2002222284571</t>
  </si>
  <si>
    <t>https://opac.libnet.pref.okayama.jp/licsxp-opac/WOpacMsgNewListToTifTilDetailAction.do?tilcod=2002222291821</t>
  </si>
  <si>
    <t>https://opac.libnet.pref.okayama.jp/licsxp-opac/WOpacMsgNewListToTifTilDetailAction.do?tilcod=2002222317727</t>
  </si>
  <si>
    <t>https://opac.libnet.pref.okayama.jp/licsxp-opac/WOpacMsgNewListToTifTilDetailAction.do?tilcod=2002222335892</t>
  </si>
  <si>
    <t>https://opac.libnet.pref.okayama.jp/licsxp-opac/WOpacMsgNewListToTifTilDetailAction.do?tilcod=2002222312307</t>
  </si>
  <si>
    <t>https://opac.libnet.pref.okayama.jp/licsxp-opac/WOpacMsgNewListToTifTilDetailAction.do?tilcod=2002222319607</t>
  </si>
  <si>
    <t>https://opac.libnet.pref.okayama.jp/licsxp-opac/WOpacMsgNewListToTifTilDetailAction.do?tilcod=2002222321167</t>
  </si>
  <si>
    <t>https://opac.libnet.pref.okayama.jp/licsxp-opac/WOpacMsgNewListToTifTilDetailAction.do?tilcod=2002222291001</t>
  </si>
  <si>
    <t>https://opac.libnet.pref.okayama.jp/licsxp-opac/WOpacMsgNewListToTifTilDetailAction.do?tilcod=2002222287011</t>
  </si>
  <si>
    <t>https://opac.libnet.pref.okayama.jp/licsxp-opac/WOpacMsgNewListToTifTilDetailAction.do?tilcod=2002222301722</t>
  </si>
  <si>
    <t>https://opac.libnet.pref.okayama.jp/licsxp-opac/WOpacMsgNewListToTifTilDetailAction.do?tilcod=2002222281361</t>
  </si>
  <si>
    <t>https://opac.libnet.pref.okayama.jp/licsxp-opac/WOpacMsgNewListToTifTilDetailAction.do?tilcod=2002222301725</t>
  </si>
  <si>
    <t>https://opac.libnet.pref.okayama.jp/licsxp-opac/WOpacMsgNewListToTifTilDetailAction.do?tilcod=2002222287021</t>
  </si>
  <si>
    <t>https://opac.libnet.pref.okayama.jp/licsxp-opac/WOpacMsgNewListToTifTilDetailAction.do?tilcod=2002222334593</t>
  </si>
  <si>
    <t>https://opac.libnet.pref.okayama.jp/licsxp-opac/WOpacMsgNewListToTifTilDetailAction.do?tilcod=2002222287031</t>
  </si>
  <si>
    <t>https://opac.libnet.pref.okayama.jp/licsxp-opac/WOpacMsgNewListToTifTilDetailAction.do?tilcod=2002222301500</t>
  </si>
  <si>
    <t>https://opac.libnet.pref.okayama.jp/licsxp-opac/WOpacMsgNewListToTifTilDetailAction.do?tilcod=2002222301734</t>
  </si>
  <si>
    <t>https://opac.libnet.pref.okayama.jp/licsxp-opac/WOpacMsgNewListToTifTilDetailAction.do?tilcod=2002222285291</t>
  </si>
  <si>
    <t>https://opac.libnet.pref.okayama.jp/licsxp-opac/WOpacMsgNewListToTifTilDetailAction.do?tilcod=2002222300176</t>
  </si>
  <si>
    <t>https://opac.libnet.pref.okayama.jp/licsxp-opac/WOpacMsgNewListToTifTilDetailAction.do?tilcod=2002222338610</t>
  </si>
  <si>
    <t>https://opac.libnet.pref.okayama.jp/licsxp-opac/WOpacMsgNewListToTifTilDetailAction.do?tilcod=2002222313326</t>
  </si>
  <si>
    <t>https://opac.libnet.pref.okayama.jp/licsxp-opac/WOpacMsgNewListToTifTilDetailAction.do?tilcod=2002222302035</t>
  </si>
  <si>
    <t>https://opac.libnet.pref.okayama.jp/licsxp-opac/WOpacMsgNewListToTifTilDetailAction.do?tilcod=2002222289041</t>
  </si>
  <si>
    <t>https://opac.libnet.pref.okayama.jp/licsxp-opac/WOpacMsgNewListToTifTilDetailAction.do?tilcod=2002222302332</t>
  </si>
  <si>
    <t>https://opac.libnet.pref.okayama.jp/licsxp-opac/WOpacMsgNewListToTifTilDetailAction.do?tilcod=2002222301967</t>
  </si>
  <si>
    <t>https://opac.libnet.pref.okayama.jp/licsxp-opac/WOpacMsgNewListToTifTilDetailAction.do?tilcod=2002222332108</t>
  </si>
  <si>
    <t>https://opac.libnet.pref.okayama.jp/licsxp-opac/WOpacMsgNewListToTifTilDetailAction.do?tilcod=2002222302358</t>
  </si>
  <si>
    <t>https://opac.libnet.pref.okayama.jp/licsxp-opac/WOpacMsgNewListToTifTilDetailAction.do?tilcod=2002222302017</t>
  </si>
  <si>
    <t>https://opac.libnet.pref.okayama.jp/licsxp-opac/WOpacMsgNewListToTifTilDetailAction.do?tilcod=2002222331408</t>
  </si>
  <si>
    <t>https://opac.libnet.pref.okayama.jp/licsxp-opac/WOpacMsgNewListToTifTilDetailAction.do?tilcod=2002222300984</t>
  </si>
  <si>
    <t>https://opac.libnet.pref.okayama.jp/licsxp-opac/WOpacMsgNewListToTifTilDetailAction.do?tilcod=2002222301019</t>
  </si>
  <si>
    <t>https://opac.libnet.pref.okayama.jp/licsxp-opac/WOpacMsgNewListToTifTilDetailAction.do?tilcod=2002222300180</t>
  </si>
  <si>
    <t>https://opac.libnet.pref.okayama.jp/licsxp-opac/WOpacMsgNewListToTifTilDetailAction.do?tilcod=2002222300186</t>
  </si>
  <si>
    <t>https://opac.libnet.pref.okayama.jp/licsxp-opac/WOpacMsgNewListToTifTilDetailAction.do?tilcod=2002222287051</t>
  </si>
  <si>
    <t>https://opac.libnet.pref.okayama.jp/licsxp-opac/WOpacMsgNewListToTifTilDetailAction.do?tilcod=2002222286081</t>
  </si>
  <si>
    <t>https://opac.libnet.pref.okayama.jp/licsxp-opac/WOpacMsgNewListToTifTilDetailAction.do?tilcod=2002222285571</t>
  </si>
  <si>
    <t>https://opac.libnet.pref.okayama.jp/licsxp-opac/WOpacMsgNewListToTifTilDetailAction.do?tilcod=2002222307528</t>
  </si>
  <si>
    <t>https://opac.libnet.pref.okayama.jp/licsxp-opac/WOpacMsgNewListToTifTilDetailAction.do?tilcod=2002222281914</t>
  </si>
  <si>
    <t>https://opac.libnet.pref.okayama.jp/licsxp-opac/WOpacMsgNewListToTifTilDetailAction.do?tilcod=2002222287061</t>
  </si>
  <si>
    <t>https://opac.libnet.pref.okayama.jp/licsxp-opac/WOpacMsgNewListToTifTilDetailAction.do?tilcod=2002222322407</t>
  </si>
  <si>
    <t>https://opac.libnet.pref.okayama.jp/licsxp-opac/WOpacMsgNewListToTifTilDetailAction.do?tilcod=2002222306785</t>
  </si>
  <si>
    <t>https://opac.libnet.pref.okayama.jp/licsxp-opac/WOpacMsgNewListToTifTilDetailAction.do?tilcod=2002222306699</t>
  </si>
  <si>
    <t>https://opac.libnet.pref.okayama.jp/licsxp-opac/WOpacMsgNewListToTifTilDetailAction.do?tilcod=2002222336773</t>
  </si>
  <si>
    <t>https://opac.libnet.pref.okayama.jp/licsxp-opac/WOpacMsgNewListToTifTilDetailAction.do?tilcod=2002222336966</t>
  </si>
  <si>
    <t>https://opac.libnet.pref.okayama.jp/licsxp-opac/WOpacMsgNewListToTifTilDetailAction.do?tilcod=2002222341371</t>
  </si>
  <si>
    <t>https://opac.libnet.pref.okayama.jp/licsxp-opac/WOpacMsgNewListToTifTilDetailAction.do?tilcod=2002222302056</t>
  </si>
  <si>
    <t>https://opac.libnet.pref.okayama.jp/licsxp-opac/WOpacMsgNewListToTifTilDetailAction.do?tilcod=2002222289051</t>
  </si>
  <si>
    <t>https://opac.libnet.pref.okayama.jp/licsxp-opac/WOpacMsgNewListToTifTilDetailAction.do?tilcod=2002222283051</t>
  </si>
  <si>
    <t>https://opac.libnet.pref.okayama.jp/licsxp-opac/WOpacMsgNewListToTifTilDetailAction.do?tilcod=2002222281001</t>
  </si>
  <si>
    <t>https://opac.libnet.pref.okayama.jp/licsxp-opac/WOpacMsgNewListToTifTilDetailAction.do?tilcod=2002222287091</t>
  </si>
  <si>
    <t>https://opac.libnet.pref.okayama.jp/licsxp-opac/WOpacMsgNewListToTifTilDetailAction.do?tilcod=2002222331466</t>
  </si>
  <si>
    <t>https://opac.libnet.pref.okayama.jp/licsxp-opac/WOpacMsgNewListToTifTilDetailAction.do?tilcod=2002222281921</t>
  </si>
  <si>
    <t>https://opac.libnet.pref.okayama.jp/licsxp-opac/WOpacMsgNewListToTifTilDetailAction.do?tilcod=2002222307267</t>
  </si>
  <si>
    <t>https://opac.libnet.pref.okayama.jp/licsxp-opac/WOpacMsgNewListToTifTilDetailAction.do?tilcod=2002222281644</t>
  </si>
  <si>
    <t>https://opac.libnet.pref.okayama.jp/licsxp-opac/WOpacMsgNewListToTifTilDetailAction.do?tilcod=2002222291831</t>
  </si>
  <si>
    <t>https://opac.libnet.pref.okayama.jp/licsxp-opac/WOpacMsgNewListToTifTilDetailAction.do?tilcod=2002222281624</t>
  </si>
  <si>
    <t>https://opac.libnet.pref.okayama.jp/licsxp-opac/WOpacMsgNewListToTifTilDetailAction.do?tilcod=2002222281654</t>
  </si>
  <si>
    <t>https://opac.libnet.pref.okayama.jp/licsxp-opac/WOpacMsgNewListToTifTilDetailAction.do?tilcod=2002222281634</t>
  </si>
  <si>
    <t>https://opac.libnet.pref.okayama.jp/licsxp-opac/WOpacMsgNewListToTifTilDetailAction.do?tilcod=2002222327546</t>
  </si>
  <si>
    <t>https://opac.libnet.pref.okayama.jp/licsxp-opac/WOpacMsgNewListToTifTilDetailAction.do?tilcod=2002222313826</t>
  </si>
  <si>
    <t>https://opac.libnet.pref.okayama.jp/licsxp-opac/WOpacMsgNewListToTifTilDetailAction.do?tilcod=2002222301983</t>
  </si>
  <si>
    <t>https://opac.libnet.pref.okayama.jp/licsxp-opac/WOpacMsgNewListToTifTilDetailAction.do?tilcod=2002222289061</t>
  </si>
  <si>
    <t>https://opac.libnet.pref.okayama.jp/licsxp-opac/WOpacMsgNewListToTifTilDetailAction.do?tilcod=2002222289081</t>
  </si>
  <si>
    <t>https://opac.libnet.pref.okayama.jp/licsxp-opac/WOpacMsgNewListToTifTilDetailAction.do?tilcod=2002222327246</t>
  </si>
  <si>
    <t>https://opac.libnet.pref.okayama.jp/licsxp-opac/WOpacMsgNewListToTifTilDetailAction.do?tilcod=2002222331936</t>
  </si>
  <si>
    <t>https://opac.libnet.pref.okayama.jp/licsxp-opac/WOpacMsgNewListToTifTilDetailAction.do?tilcod=2002222285891</t>
  </si>
  <si>
    <t>https://opac.libnet.pref.okayama.jp/licsxp-opac/WOpacMsgNewListToTifTilDetailAction.do?tilcod=2002222287101</t>
  </si>
  <si>
    <t>https://opac.libnet.pref.okayama.jp/licsxp-opac/WOpacMsgNewListToTifTilDetailAction.do?tilcod=2002222302266</t>
  </si>
  <si>
    <t>https://opac.libnet.pref.okayama.jp/licsxp-opac/WOpacMsgNewListToTifTilDetailAction.do?tilcod=2002222287111</t>
  </si>
  <si>
    <t>https://opac.libnet.pref.okayama.jp/licsxp-opac/WOpacMsgNewListToTifTilDetailAction.do?tilcod=2002222291841</t>
  </si>
  <si>
    <t>https://opac.libnet.pref.okayama.jp/licsxp-opac/WOpacMsgNewListToTifTilDetailAction.do?tilcod=2002222339390</t>
  </si>
  <si>
    <t>https://opac.libnet.pref.okayama.jp/licsxp-opac/WOpacMsgNewListToTifTilDetailAction.do?tilcod=2002222341373</t>
  </si>
  <si>
    <t>https://opac.libnet.pref.okayama.jp/licsxp-opac/WOpacMsgNewListToTifTilDetailAction.do?tilcod=2002222338770</t>
  </si>
  <si>
    <t>https://opac.libnet.pref.okayama.jp/licsxp-opac/WOpacMsgNewListToTifTilDetailAction.do?tilcod=2002222340933</t>
  </si>
  <si>
    <t>https://opac.libnet.pref.okayama.jp/licsxp-opac/WOpacMsgNewListToTifTilDetailAction.do?tilcod=2002222329869</t>
  </si>
  <si>
    <t>https://opac.libnet.pref.okayama.jp/licsxp-opac/WOpacMsgNewListToTifTilDetailAction.do?tilcod=2002222301505</t>
  </si>
  <si>
    <t>https://opac.libnet.pref.okayama.jp/licsxp-opac/WOpacMsgNewListToTifTilDetailAction.do?tilcod=2002222291861</t>
  </si>
  <si>
    <t>https://opac.libnet.pref.okayama.jp/licsxp-opac/WOpacMsgNewListToTifTilDetailAction.do?tilcod=2002222287121</t>
  </si>
  <si>
    <t>https://opac.libnet.pref.okayama.jp/licsxp-opac/WOpacMsgNewListToTifTilDetailAction.do?tilcod=2002222302419</t>
  </si>
  <si>
    <t>https://opac.libnet.pref.okayama.jp/licsxp-opac/WOpacMsgNewListToTifTilDetailAction.do?tilcod=2002222282651</t>
  </si>
  <si>
    <t>https://opac.libnet.pref.okayama.jp/licsxp-opac/WOpacMsgNewListToTifTilDetailAction.do?tilcod=2002222294631</t>
  </si>
  <si>
    <t>https://opac.libnet.pref.okayama.jp/licsxp-opac/WOpacMsgNewListToTifTilDetailAction.do?tilcod=2002222291851</t>
  </si>
  <si>
    <t>https://opac.libnet.pref.okayama.jp/licsxp-opac/WOpacMsgNewListToTifTilDetailAction.do?tilcod=2002222294641</t>
  </si>
  <si>
    <t>https://opac.libnet.pref.okayama.jp/licsxp-opac/WOpacMsgNewListToTifTilDetailAction.do?tilcod=2002222301216</t>
  </si>
  <si>
    <t>https://opac.libnet.pref.okayama.jp/licsxp-opac/WOpacMsgNewListToTifTilDetailAction.do?tilcod=2002222330671</t>
  </si>
  <si>
    <t>https://opac.libnet.pref.okayama.jp/licsxp-opac/WOpacMsgNewListToTifTilDetailAction.do?tilcod=2002222281561</t>
  </si>
  <si>
    <t>https://opac.libnet.pref.okayama.jp/licsxp-opac/WOpacMsgNewListToTifTilDetailAction.do?tilcod=2002222287131</t>
  </si>
  <si>
    <t>https://opac.libnet.pref.okayama.jp/licsxp-opac/WOpacMsgNewListToTifTilDetailAction.do?tilcod=2002222329871</t>
  </si>
  <si>
    <t>https://opac.libnet.pref.okayama.jp/licsxp-opac/WOpacMsgNewListToTifTilDetailAction.do?tilcod=2002222338772</t>
  </si>
  <si>
    <t>https://opac.libnet.pref.okayama.jp/licsxp-opac/WOpacMsgNewListToTifTilDetailAction.do?tilcod=2002222282401</t>
  </si>
  <si>
    <t>https://opac.libnet.pref.okayama.jp/licsxp-opac/WOpacMsgNewListToTifTilDetailAction.do?tilcod=2002222287141</t>
  </si>
  <si>
    <t>https://opac.libnet.pref.okayama.jp/licsxp-opac/WOpacMsgNewListToTifTilDetailAction.do?tilcod=2002222287161</t>
  </si>
  <si>
    <t>https://opac.libnet.pref.okayama.jp/licsxp-opac/WOpacMsgNewListToTifTilDetailAction.do?tilcod=2002222300774</t>
  </si>
  <si>
    <t>https://opac.libnet.pref.okayama.jp/licsxp-opac/WOpacMsgNewListToTifTilDetailAction.do?tilcod=2002222302336</t>
  </si>
  <si>
    <t>https://opac.libnet.pref.okayama.jp/licsxp-opac/WOpacMsgNewListToTifTilDetailAction.do?tilcod=2002222341383</t>
  </si>
  <si>
    <t>https://opac.libnet.pref.okayama.jp/licsxp-opac/WOpacMsgNewListToTifTilDetailAction.do?tilcod=2002222287171</t>
  </si>
  <si>
    <t>https://opac.libnet.pref.okayama.jp/licsxp-opac/WOpacMsgNewListToTifTilDetailAction.do?tilcod=2002222280614</t>
  </si>
  <si>
    <t>https://opac.libnet.pref.okayama.jp/licsxp-opac/WOpacMsgNewListToTifTilDetailAction.do?tilcod=2002222282054</t>
  </si>
  <si>
    <t>https://opac.libnet.pref.okayama.jp/licsxp-opac/WOpacMsgNewListToTifTilDetailAction.do?tilcod=2002222280104</t>
  </si>
  <si>
    <t>https://opac.libnet.pref.okayama.jp/licsxp-opac/WOpacMsgNewListToTifTilDetailAction.do?tilcod=2002222302106</t>
  </si>
  <si>
    <t>https://opac.libnet.pref.okayama.jp/licsxp-opac/WOpacMsgNewListToTifTilDetailAction.do?tilcod=2002222281774</t>
  </si>
  <si>
    <t>https://opac.libnet.pref.okayama.jp/licsxp-opac/WOpacMsgNewListToTifTilDetailAction.do?tilcod=2002222281181</t>
  </si>
  <si>
    <t>https://opac.libnet.pref.okayama.jp/licsxp-opac/WOpacMsgNewListToTifTilDetailAction.do?tilcod=2002222316986</t>
  </si>
  <si>
    <t>https://opac.libnet.pref.okayama.jp/licsxp-opac/WOpacMsgNewListToTifTilDetailAction.do?tilcod=2002222287181</t>
  </si>
  <si>
    <t>https://opac.libnet.pref.okayama.jp/licsxp-opac/WOpacMsgNewListToTifTilDetailAction.do?tilcod=2002222319735</t>
  </si>
  <si>
    <t>https://opac.libnet.pref.okayama.jp/licsxp-opac/WOpacMsgNewListToTifTilDetailAction.do?tilcod=2002222333226</t>
  </si>
  <si>
    <t>https://opac.libnet.pref.okayama.jp/licsxp-opac/WOpacMsgNewListToTifTilDetailAction.do?tilcod=2002222343971</t>
  </si>
  <si>
    <t>https://opac.libnet.pref.okayama.jp/licsxp-opac/WOpacMsgNewListToTifTilDetailAction.do?tilcod=2002222287191</t>
  </si>
  <si>
    <t>https://opac.libnet.pref.okayama.jp/licsxp-opac/WOpacMsgNewListToTifTilDetailAction.do?tilcod=2002222282581</t>
  </si>
  <si>
    <t>https://opac.libnet.pref.okayama.jp/licsxp-opac/WOpacMsgNewListToTifTilDetailAction.do?tilcod=2002222287201</t>
  </si>
  <si>
    <t>https://opac.libnet.pref.okayama.jp/licsxp-opac/WOpacMsgNewListToTifTilDetailAction.do?tilcod=2002222331934</t>
  </si>
  <si>
    <t>https://opac.libnet.pref.okayama.jp/licsxp-opac/WOpacMsgNewListToTifTilDetailAction.do?tilcod=2002222337470</t>
  </si>
  <si>
    <t>https://opac.libnet.pref.okayama.jp/licsxp-opac/WOpacMsgNewListToTifTilDetailAction.do?tilcod=2002222291871</t>
  </si>
  <si>
    <t>https://opac.libnet.pref.okayama.jp/licsxp-opac/WOpacMsgNewListToTifTilDetailAction.do?tilcod=2002222302116</t>
  </si>
  <si>
    <t>https://opac.libnet.pref.okayama.jp/licsxp-opac/WOpacMsgNewListToTifTilDetailAction.do?tilcod=2002222302383</t>
  </si>
  <si>
    <t>https://opac.libnet.pref.okayama.jp/licsxp-opac/WOpacMsgNewListToTifTilDetailAction.do?tilcod=2002222317746</t>
  </si>
  <si>
    <t>https://opac.libnet.pref.okayama.jp/licsxp-opac/WOpacMsgNewListToTifTilDetailAction.do?tilcod=2002222285871</t>
  </si>
  <si>
    <t>https://opac.libnet.pref.okayama.jp/licsxp-opac/WOpacMsgNewListToTifTilDetailAction.do?tilcod=2002222287211</t>
  </si>
  <si>
    <t>https://opac.libnet.pref.okayama.jp/licsxp-opac/WOpacMsgNewListToTifTilDetailAction.do?tilcod=2002222310106</t>
  </si>
  <si>
    <t>https://opac.libnet.pref.okayama.jp/licsxp-opac/WOpacMsgNewListToTifTilDetailAction.do?tilcod=2002222300775</t>
  </si>
  <si>
    <t>https://opac.libnet.pref.okayama.jp/licsxp-opac/WOpacMsgNewListToTifTilDetailAction.do?tilcod=2002222337090</t>
  </si>
  <si>
    <t>https://opac.libnet.pref.okayama.jp/licsxp-opac/WOpacMsgNewListToTifTilDetailAction.do?tilcod=2002222302480</t>
  </si>
  <si>
    <t>https://opac.libnet.pref.okayama.jp/licsxp-opac/WOpacMsgNewListToTifTilDetailAction.do?tilcod=2002222281451</t>
  </si>
  <si>
    <t>https://opac.libnet.pref.okayama.jp/licsxp-opac/WOpacMsgNewListToTifTilDetailAction.do?tilcod=2002222334666</t>
  </si>
  <si>
    <t>https://opac.libnet.pref.okayama.jp/licsxp-opac/WOpacMsgNewListToTifTilDetailAction.do?tilcod=2002222287221</t>
  </si>
  <si>
    <t>https://opac.libnet.pref.okayama.jp/licsxp-opac/WOpacMsgNewListToTifTilDetailAction.do?tilcod=2002222336906</t>
  </si>
  <si>
    <t>https://opac.libnet.pref.okayama.jp/licsxp-opac/WOpacMsgNewListToTifTilDetailAction.do?tilcod=2002222301690</t>
  </si>
  <si>
    <t>https://opac.libnet.pref.okayama.jp/licsxp-opac/WOpacMsgNewListToTifTilDetailAction.do?tilcod=2002222282011</t>
  </si>
  <si>
    <t>https://opac.libnet.pref.okayama.jp/licsxp-opac/WOpacMsgNewListToTifTilDetailAction.do?tilcod=2002222281871</t>
  </si>
  <si>
    <t>https://opac.libnet.pref.okayama.jp/licsxp-opac/WOpacMsgNewListToTifTilDetailAction.do?tilcod=2002222337870</t>
  </si>
  <si>
    <t>https://opac.libnet.pref.okayama.jp/licsxp-opac/WOpacMsgNewListToTifTilDetailAction.do?tilcod=2002222294651</t>
  </si>
  <si>
    <t>https://opac.libnet.pref.okayama.jp/licsxp-opac/WOpacMsgNewListToTifTilDetailAction.do?tilcod=2002222300788</t>
  </si>
  <si>
    <t>https://opac.libnet.pref.okayama.jp/licsxp-opac/WOpacMsgNewListToTifTilDetailAction.do?tilcod=2002222342690</t>
  </si>
  <si>
    <t>https://opac.libnet.pref.okayama.jp/licsxp-opac/WOpacMsgNewListToTifTilDetailAction.do?tilcod=2002222301508</t>
  </si>
  <si>
    <t>https://opac.libnet.pref.okayama.jp/licsxp-opac/WOpacMsgNewListToTifTilDetailAction.do?tilcod=2002222287241</t>
  </si>
  <si>
    <t>https://opac.libnet.pref.okayama.jp/licsxp-opac/WOpacMsgNewListToTifTilDetailAction.do?tilcod=2002222301464</t>
  </si>
  <si>
    <t>https://opac.libnet.pref.okayama.jp/licsxp-opac/WOpacMsgNewListToTifTilDetailAction.do?tilcod=2002222282501</t>
  </si>
  <si>
    <t>https://opac.libnet.pref.okayama.jp/licsxp-opac/WOpacMsgNewListToTifTilDetailAction.do?tilcod=2002222289211</t>
  </si>
  <si>
    <t>https://opac.libnet.pref.okayama.jp/licsxp-opac/WOpacMsgNewListToTifTilDetailAction.do?tilcod=2002222282221</t>
  </si>
  <si>
    <t>https://opac.libnet.pref.okayama.jp/licsxp-opac/WOpacMsgNewListToTifTilDetailAction.do?tilcod=2002222319788</t>
  </si>
  <si>
    <t>https://opac.libnet.pref.okayama.jp/licsxp-opac/WOpacMsgNewListToTifTilDetailAction.do?tilcod=2002222287301</t>
  </si>
  <si>
    <t>https://opac.libnet.pref.okayama.jp/licsxp-opac/WOpacMsgNewListToTifTilDetailAction.do?tilcod=2002222291011</t>
  </si>
  <si>
    <t>https://opac.libnet.pref.okayama.jp/licsxp-opac/WOpacMsgNewListToTifTilDetailAction.do?tilcod=2002222301099</t>
  </si>
  <si>
    <t>https://opac.libnet.pref.okayama.jp/licsxp-opac/WOpacMsgNewListToTifTilDetailAction.do?tilcod=2002222287311</t>
  </si>
  <si>
    <t>https://opac.libnet.pref.okayama.jp/licsxp-opac/WOpacMsgNewListToTifTilDetailAction.do?tilcod=2002222334147</t>
  </si>
  <si>
    <t>https://opac.libnet.pref.okayama.jp/licsxp-opac/WOpacMsgNewListToTifTilDetailAction.do?tilcod=2002222335866</t>
  </si>
  <si>
    <t>https://opac.libnet.pref.okayama.jp/licsxp-opac/WOpacMsgNewListToTifTilDetailAction.do?tilcod=2002222291881</t>
  </si>
  <si>
    <t>https://opac.libnet.pref.okayama.jp/licsxp-opac/WOpacMsgNewListToTifTilDetailAction.do?tilcod=2002222287321</t>
  </si>
  <si>
    <t>https://opac.libnet.pref.okayama.jp/licsxp-opac/WOpacMsgNewListToTifTilDetailAction.do?tilcod=2002222301412</t>
  </si>
  <si>
    <t>https://opac.libnet.pref.okayama.jp/licsxp-opac/WOpacMsgNewListToTifTilDetailAction.do?tilcod=2002222326386</t>
  </si>
  <si>
    <t>https://opac.libnet.pref.okayama.jp/licsxp-opac/WOpacMsgNewListToTifTilDetailAction.do?tilcod=2002222302014</t>
  </si>
  <si>
    <t>https://opac.libnet.pref.okayama.jp/licsxp-opac/WOpacMsgNewListToTifTilDetailAction.do?tilcod=2002222287331</t>
  </si>
  <si>
    <t>https://opac.libnet.pref.okayama.jp/licsxp-opac/WOpacMsgNewListToTifTilDetailAction.do?tilcod=2002222308988</t>
  </si>
  <si>
    <t>https://opac.libnet.pref.okayama.jp/licsxp-opac/WOpacMsgNewListToTifTilDetailAction.do?tilcod=2002222287371</t>
  </si>
  <si>
    <t>https://opac.libnet.pref.okayama.jp/licsxp-opac/WOpacMsgNewListToTifTilDetailAction.do?tilcod=2002222300283</t>
  </si>
  <si>
    <t>https://opac.libnet.pref.okayama.jp/licsxp-opac/WOpacMsgNewListToTifTilDetailAction.do?tilcod=2002222280981</t>
  </si>
  <si>
    <t>https://opac.libnet.pref.okayama.jp/licsxp-opac/WOpacMsgNewListToTifTilDetailAction.do?tilcod=2002222301465</t>
  </si>
  <si>
    <t>https://opac.libnet.pref.okayama.jp/licsxp-opac/WOpacMsgNewListToTifTilDetailAction.do?tilcod=2002222287441</t>
  </si>
  <si>
    <t>https://opac.libnet.pref.okayama.jp/licsxp-opac/WOpacMsgNewListToTifTilDetailAction.do?tilcod=2002222311146</t>
  </si>
  <si>
    <t>https://opac.libnet.pref.okayama.jp/licsxp-opac/WOpacMsgNewListToTifTilDetailAction.do?tilcod=2002222331826</t>
  </si>
  <si>
    <t>https://opac.libnet.pref.okayama.jp/licsxp-opac/WOpacMsgNewListToTifTilDetailAction.do?tilcod=2002222301549</t>
  </si>
  <si>
    <t>https://opac.libnet.pref.okayama.jp/licsxp-opac/WOpacMsgNewListToTifTilDetailAction.do?tilcod=2002222301550</t>
  </si>
  <si>
    <t>https://opac.libnet.pref.okayama.jp/licsxp-opac/WOpacMsgNewListToTifTilDetailAction.do?tilcod=2002222301991</t>
  </si>
  <si>
    <t>https://opac.libnet.pref.okayama.jp/licsxp-opac/WOpacMsgNewListToTifTilDetailAction.do?tilcod=2002222282331</t>
  </si>
  <si>
    <t>https://opac.libnet.pref.okayama.jp/licsxp-opac/WOpacMsgNewListToTifTilDetailAction.do?tilcod=2002222287341</t>
  </si>
  <si>
    <t>https://opac.libnet.pref.okayama.jp/licsxp-opac/WOpacMsgNewListToTifTilDetailAction.do?tilcod=2002222309928</t>
  </si>
  <si>
    <t>https://opac.libnet.pref.okayama.jp/licsxp-opac/WOpacMsgNewListToTifTilDetailAction.do?tilcod=2002222341970</t>
  </si>
  <si>
    <t>https://opac.libnet.pref.okayama.jp/licsxp-opac/WOpacMsgNewListToTifTilDetailAction.do?tilcod=2002222281301</t>
  </si>
  <si>
    <t>https://opac.libnet.pref.okayama.jp/licsxp-opac/WOpacMsgNewListToTifTilDetailAction.do?tilcod=2002222300888</t>
  </si>
  <si>
    <t>https://opac.libnet.pref.okayama.jp/licsxp-opac/WOpacMsgNewListToTifTilDetailAction.do?tilcod=2002222302090</t>
  </si>
  <si>
    <t>https://opac.libnet.pref.okayama.jp/licsxp-opac/WOpacMsgNewListToTifTilDetailAction.do?tilcod=2002222282094</t>
  </si>
  <si>
    <t>https://opac.libnet.pref.okayama.jp/licsxp-opac/WOpacMsgNewListToTifTilDetailAction.do?tilcod=2002222291891</t>
  </si>
  <si>
    <t>https://opac.libnet.pref.okayama.jp/licsxp-opac/WOpacMsgNewListToTifTilDetailAction.do?tilcod=2002222302389</t>
  </si>
  <si>
    <t>https://opac.libnet.pref.okayama.jp/licsxp-opac/WOpacMsgNewListToTifTilDetailAction.do?tilcod=2002222301484</t>
  </si>
  <si>
    <t>https://opac.libnet.pref.okayama.jp/licsxp-opac/WOpacMsgNewListToTifTilDetailAction.do?tilcod=2002222285411</t>
  </si>
  <si>
    <t>https://opac.libnet.pref.okayama.jp/licsxp-opac/WOpacMsgNewListToTifTilDetailAction.do?tilcod=2002222282261</t>
  </si>
  <si>
    <t>https://opac.libnet.pref.okayama.jp/licsxp-opac/WOpacMsgNewListToTifTilDetailAction.do?tilcod=2002222322526</t>
  </si>
  <si>
    <t>https://opac.libnet.pref.okayama.jp/licsxp-opac/WOpacMsgNewListToTifTilDetailAction.do?tilcod=2002222341431</t>
  </si>
  <si>
    <t>https://opac.libnet.pref.okayama.jp/licsxp-opac/WOpacMsgNewListToTifTilDetailAction.do?tilcod=2002222339970</t>
  </si>
  <si>
    <t>https://opac.libnet.pref.okayama.jp/licsxp-opac/WOpacMsgNewListToTifTilDetailAction.do?tilcod=2002222330311</t>
  </si>
  <si>
    <t>https://opac.libnet.pref.okayama.jp/licsxp-opac/WOpacMsgNewListToTifTilDetailAction.do?tilcod=2002222333907</t>
  </si>
  <si>
    <t>https://opac.libnet.pref.okayama.jp/licsxp-opac/WOpacMsgNewListToTifTilDetailAction.do?tilcod=2002222301783</t>
  </si>
  <si>
    <t>https://opac.libnet.pref.okayama.jp/licsxp-opac/WOpacMsgNewListToTifTilDetailAction.do?tilcod=2002222300777</t>
  </si>
  <si>
    <t>https://opac.libnet.pref.okayama.jp/licsxp-opac/WOpacMsgNewListToTifTilDetailAction.do?tilcod=2002222302442</t>
  </si>
  <si>
    <t>https://opac.libnet.pref.okayama.jp/licsxp-opac/WOpacMsgNewListToTifTilDetailAction.do?tilcod=2002222287351</t>
  </si>
  <si>
    <t>https://opac.libnet.pref.okayama.jp/licsxp-opac/WOpacMsgNewListToTifTilDetailAction.do?tilcod=2002222284561</t>
  </si>
  <si>
    <t>https://opac.libnet.pref.okayama.jp/licsxp-opac/WOpacMsgNewListToTifTilDetailAction.do?tilcod=2002222301376</t>
  </si>
  <si>
    <t>https://opac.libnet.pref.okayama.jp/licsxp-opac/WOpacMsgNewListToTifTilDetailAction.do?tilcod=2002222287361</t>
  </si>
  <si>
    <t>https://opac.libnet.pref.okayama.jp/licsxp-opac/WOpacMsgNewListToTifTilDetailAction.do?tilcod=2002222300778</t>
  </si>
  <si>
    <t>https://opac.libnet.pref.okayama.jp/licsxp-opac/WOpacMsgNewListToTifTilDetailAction.do?tilcod=2002222289101</t>
  </si>
  <si>
    <t>https://opac.libnet.pref.okayama.jp/licsxp-opac/WOpacMsgNewListToTifTilDetailAction.do?tilcod=2002222289091</t>
  </si>
  <si>
    <t>https://opac.libnet.pref.okayama.jp/licsxp-opac/WOpacMsgNewListToTifTilDetailAction.do?tilcod=2002222289111</t>
  </si>
  <si>
    <t>https://opac.libnet.pref.okayama.jp/licsxp-opac/WOpacMsgNewListToTifTilDetailAction.do?tilcod=2002222341384</t>
  </si>
  <si>
    <t>https://opac.libnet.pref.okayama.jp/licsxp-opac/WOpacMsgNewListToTifTilDetailAction.do?tilcod=2002222302183</t>
  </si>
  <si>
    <t>https://opac.libnet.pref.okayama.jp/licsxp-opac/WOpacMsgNewListToTifTilDetailAction.do?tilcod=2002222307052</t>
  </si>
  <si>
    <t>https://opac.libnet.pref.okayama.jp/licsxp-opac/WOpacMsgNewListToTifTilDetailAction.do?tilcod=2002222287381</t>
  </si>
  <si>
    <t>https://opac.libnet.pref.okayama.jp/licsxp-opac/WOpacMsgNewListToTifTilDetailAction.do?tilcod=2002222287431</t>
  </si>
  <si>
    <t>https://opac.libnet.pref.okayama.jp/licsxp-opac/WOpacMsgNewListToTifTilDetailAction.do?tilcod=2002222322028</t>
  </si>
  <si>
    <t>https://opac.libnet.pref.okayama.jp/licsxp-opac/WOpacMsgNewListToTifTilDetailAction.do?tilcod=2002222332428</t>
  </si>
  <si>
    <t>https://opac.libnet.pref.okayama.jp/licsxp-opac/WOpacMsgNewListToTifTilDetailAction.do?tilcod=2002222287391</t>
  </si>
  <si>
    <t>https://opac.libnet.pref.okayama.jp/licsxp-opac/WOpacMsgNewListToTifTilDetailAction.do?tilcod=2002222287401</t>
  </si>
  <si>
    <t>https://opac.libnet.pref.okayama.jp/licsxp-opac/WOpacMsgNewListToTifTilDetailAction.do?tilcod=2002222289121</t>
  </si>
  <si>
    <t>https://opac.libnet.pref.okayama.jp/licsxp-opac/WOpacMsgNewListToTifTilDetailAction.do?tilcod=2002222307529</t>
  </si>
  <si>
    <t>https://opac.libnet.pref.okayama.jp/licsxp-opac/WOpacMsgNewListToTifTilDetailAction.do?tilcod=2002222287411</t>
  </si>
  <si>
    <t>https://opac.libnet.pref.okayama.jp/licsxp-opac/WOpacMsgNewListToTifTilDetailAction.do?tilcod=2002222300726</t>
  </si>
  <si>
    <t>https://opac.libnet.pref.okayama.jp/licsxp-opac/WOpacMsgNewListToTifTilDetailAction.do?tilcod=2002222342890</t>
  </si>
  <si>
    <t>https://opac.libnet.pref.okayama.jp/licsxp-opac/WOpacMsgNewListToTifTilDetailAction.do?tilcod=2002222341234</t>
  </si>
  <si>
    <t>https://opac.libnet.pref.okayama.jp/licsxp-opac/WOpacMsgNewListToTifTilDetailAction.do?tilcod=2002222294101</t>
  </si>
  <si>
    <t>https://opac.libnet.pref.okayama.jp/licsxp-opac/WOpacMsgNewListToTifTilDetailAction.do?tilcod=2002222334089</t>
  </si>
  <si>
    <t>https://opac.libnet.pref.okayama.jp/licsxp-opac/WOpacMsgNewListToTifTilDetailAction.do?tilcod=2002222332830</t>
  </si>
  <si>
    <t>https://opac.libnet.pref.okayama.jp/licsxp-opac/WOpacMsgNewListToTifTilDetailAction.do?tilcod=2002222284781</t>
  </si>
  <si>
    <t>https://opac.libnet.pref.okayama.jp/licsxp-opac/WOpacMsgNewListToTifTilDetailAction.do?tilcod=2002222341490</t>
  </si>
  <si>
    <t>https://opac.libnet.pref.okayama.jp/licsxp-opac/WOpacMsgNewListToTifTilDetailAction.do?tilcod=2002222281781</t>
  </si>
  <si>
    <t>https://opac.libnet.pref.okayama.jp/licsxp-opac/WOpacMsgNewListToTifTilDetailAction.do?tilcod=2002222287421</t>
  </si>
  <si>
    <t>https://opac.libnet.pref.okayama.jp/licsxp-opac/WOpacMsgNewListToTifTilDetailAction.do?tilcod=2002222326029</t>
  </si>
  <si>
    <t>https://opac.libnet.pref.okayama.jp/licsxp-opac/WOpacMsgNewListToTifTilDetailAction.do?tilcod=2002222302198</t>
  </si>
  <si>
    <t>https://opac.libnet.pref.okayama.jp/licsxp-opac/WOpacMsgNewListToTifTilDetailAction.do?tilcod=2002222282821</t>
  </si>
  <si>
    <t>https://opac.libnet.pref.okayama.jp/licsxp-opac/WOpacMsgNewListToTifTilDetailAction.do?tilcod=2002222334852</t>
  </si>
  <si>
    <t>https://opac.libnet.pref.okayama.jp/licsxp-opac/WOpacMsgNewListToTifTilDetailAction.do?tilcod=2002222340030</t>
  </si>
  <si>
    <t>https://opac.libnet.pref.okayama.jp/licsxp-opac/WOpacMsgNewListToTifTilDetailAction.do?tilcod=2002222307812</t>
  </si>
  <si>
    <t>https://opac.libnet.pref.okayama.jp/licsxp-opac/WOpacMsgNewListToTifTilDetailAction.do?tilcod=2002222301259</t>
  </si>
  <si>
    <t>https://opac.libnet.pref.okayama.jp/licsxp-opac/WOpacMsgNewListToTifTilDetailAction.do?tilcod=2002222300519</t>
  </si>
  <si>
    <t>https://opac.libnet.pref.okayama.jp/licsxp-opac/WOpacMsgNewListToTifTilDetailAction.do?tilcod=2002222282161</t>
  </si>
  <si>
    <t>https://opac.libnet.pref.okayama.jp/licsxp-opac/WOpacMsgNewListToTifTilDetailAction.do?tilcod=2002222282851</t>
  </si>
  <si>
    <t>https://opac.libnet.pref.okayama.jp/licsxp-opac/WOpacMsgNewListToTifTilDetailAction.do?tilcod=2002222291901</t>
  </si>
  <si>
    <t>https://opac.libnet.pref.okayama.jp/licsxp-opac/WOpacMsgNewListToTifTilDetailAction.do?tilcod=2002222287471</t>
  </si>
  <si>
    <t>https://opac.libnet.pref.okayama.jp/licsxp-opac/WOpacMsgNewListToTifTilDetailAction.do?tilcod=2002222294151</t>
  </si>
  <si>
    <t>https://opac.libnet.pref.okayama.jp/licsxp-opac/WOpacMsgNewListToTifTilDetailAction.do?tilcod=2002222293751</t>
  </si>
  <si>
    <t>https://opac.libnet.pref.okayama.jp/licsxp-opac/WOpacMsgNewListToTifTilDetailAction.do?tilcod=2002222301917</t>
  </si>
  <si>
    <t>https://opac.libnet.pref.okayama.jp/licsxp-opac/WOpacMsgNewListToTifTilDetailAction.do?tilcod=2002222301918</t>
  </si>
  <si>
    <t>https://opac.libnet.pref.okayama.jp/licsxp-opac/WOpacMsgNewListToTifTilDetailAction.do?tilcod=2002222300779</t>
  </si>
  <si>
    <t>https://opac.libnet.pref.okayama.jp/licsxp-opac/WOpacMsgNewListToTifTilDetailAction.do?tilcod=2002222281574</t>
  </si>
  <si>
    <t>https://opac.libnet.pref.okayama.jp/licsxp-opac/WOpacMsgNewListToTifTilDetailAction.do?tilcod=2002222300183</t>
  </si>
  <si>
    <t>https://opac.libnet.pref.okayama.jp/licsxp-opac/WOpacMsgNewListToTifTilDetailAction.do?tilcod=2002222285431</t>
  </si>
  <si>
    <t>https://opac.libnet.pref.okayama.jp/licsxp-opac/WOpacMsgNewListToTifTilDetailAction.do?tilcod=2002222300260</t>
  </si>
  <si>
    <t>https://opac.libnet.pref.okayama.jp/licsxp-opac/WOpacMsgNewListToTifTilDetailAction.do?tilcod=2002222281011</t>
  </si>
  <si>
    <t>https://opac.libnet.pref.okayama.jp/licsxp-opac/WOpacMsgNewListToTifTilDetailAction.do?tilcod=2002222287491</t>
  </si>
  <si>
    <t>https://opac.libnet.pref.okayama.jp/licsxp-opac/WOpacMsgNewListToTifTilDetailAction.do?tilcod=2002222301428</t>
  </si>
  <si>
    <t>https://opac.libnet.pref.okayama.jp/licsxp-opac/WOpacMsgNewListToTifTilDetailAction.do?tilcod=2002222301586</t>
  </si>
  <si>
    <t>https://opac.libnet.pref.okayama.jp/licsxp-opac/WOpacMsgNewListToTifTilDetailAction.do?tilcod=2002222283041</t>
  </si>
  <si>
    <t>https://opac.libnet.pref.okayama.jp/licsxp-opac/WOpacMsgNewListToTifTilDetailAction.do?tilcod=2002222287481</t>
  </si>
  <si>
    <t>https://opac.libnet.pref.okayama.jp/licsxp-opac/WOpacMsgNewListToTifTilDetailAction.do?tilcod=2002222301265</t>
  </si>
  <si>
    <t>https://opac.libnet.pref.okayama.jp/licsxp-opac/WOpacMsgNewListToTifTilDetailAction.do?tilcod=2002222300562</t>
  </si>
  <si>
    <t>https://opac.libnet.pref.okayama.jp/licsxp-opac/WOpacMsgNewListToTifTilDetailAction.do?tilcod=2002222302047</t>
  </si>
  <si>
    <t>https://opac.libnet.pref.okayama.jp/licsxp-opac/WOpacMsgNewListToTifTilDetailAction.do?tilcod=2002222287501</t>
  </si>
  <si>
    <t>https://opac.libnet.pref.okayama.jp/licsxp-opac/WOpacMsgNewListToTifTilDetailAction.do?tilcod=2002222287511</t>
  </si>
  <si>
    <t>https://opac.libnet.pref.okayama.jp/licsxp-opac/WOpacMsgNewListToTifTilDetailAction.do?tilcod=2002222306783</t>
  </si>
  <si>
    <t>https://opac.libnet.pref.okayama.jp/licsxp-opac/WOpacMsgNewListToTifTilDetailAction.do?tilcod=2002222301303</t>
  </si>
  <si>
    <t>https://opac.libnet.pref.okayama.jp/licsxp-opac/WOpacMsgNewListToTifTilDetailAction.do?tilcod=2002222293481</t>
  </si>
  <si>
    <t>https://opac.libnet.pref.okayama.jp/licsxp-opac/WOpacMsgNewListToTifTilDetailAction.do?tilcod=2002222287521</t>
  </si>
  <si>
    <t>https://opac.libnet.pref.okayama.jp/licsxp-opac/WOpacMsgNewListToTifTilDetailAction.do?tilcod=2002222301786</t>
  </si>
  <si>
    <t>https://opac.libnet.pref.okayama.jp/licsxp-opac/WOpacMsgNewListToTifTilDetailAction.do?tilcod=2002222287531</t>
  </si>
  <si>
    <t>https://opac.libnet.pref.okayama.jp/licsxp-opac/WOpacMsgNewListToTifTilDetailAction.do?tilcod=2002222287541</t>
  </si>
  <si>
    <t>https://opac.libnet.pref.okayama.jp/licsxp-opac/WOpacMsgNewListToTifTilDetailAction.do?tilcod=2002222343811</t>
  </si>
  <si>
    <t>https://opac.libnet.pref.okayama.jp/licsxp-opac/WOpacMsgNewListToTifTilDetailAction.do?tilcod=2002222293541</t>
  </si>
  <si>
    <t>https://opac.libnet.pref.okayama.jp/licsxp-opac/WOpacMsgNewListToTifTilDetailAction.do?tilcod=2002222286131</t>
  </si>
  <si>
    <t>https://opac.libnet.pref.okayama.jp/licsxp-opac/WOpacMsgNewListToTifTilDetailAction.do?tilcod=2002222318409</t>
  </si>
  <si>
    <t>https://opac.libnet.pref.okayama.jp/licsxp-opac/WOpacMsgNewListToTifTilDetailAction.do?tilcod=2002222285491</t>
  </si>
  <si>
    <t>https://opac.libnet.pref.okayama.jp/licsxp-opac/WOpacMsgNewListToTifTilDetailAction.do?tilcod=2002222286161</t>
  </si>
  <si>
    <t>https://opac.libnet.pref.okayama.jp/licsxp-opac/WOpacMsgNewListToTifTilDetailAction.do?tilcod=2002222284651</t>
  </si>
  <si>
    <t>https://opac.libnet.pref.okayama.jp/licsxp-opac/WOpacMsgNewListToTifTilDetailAction.do?tilcod=2002222294661</t>
  </si>
  <si>
    <t>https://opac.libnet.pref.okayama.jp/licsxp-opac/WOpacMsgNewListToTifTilDetailAction.do?tilcod=2002222302246</t>
  </si>
  <si>
    <t>https://opac.libnet.pref.okayama.jp/licsxp-opac/WOpacMsgNewListToTifTilDetailAction.do?tilcod=2002222287551</t>
  </si>
  <si>
    <t>https://opac.libnet.pref.okayama.jp/licsxp-opac/WOpacMsgNewListToTifTilDetailAction.do?tilcod=2002222270181</t>
  </si>
  <si>
    <t>https://opac.libnet.pref.okayama.jp/licsxp-opac/WOpacMsgNewListToTifTilDetailAction.do?tilcod=2002222291771</t>
  </si>
  <si>
    <t>https://opac.libnet.pref.okayama.jp/licsxp-opac/WOpacMsgNewListToTifTilDetailAction.do?tilcod=2002222286021</t>
  </si>
  <si>
    <t>https://opac.libnet.pref.okayama.jp/licsxp-opac/WOpacMsgNewListToTifTilDetailAction.do?tilcod=2002222300780</t>
  </si>
  <si>
    <t>https://opac.libnet.pref.okayama.jp/licsxp-opac/WOpacMsgNewListToTifTilDetailAction.do?tilcod=2002222340071</t>
  </si>
  <si>
    <t>https://opac.libnet.pref.okayama.jp/licsxp-opac/WOpacMsgNewListToTifTilDetailAction.do?tilcod=2002222301669</t>
  </si>
  <si>
    <t>https://opac.libnet.pref.okayama.jp/licsxp-opac/WOpacMsgNewListToTifTilDetailAction.do?tilcod=2002222306863</t>
  </si>
  <si>
    <t>https://opac.libnet.pref.okayama.jp/licsxp-opac/WOpacMsgNewListToTifTilDetailAction.do?tilcod=2002222342550</t>
  </si>
  <si>
    <t>https://opac.libnet.pref.okayama.jp/licsxp-opac/WOpacMsgNewListToTifTilDetailAction.do?tilcod=2002222326866</t>
  </si>
  <si>
    <t>https://opac.libnet.pref.okayama.jp/licsxp-opac/WOpacMsgNewListToTifTilDetailAction.do?tilcod=2002222293861</t>
  </si>
  <si>
    <t>https://opac.libnet.pref.okayama.jp/licsxp-opac/WOpacMsgNewListToTifTilDetailAction.do?tilcod=2002222293601</t>
  </si>
  <si>
    <t>https://opac.libnet.pref.okayama.jp/licsxp-opac/WOpacMsgNewListToTifTilDetailAction.do?tilcod=2002222300241</t>
  </si>
  <si>
    <t>https://opac.libnet.pref.okayama.jp/licsxp-opac/WOpacMsgNewListToTifTilDetailAction.do?tilcod=2002222287561</t>
  </si>
  <si>
    <t>https://opac.libnet.pref.okayama.jp/licsxp-opac/WOpacMsgNewListToTifTilDetailAction.do?tilcod=2002222309327</t>
  </si>
  <si>
    <t>https://opac.libnet.pref.okayama.jp/licsxp-opac/WOpacMsgNewListToTifTilDetailAction.do?tilcod=2002222287571</t>
  </si>
  <si>
    <t>https://opac.libnet.pref.okayama.jp/licsxp-opac/WOpacMsgNewListToTifTilDetailAction.do?tilcod=2002222291021</t>
  </si>
  <si>
    <t>https://opac.libnet.pref.okayama.jp/licsxp-opac/WOpacMsgNewListToTifTilDetailAction.do?tilcod=2002222311647</t>
  </si>
  <si>
    <t>https://opac.libnet.pref.okayama.jp/licsxp-opac/WOpacMsgNewListToTifTilDetailAction.do?tilcod=2002222312308</t>
  </si>
  <si>
    <t>https://opac.libnet.pref.okayama.jp/licsxp-opac/WOpacMsgNewListToTifTilDetailAction.do?tilcod=2002222336446</t>
  </si>
  <si>
    <t>https://opac.libnet.pref.okayama.jp/licsxp-opac/WOpacMsgNewListToTifTilDetailAction.do?tilcod=2002222287581</t>
  </si>
  <si>
    <t>https://opac.libnet.pref.okayama.jp/licsxp-opac/WOpacMsgNewListToTifTilDetailAction.do?tilcod=2002222301188</t>
  </si>
  <si>
    <t>https://opac.libnet.pref.okayama.jp/licsxp-opac/WOpacMsgNewListToTifTilDetailAction.do?tilcod=2002222300552</t>
  </si>
  <si>
    <t>https://opac.libnet.pref.okayama.jp/licsxp-opac/WOpacMsgNewListToTifTilDetailAction.do?tilcod=2002222325166</t>
  </si>
  <si>
    <t>https://opac.libnet.pref.okayama.jp/licsxp-opac/WOpacMsgNewListToTifTilDetailAction.do?tilcod=2002222300781</t>
  </si>
  <si>
    <t>https://opac.libnet.pref.okayama.jp/licsxp-opac/WOpacMsgNewListToTifTilDetailAction.do?tilcod=2002222307448</t>
  </si>
  <si>
    <t>https://opac.libnet.pref.okayama.jp/licsxp-opac/WOpacMsgNewListToTifTilDetailAction.do?tilcod=2002222300027</t>
  </si>
  <si>
    <t>https://opac.libnet.pref.okayama.jp/licsxp-opac/WOpacMsgNewListToTifTilDetailAction.do?tilcod=2002222287591</t>
  </si>
  <si>
    <t>https://opac.libnet.pref.okayama.jp/licsxp-opac/WOpacMsgNewListToTifTilDetailAction.do?tilcod=2002222319732</t>
  </si>
  <si>
    <t>https://opac.libnet.pref.okayama.jp/licsxp-opac/WOpacMsgNewListToTifTilDetailAction.do?tilcod=2002222301004</t>
  </si>
  <si>
    <t>https://opac.libnet.pref.okayama.jp/licsxp-opac/WOpacMsgNewListToTifTilDetailAction.do?tilcod=2002222338070</t>
  </si>
  <si>
    <t>https://opac.libnet.pref.okayama.jp/licsxp-opac/WOpacMsgNewListToTifTilDetailAction.do?tilcod=2002222329448</t>
  </si>
  <si>
    <t>https://opac.libnet.pref.okayama.jp/licsxp-opac/WOpacMsgNewListToTifTilDetailAction.do?tilcod=2002222287601</t>
  </si>
  <si>
    <t>https://opac.libnet.pref.okayama.jp/licsxp-opac/WOpacMsgNewListToTifTilDetailAction.do?tilcod=2002222301730</t>
  </si>
  <si>
    <t>https://opac.libnet.pref.okayama.jp/licsxp-opac/WOpacMsgNewListToTifTilDetailAction.do?tilcod=2002222285343</t>
  </si>
  <si>
    <t>https://opac.libnet.pref.okayama.jp/licsxp-opac/WOpacMsgNewListToTifTilDetailAction.do?tilcod=2002222287611</t>
  </si>
  <si>
    <t>https://opac.libnet.pref.okayama.jp/licsxp-opac/WOpacMsgNewListToTifTilDetailAction.do?tilcod=2002222302137</t>
  </si>
  <si>
    <t>https://opac.libnet.pref.okayama.jp/licsxp-opac/WOpacMsgNewListToTifTilDetailAction.do?tilcod=2002222332110</t>
  </si>
  <si>
    <t>https://opac.libnet.pref.okayama.jp/licsxp-opac/WOpacMsgNewListToTifTilDetailAction.do?tilcod=2002222301735</t>
  </si>
  <si>
    <t>https://opac.libnet.pref.okayama.jp/licsxp-opac/WOpacMsgNewListToTifTilDetailAction.do?tilcod=2002222287621</t>
  </si>
  <si>
    <t>https://opac.libnet.pref.okayama.jp/licsxp-opac/WOpacMsgNewListToTifTilDetailAction.do?tilcod=2002222301640</t>
  </si>
  <si>
    <t>https://opac.libnet.pref.okayama.jp/licsxp-opac/WOpacMsgNewListToTifTilDetailAction.do?tilcod=2002222330149</t>
  </si>
  <si>
    <t>https://opac.libnet.pref.okayama.jp/licsxp-opac/WOpacMsgNewListToTifTilDetailAction.do?tilcod=2002222293961</t>
  </si>
  <si>
    <t>https://opac.libnet.pref.okayama.jp/licsxp-opac/WOpacMsgNewListToTifTilDetailAction.do?tilcod=2002222316726</t>
  </si>
  <si>
    <t>https://opac.libnet.pref.okayama.jp/licsxp-opac/WOpacMsgNewListToTifTilDetailAction.do?tilcod=2002222300782</t>
  </si>
  <si>
    <t>https://opac.libnet.pref.okayama.jp/licsxp-opac/WOpacMsgNewListToTifTilDetailAction.do?tilcod=2002222287631</t>
  </si>
  <si>
    <t>https://opac.libnet.pref.okayama.jp/licsxp-opac/WOpacMsgNewListToTifTilDetailAction.do?tilcod=2002222319729</t>
  </si>
  <si>
    <t>https://opac.libnet.pref.okayama.jp/licsxp-opac/WOpacMsgNewListToTifTilDetailAction.do?tilcod=2002222283221</t>
  </si>
  <si>
    <t>https://opac.libnet.pref.okayama.jp/licsxp-opac/WOpacMsgNewListToTifTilDetailAction.do?tilcod=2002222339110</t>
  </si>
  <si>
    <t>https://opac.libnet.pref.okayama.jp/licsxp-opac/WOpacMsgNewListToTifTilDetailAction.do?tilcod=2002222343973</t>
  </si>
  <si>
    <t>https://opac.libnet.pref.okayama.jp/licsxp-opac/WOpacMsgNewListToTifTilDetailAction.do?tilcod=2002222287641</t>
  </si>
  <si>
    <t>https://opac.libnet.pref.okayama.jp/licsxp-opac/WOpacMsgNewListToTifTilDetailAction.do?tilcod=2002222324827</t>
  </si>
  <si>
    <t>https://opac.libnet.pref.okayama.jp/licsxp-opac/WOpacMsgNewListToTifTilDetailAction.do?tilcod=2002222287671</t>
  </si>
  <si>
    <t>https://opac.libnet.pref.okayama.jp/licsxp-opac/WOpacMsgNewListToTifTilDetailAction.do?tilcod=2002222331306</t>
  </si>
  <si>
    <t>https://opac.libnet.pref.okayama.jp/licsxp-opac/WOpacMsgNewListToTifTilDetailAction.do?tilcod=2002222301214</t>
  </si>
  <si>
    <t>https://opac.libnet.pref.okayama.jp/licsxp-opac/WOpacMsgNewListToTifTilDetailAction.do?tilcod=2002222300592</t>
  </si>
  <si>
    <t>https://opac.libnet.pref.okayama.jp/licsxp-opac/WOpacMsgNewListToTifTilDetailAction.do?tilcod=2002222300783</t>
  </si>
  <si>
    <t>https://opac.libnet.pref.okayama.jp/licsxp-opac/WOpacMsgNewListToTifTilDetailAction.do?tilcod=2002222306694</t>
  </si>
  <si>
    <t>https://opac.libnet.pref.okayama.jp/licsxp-opac/WOpacMsgNewListToTifTilDetailAction.do?tilcod=2002222301689</t>
  </si>
  <si>
    <t>https://opac.libnet.pref.okayama.jp/licsxp-opac/WOpacMsgNewListToTifTilDetailAction.do?tilcod=2002222292241</t>
  </si>
  <si>
    <t>https://opac.libnet.pref.okayama.jp/licsxp-opac/WOpacMsgNewListToTifTilDetailAction.do?tilcod=2002222287681</t>
  </si>
  <si>
    <t>https://opac.libnet.pref.okayama.jp/licsxp-opac/WOpacMsgNewListToTifTilDetailAction.do?tilcod=2002222287701</t>
  </si>
  <si>
    <t>https://opac.libnet.pref.okayama.jp/licsxp-opac/WOpacMsgNewListToTifTilDetailAction.do?tilcod=2002222302344</t>
  </si>
  <si>
    <t>https://opac.libnet.pref.okayama.jp/licsxp-opac/WOpacMsgNewListToTifTilDetailAction.do?tilcod=2002222287661</t>
  </si>
  <si>
    <t>https://opac.libnet.pref.okayama.jp/licsxp-opac/WOpacMsgNewListToTifTilDetailAction.do?tilcod=2002222285651</t>
  </si>
  <si>
    <t>https://opac.libnet.pref.okayama.jp/licsxp-opac/WOpacMsgNewListToTifTilDetailAction.do?tilcod=2002222287711</t>
  </si>
  <si>
    <t>https://opac.libnet.pref.okayama.jp/licsxp-opac/WOpacMsgNewListToTifTilDetailAction.do?tilcod=2002222282321</t>
  </si>
  <si>
    <t>https://opac.libnet.pref.okayama.jp/licsxp-opac/WOpacMsgNewListToTifTilDetailAction.do?tilcod=2002222330586</t>
  </si>
  <si>
    <t>https://opac.libnet.pref.okayama.jp/licsxp-opac/WOpacMsgNewListToTifTilDetailAction.do?tilcod=2002222301334</t>
  </si>
  <si>
    <t>https://opac.libnet.pref.okayama.jp/licsxp-opac/WOpacMsgNewListToTifTilDetailAction.do?tilcod=2002222301802</t>
  </si>
  <si>
    <t>https://opac.libnet.pref.okayama.jp/licsxp-opac/WOpacMsgNewListToTifTilDetailAction.do?tilcod=2002222302258</t>
  </si>
  <si>
    <t>https://opac.libnet.pref.okayama.jp/licsxp-opac/WOpacMsgNewListToTifTilDetailAction.do?tilcod=2002222320351</t>
  </si>
  <si>
    <t>https://opac.libnet.pref.okayama.jp/licsxp-opac/WOpacMsgNewListToTifTilDetailAction.do?tilcod=2002222302020</t>
  </si>
  <si>
    <t>https://opac.libnet.pref.okayama.jp/licsxp-opac/WOpacMsgNewListToTifTilDetailAction.do?tilcod=2002222301362</t>
  </si>
  <si>
    <t>https://opac.libnet.pref.okayama.jp/licsxp-opac/WOpacMsgNewListToTifTilDetailAction.do?tilcod=2002222327146</t>
  </si>
  <si>
    <t>https://opac.libnet.pref.okayama.jp/licsxp-opac/WOpacMsgNewListToTifTilDetailAction.do?tilcod=2002222284551</t>
  </si>
  <si>
    <t>https://opac.libnet.pref.okayama.jp/licsxp-opac/WOpacMsgNewListToTifTilDetailAction.do?tilcod=2002222307815</t>
  </si>
  <si>
    <t>https://opac.libnet.pref.okayama.jp/licsxp-opac/WOpacMsgNewListToTifTilDetailAction.do?tilcod=2002222291921</t>
  </si>
  <si>
    <t>https://opac.libnet.pref.okayama.jp/licsxp-opac/WOpacMsgNewListToTifTilDetailAction.do?tilcod=2002222281744</t>
  </si>
  <si>
    <t>https://opac.libnet.pref.okayama.jp/licsxp-opac/WOpacMsgNewListToTifTilDetailAction.do?tilcod=2002222302479</t>
  </si>
  <si>
    <t>https://opac.libnet.pref.okayama.jp/licsxp-opac/WOpacMsgNewListToTifTilDetailAction.do?tilcod=2002222284681</t>
  </si>
  <si>
    <t>https://opac.libnet.pref.okayama.jp/licsxp-opac/WOpacMsgNewListToTifTilDetailAction.do?tilcod=2002222287721</t>
  </si>
  <si>
    <t>https://opac.libnet.pref.okayama.jp/licsxp-opac/WOpacMsgNewListToTifTilDetailAction.do?tilcod=2002222330746</t>
  </si>
  <si>
    <t>https://opac.libnet.pref.okayama.jp/licsxp-opac/WOpacMsgNewListToTifTilDetailAction.do?tilcod=2002222300624</t>
  </si>
  <si>
    <t>https://opac.libnet.pref.okayama.jp/licsxp-opac/WOpacMsgNewListToTifTilDetailAction.do?tilcod=2002222301088</t>
  </si>
  <si>
    <t>https://opac.libnet.pref.okayama.jp/licsxp-opac/WOpacMsgNewListToTifTilDetailAction.do?tilcod=2002222291031</t>
  </si>
  <si>
    <t>https://opac.libnet.pref.okayama.jp/licsxp-opac/WOpacMsgNewListToTifTilDetailAction.do?tilcod=2002222291911</t>
  </si>
  <si>
    <t>https://opac.libnet.pref.okayama.jp/licsxp-opac/WOpacMsgNewListToTifTilDetailAction.do?tilcod=2002222282421</t>
  </si>
  <si>
    <t>https://opac.libnet.pref.okayama.jp/licsxp-opac/WOpacMsgNewListToTifTilDetailAction.do?tilcod=2002222301650</t>
  </si>
  <si>
    <t>https://opac.libnet.pref.okayama.jp/licsxp-opac/WOpacMsgNewListToTifTilDetailAction.do?tilcod=2002222301291</t>
  </si>
  <si>
    <t>https://opac.libnet.pref.okayama.jp/licsxp-opac/WOpacMsgNewListToTifTilDetailAction.do?tilcod=2002222300550</t>
  </si>
  <si>
    <t>https://opac.libnet.pref.okayama.jp/licsxp-opac/WOpacMsgNewListToTifTilDetailAction.do?tilcod=2002222302016</t>
  </si>
  <si>
    <t>https://opac.libnet.pref.okayama.jp/licsxp-opac/WOpacMsgNewListToTifTilDetailAction.do?tilcod=2002222302015</t>
  </si>
  <si>
    <t>https://opac.libnet.pref.okayama.jp/licsxp-opac/WOpacMsgNewListToTifTilDetailAction.do?tilcod=2002222301891</t>
  </si>
  <si>
    <t>https://opac.libnet.pref.okayama.jp/licsxp-opac/WOpacMsgNewListToTifTilDetailAction.do?tilcod=2002222281424</t>
  </si>
  <si>
    <t>https://opac.libnet.pref.okayama.jp/licsxp-opac/WOpacMsgNewListToTifTilDetailAction.do?tilcod=2002222341670</t>
  </si>
  <si>
    <t>https://opac.libnet.pref.okayama.jp/licsxp-opac/WOpacMsgNewListToTifTilDetailAction.do?tilcod=2002222336386</t>
  </si>
  <si>
    <t>https://opac.libnet.pref.okayama.jp/licsxp-opac/WOpacMsgNewListToTifTilDetailAction.do?tilcod=2002222339391</t>
  </si>
  <si>
    <t>https://opac.libnet.pref.okayama.jp/licsxp-opac/WOpacMsgNewListToTifTilDetailAction.do?tilcod=2002222287731</t>
  </si>
  <si>
    <t>https://opac.libnet.pref.okayama.jp/licsxp-opac/WOpacMsgNewListToTifTilDetailAction.do?tilcod=2002222287741</t>
  </si>
  <si>
    <t>https://opac.libnet.pref.okayama.jp/licsxp-opac/WOpacMsgNewListToTifTilDetailAction.do?tilcod=2002222287751</t>
  </si>
  <si>
    <t>https://opac.libnet.pref.okayama.jp/licsxp-opac/WOpacMsgNewListToTifTilDetailAction.do?tilcod=2002222289131</t>
  </si>
  <si>
    <t>https://opac.libnet.pref.okayama.jp/licsxp-opac/WOpacMsgNewListToTifTilDetailAction.do?tilcod=2002222287761</t>
  </si>
  <si>
    <t>https://opac.libnet.pref.okayama.jp/licsxp-opac/WOpacMsgNewListToTifTilDetailAction.do?tilcod=2002222291931</t>
  </si>
  <si>
    <t>https://opac.libnet.pref.okayama.jp/licsxp-opac/WOpacMsgNewListToTifTilDetailAction.do?tilcod=2002222334591</t>
  </si>
  <si>
    <t>https://opac.libnet.pref.okayama.jp/licsxp-opac/WOpacMsgNewListToTifTilDetailAction.do?tilcod=2002222287771</t>
  </si>
  <si>
    <t>https://opac.libnet.pref.okayama.jp/licsxp-opac/WOpacMsgNewListToTifTilDetailAction.do?tilcod=2002222291941</t>
  </si>
  <si>
    <t>https://opac.libnet.pref.okayama.jp/licsxp-opac/WOpacMsgNewListToTifTilDetailAction.do?tilcod=2002222329728</t>
  </si>
  <si>
    <t>https://opac.libnet.pref.okayama.jp/licsxp-opac/WOpacMsgNewListToTifTilDetailAction.do?tilcod=2002222335687</t>
  </si>
  <si>
    <t>https://opac.libnet.pref.okayama.jp/licsxp-opac/WOpacMsgNewListToTifTilDetailAction.do?tilcod=2002222282781</t>
  </si>
  <si>
    <t>https://opac.libnet.pref.okayama.jp/licsxp-opac/WOpacMsgNewListToTifTilDetailAction.do?tilcod=2002222301147</t>
  </si>
  <si>
    <t>https://opac.libnet.pref.okayama.jp/licsxp-opac/WOpacMsgNewListToTifTilDetailAction.do?tilcod=2002222300405</t>
  </si>
  <si>
    <t>https://opac.libnet.pref.okayama.jp/licsxp-opac/WOpacMsgNewListToTifTilDetailAction.do?tilcod=2002222287781</t>
  </si>
  <si>
    <t>https://opac.libnet.pref.okayama.jp/licsxp-opac/WOpacMsgNewListToTifTilDetailAction.do?tilcod=2002222331935</t>
  </si>
  <si>
    <t>https://opac.libnet.pref.okayama.jp/licsxp-opac/WOpacMsgNewListToTifTilDetailAction.do?tilcod=2002222317646</t>
  </si>
  <si>
    <t>https://opac.libnet.pref.okayama.jp/licsxp-opac/WOpacMsgNewListToTifTilDetailAction.do?tilcod=2002222287791</t>
  </si>
  <si>
    <t>https://opac.libnet.pref.okayama.jp/licsxp-opac/WOpacMsgNewListToTifTilDetailAction.do?tilcod=2002222287801</t>
  </si>
  <si>
    <t>https://opac.libnet.pref.okayama.jp/licsxp-opac/WOpacMsgNewListToTifTilDetailAction.do?tilcod=2002222287811</t>
  </si>
  <si>
    <t>https://opac.libnet.pref.okayama.jp/licsxp-opac/WOpacMsgNewListToTifTilDetailAction.do?tilcod=2002222283553</t>
  </si>
  <si>
    <t>https://opac.libnet.pref.okayama.jp/licsxp-opac/WOpacMsgNewListToTifTilDetailAction.do?tilcod=2002222302145</t>
  </si>
  <si>
    <t>https://opac.libnet.pref.okayama.jp/licsxp-opac/WOpacMsgNewListToTifTilDetailAction.do?tilcod=2002222300175</t>
  </si>
  <si>
    <t>https://opac.libnet.pref.okayama.jp/licsxp-opac/WOpacMsgNewListToTifTilDetailAction.do?tilcod=2002222302382</t>
  </si>
  <si>
    <t>https://opac.libnet.pref.okayama.jp/licsxp-opac/WOpacMsgNewListToTifTilDetailAction.do?tilcod=2002222302410</t>
  </si>
  <si>
    <t>https://opac.libnet.pref.okayama.jp/licsxp-opac/WOpacMsgNewListToTifTilDetailAction.do?tilcod=2002222281831</t>
  </si>
  <si>
    <t>https://opac.libnet.pref.okayama.jp/licsxp-opac/WOpacMsgNewListToTifTilDetailAction.do?tilcod=2002222294071</t>
  </si>
  <si>
    <t>https://opac.libnet.pref.okayama.jp/licsxp-opac/WOpacMsgNewListToTifTilDetailAction.do?tilcod=2002222282541</t>
  </si>
  <si>
    <t>https://opac.libnet.pref.okayama.jp/licsxp-opac/WOpacMsgNewListToTifTilDetailAction.do?tilcod=2002222287821</t>
  </si>
  <si>
    <t>https://opac.libnet.pref.okayama.jp/licsxp-opac/WOpacMsgNewListToTifTilDetailAction.do?tilcod=2002222301037</t>
  </si>
  <si>
    <t>https://opac.libnet.pref.okayama.jp/licsxp-opac/WOpacMsgNewListToTifTilDetailAction.do?tilcod=2002222337089</t>
  </si>
  <si>
    <t>https://opac.libnet.pref.okayama.jp/licsxp-opac/WOpacMsgNewListToTifTilDetailAction.do?tilcod=2002222300676</t>
  </si>
  <si>
    <t>https://opac.libnet.pref.okayama.jp/licsxp-opac/WOpacMsgNewListToTifTilDetailAction.do?tilcod=2002222331066</t>
  </si>
  <si>
    <t>https://opac.libnet.pref.okayama.jp/licsxp-opac/WOpacMsgNewListToTifTilDetailAction.do?tilcod=2002222292281</t>
  </si>
  <si>
    <t>https://opac.libnet.pref.okayama.jp/licsxp-opac/WOpacMsgNewListToTifTilDetailAction.do?tilcod=2002222341091</t>
  </si>
  <si>
    <t>https://opac.libnet.pref.okayama.jp/licsxp-opac/WOpacMsgNewListToTifTilDetailAction.do?tilcod=2002222287831</t>
  </si>
  <si>
    <t>https://opac.libnet.pref.okayama.jp/licsxp-opac/WOpacMsgNewListToTifTilDetailAction.do?tilcod=2002222301229</t>
  </si>
  <si>
    <t>https://opac.libnet.pref.okayama.jp/licsxp-opac/WOpacMsgNewListToTifTilDetailAction.do?tilcod=2002222300548</t>
  </si>
  <si>
    <t>https://opac.libnet.pref.okayama.jp/licsxp-opac/WOpacMsgNewListToTifTilDetailAction.do?tilcod=2002222288712</t>
  </si>
  <si>
    <t>https://opac.libnet.pref.okayama.jp/licsxp-opac/WOpacMsgNewListToTifTilDetailAction.do?tilcod=2002222281954</t>
  </si>
  <si>
    <t>https://opac.libnet.pref.okayama.jp/licsxp-opac/WOpacMsgNewListToTifTilDetailAction.do?tilcod=2002222301154</t>
  </si>
  <si>
    <t>https://opac.libnet.pref.okayama.jp/licsxp-opac/WOpacMsgNewListToTifTilDetailAction.do?tilcod=2002222285371</t>
  </si>
  <si>
    <t>https://opac.libnet.pref.okayama.jp/licsxp-opac/WOpacMsgNewListToTifTilDetailAction.do?tilcod=2002222280951</t>
  </si>
  <si>
    <t>https://opac.libnet.pref.okayama.jp/licsxp-opac/WOpacMsgNewListToTifTilDetailAction.do?tilcod=2002222302359</t>
  </si>
  <si>
    <t>https://opac.libnet.pref.okayama.jp/licsxp-opac/WOpacMsgNewListToTifTilDetailAction.do?tilcod=2002222300784</t>
  </si>
  <si>
    <t>https://opac.libnet.pref.okayama.jp/licsxp-opac/WOpacMsgNewListToTifTilDetailAction.do?tilcod=2002222336429</t>
  </si>
  <si>
    <t>https://opac.libnet.pref.okayama.jp/licsxp-opac/WOpacMsgNewListToTifTilDetailAction.do?tilcod=2002222336428</t>
  </si>
  <si>
    <t>https://opac.libnet.pref.okayama.jp/licsxp-opac/WOpacMsgNewListToTifTilDetailAction.do?tilcod=2002222282153</t>
  </si>
  <si>
    <t>https://opac.libnet.pref.okayama.jp/licsxp-opac/WOpacMsgNewListToTifTilDetailAction.do?tilcod=2002222336586</t>
  </si>
  <si>
    <t>https://opac.libnet.pref.okayama.jp/licsxp-opac/WOpacMsgNewListToTifTilDetailAction.do?tilcod=2002222282033</t>
  </si>
  <si>
    <t>https://opac.libnet.pref.okayama.jp/licsxp-opac/WOpacMsgNewListToTifTilDetailAction.do?tilcod=2002222287841</t>
  </si>
  <si>
    <t>https://opac.libnet.pref.okayama.jp/licsxp-opac/WOpacMsgNewListToTifTilDetailAction.do?tilcod=2002222340934</t>
  </si>
  <si>
    <t>https://opac.libnet.pref.okayama.jp/licsxp-opac/WOpacMsgNewListToTifTilDetailAction.do?tilcod=2002222293451</t>
  </si>
  <si>
    <t>https://opac.libnet.pref.okayama.jp/licsxp-opac/WOpacMsgNewListToTifTilDetailAction.do?tilcod=2002222309648</t>
  </si>
  <si>
    <t>https://opac.libnet.pref.okayama.jp/licsxp-opac/WOpacMsgNewListToTifTilDetailAction.do?tilcod=2002222322227</t>
  </si>
  <si>
    <t>https://opac.libnet.pref.okayama.jp/licsxp-opac/WOpacMsgNewListToTifTilDetailAction.do?tilcod=2002222287851</t>
  </si>
  <si>
    <t>https://opac.libnet.pref.okayama.jp/licsxp-opac/WOpacMsgNewListToTifTilDetailAction.do?tilcod=2002222287861</t>
  </si>
  <si>
    <t>https://opac.libnet.pref.okayama.jp/licsxp-opac/WOpacMsgNewListToTifTilDetailAction.do?tilcod=2002222300423</t>
  </si>
  <si>
    <t>https://opac.libnet.pref.okayama.jp/licsxp-opac/WOpacMsgNewListToTifTilDetailAction.do?tilcod=2002222302345</t>
  </si>
  <si>
    <t>https://opac.libnet.pref.okayama.jp/licsxp-opac/WOpacMsgNewListToTifTilDetailAction.do?tilcod=2002222284611</t>
  </si>
  <si>
    <t>https://opac.libnet.pref.okayama.jp/licsxp-opac/WOpacMsgNewListToTifTilDetailAction.do?tilcod=2002222288461</t>
  </si>
  <si>
    <t>https://opac.libnet.pref.okayama.jp/licsxp-opac/WOpacMsgNewListToTifTilDetailAction.do?tilcod=2002222317146</t>
  </si>
  <si>
    <t>https://opac.libnet.pref.okayama.jp/licsxp-opac/WOpacMsgNewListToTifTilDetailAction.do?tilcod=2002222294671</t>
  </si>
  <si>
    <t>https://opac.libnet.pref.okayama.jp/licsxp-opac/WOpacMsgNewListToTifTilDetailAction.do?tilcod=2002222294231</t>
  </si>
  <si>
    <t>https://opac.libnet.pref.okayama.jp/licsxp-opac/WOpacMsgNewListToTifTilDetailAction.do?tilcod=2002222331148</t>
  </si>
  <si>
    <t>https://opac.libnet.pref.okayama.jp/licsxp-opac/WOpacMsgNewListToTifTilDetailAction.do?tilcod=2002222288471</t>
  </si>
  <si>
    <t>https://opac.libnet.pref.okayama.jp/licsxp-opac/WOpacMsgNewListToTifTilDetailAction.do?tilcod=2002222288481</t>
  </si>
  <si>
    <t>https://opac.libnet.pref.okayama.jp/licsxp-opac/WOpacMsgNewListToTifTilDetailAction.do?tilcod=2002222340731</t>
  </si>
  <si>
    <t>https://opac.libnet.pref.okayama.jp/licsxp-opac/WOpacMsgNewListToTifTilDetailAction.do?tilcod=2002222281254</t>
  </si>
  <si>
    <t>https://opac.libnet.pref.okayama.jp/licsxp-opac/WOpacMsgNewListToTifTilDetailAction.do?tilcod=2002222287901</t>
  </si>
  <si>
    <t>https://opac.libnet.pref.okayama.jp/licsxp-opac/WOpacMsgNewListToTifTilDetailAction.do?tilcod=2002222324828</t>
  </si>
  <si>
    <t>https://opac.libnet.pref.okayama.jp/licsxp-opac/WOpacMsgNewListToTifTilDetailAction.do?tilcod=2002222302306</t>
  </si>
  <si>
    <t>https://opac.libnet.pref.okayama.jp/licsxp-opac/WOpacMsgNewListToTifTilDetailAction.do?tilcod=2002222322148</t>
  </si>
  <si>
    <t>https://opac.libnet.pref.okayama.jp/licsxp-opac/WOpacMsgNewListToTifTilDetailAction.do?tilcod=2002222331427</t>
  </si>
  <si>
    <t>https://opac.libnet.pref.okayama.jp/licsxp-opac/WOpacMsgNewListToTifTilDetailAction.do?tilcod=2002222313827</t>
  </si>
  <si>
    <t>https://opac.libnet.pref.okayama.jp/licsxp-opac/WOpacMsgNewListToTifTilDetailAction.do?tilcod=2002222287911</t>
  </si>
  <si>
    <t>https://opac.libnet.pref.okayama.jp/licsxp-opac/WOpacMsgNewListToTifTilDetailAction.do?tilcod=2002222335587</t>
  </si>
  <si>
    <t>https://opac.libnet.pref.okayama.jp/licsxp-opac/WOpacMsgNewListToTifTilDetailAction.do?tilcod=2002222287931</t>
  </si>
  <si>
    <t>https://opac.libnet.pref.okayama.jp/licsxp-opac/WOpacMsgNewListToTifTilDetailAction.do?tilcod=2002222287941</t>
  </si>
  <si>
    <t>https://opac.libnet.pref.okayama.jp/licsxp-opac/WOpacMsgNewListToTifTilDetailAction.do?tilcod=2002222301833</t>
  </si>
  <si>
    <t>https://opac.libnet.pref.okayama.jp/licsxp-opac/WOpacMsgNewListToTifTilDetailAction.do?tilcod=2002222287921</t>
  </si>
  <si>
    <t>https://opac.libnet.pref.okayama.jp/licsxp-opac/WOpacMsgNewListToTifTilDetailAction.do?tilcod=2002222307287</t>
  </si>
  <si>
    <t>https://opac.libnet.pref.okayama.jp/licsxp-opac/WOpacMsgNewListToTifTilDetailAction.do?tilcod=2002222321168</t>
  </si>
  <si>
    <t>https://opac.libnet.pref.okayama.jp/licsxp-opac/WOpacMsgNewListToTifTilDetailAction.do?tilcod=2002222287951</t>
  </si>
  <si>
    <t>https://opac.libnet.pref.okayama.jp/licsxp-opac/WOpacMsgNewListToTifTilDetailAction.do?tilcod=2002222280061</t>
  </si>
  <si>
    <t>https://opac.libnet.pref.okayama.jp/licsxp-opac/WOpacMsgNewListToTifTilDetailAction.do?tilcod=2002222301946</t>
  </si>
  <si>
    <t>https://opac.libnet.pref.okayama.jp/licsxp-opac/WOpacMsgNewListToTifTilDetailAction.do?tilcod=2002222319347</t>
  </si>
  <si>
    <t>https://opac.libnet.pref.okayama.jp/licsxp-opac/WOpacMsgNewListToTifTilDetailAction.do?tilcod=2002222301855</t>
  </si>
  <si>
    <t>https://opac.libnet.pref.okayama.jp/licsxp-opac/WOpacMsgNewListToTifTilDetailAction.do?tilcod=2002222301643</t>
  </si>
  <si>
    <t>https://opac.libnet.pref.okayama.jp/licsxp-opac/WOpacMsgNewListToTifTilDetailAction.do?tilcod=2002222301170</t>
  </si>
  <si>
    <t>https://opac.libnet.pref.okayama.jp/licsxp-opac/WOpacMsgNewListToTifTilDetailAction.do?tilcod=2002222300478</t>
  </si>
  <si>
    <t>https://opac.libnet.pref.okayama.jp/licsxp-opac/WOpacMsgNewListToTifTilDetailAction.do?tilcod=2002222289141</t>
  </si>
  <si>
    <t>https://opac.libnet.pref.okayama.jp/licsxp-opac/WOpacMsgNewListToTifTilDetailAction.do?tilcod=2002222280894</t>
  </si>
  <si>
    <t>https://opac.libnet.pref.okayama.jp/licsxp-opac/WOpacMsgNewListToTifTilDetailAction.do?tilcod=2002222285001</t>
  </si>
  <si>
    <t>https://opac.libnet.pref.okayama.jp/licsxp-opac/WOpacMsgNewListToTifTilDetailAction.do?tilcod=2002222287961</t>
  </si>
  <si>
    <t>https://opac.libnet.pref.okayama.jp/licsxp-opac/WOpacMsgNewListToTifTilDetailAction.do?tilcod=2002222280081</t>
  </si>
  <si>
    <t>https://opac.libnet.pref.okayama.jp/licsxp-opac/WOpacMsgNewListToTifTilDetailAction.do?tilcod=2002222301171</t>
  </si>
  <si>
    <t>https://opac.libnet.pref.okayama.jp/licsxp-opac/WOpacMsgNewListToTifTilDetailAction.do?tilcod=2002222300484</t>
  </si>
  <si>
    <t>https://opac.libnet.pref.okayama.jp/licsxp-opac/WOpacMsgNewListToTifTilDetailAction.do?tilcod=2002222301158</t>
  </si>
  <si>
    <t>https://opac.libnet.pref.okayama.jp/licsxp-opac/WOpacMsgNewListToTifTilDetailAction.do?tilcod=2002222291951</t>
  </si>
  <si>
    <t>https://opac.libnet.pref.okayama.jp/licsxp-opac/WOpacMsgNewListToTifTilDetailAction.do?tilcod=2002222280414</t>
  </si>
  <si>
    <t>https://opac.libnet.pref.okayama.jp/licsxp-opac/WOpacMsgNewListToTifTilDetailAction.do?tilcod=2002222302282</t>
  </si>
  <si>
    <t>https://opac.libnet.pref.okayama.jp/licsxp-opac/WOpacMsgNewListToTifTilDetailAction.do?tilcod=2002222337048</t>
  </si>
  <si>
    <t>https://opac.libnet.pref.okayama.jp/licsxp-opac/WOpacMsgNewListToTifTilDetailAction.do?tilcod=2002222287971</t>
  </si>
  <si>
    <t>https://opac.libnet.pref.okayama.jp/licsxp-opac/WOpacMsgNewListToTifTilDetailAction.do?tilcod=2002222300424</t>
  </si>
  <si>
    <t>https://opac.libnet.pref.okayama.jp/licsxp-opac/WOpacMsgNewListToTifTilDetailAction.do?tilcod=2002222290471</t>
  </si>
  <si>
    <t>https://opac.libnet.pref.okayama.jp/licsxp-opac/WOpacMsgNewListToTifTilDetailAction.do?tilcod=2002222287991</t>
  </si>
  <si>
    <t>https://opac.libnet.pref.okayama.jp/licsxp-opac/WOpacMsgNewListToTifTilDetailAction.do?tilcod=2002222301308</t>
  </si>
  <si>
    <t>https://opac.libnet.pref.okayama.jp/licsxp-opac/WOpacMsgNewListToTifTilDetailAction.do?tilcod=2002222289011</t>
  </si>
  <si>
    <t>https://opac.libnet.pref.okayama.jp/licsxp-opac/WOpacMsgNewListToTifTilDetailAction.do?tilcod=2002222302434</t>
  </si>
  <si>
    <t>https://opac.libnet.pref.okayama.jp/licsxp-opac/WOpacMsgNewListToTifTilDetailAction.do?tilcod=2002222285981</t>
  </si>
  <si>
    <t>https://opac.libnet.pref.okayama.jp/licsxp-opac/WOpacMsgNewListToTifTilDetailAction.do?tilcod=2002222284741</t>
  </si>
  <si>
    <t>https://opac.libnet.pref.okayama.jp/licsxp-opac/WOpacMsgNewListToTifTilDetailAction.do?tilcod=2002222333651</t>
  </si>
  <si>
    <t>https://opac.libnet.pref.okayama.jp/licsxp-opac/WOpacMsgNewListToTifTilDetailAction.do?tilcod=2002222289693</t>
  </si>
  <si>
    <t>https://opac.libnet.pref.okayama.jp/licsxp-opac/WOpacMsgNewListToTifTilDetailAction.do?tilcod=2002222323866</t>
  </si>
  <si>
    <t>https://opac.libnet.pref.okayama.jp/licsxp-opac/WOpacMsgNewListToTifTilDetailAction.do?tilcod=2002222301924</t>
  </si>
  <si>
    <t>https://opac.libnet.pref.okayama.jp/licsxp-opac/WOpacMsgNewListToTifTilDetailAction.do?tilcod=2002222301206</t>
  </si>
  <si>
    <t>https://opac.libnet.pref.okayama.jp/licsxp-opac/WOpacMsgNewListToTifTilDetailAction.do?tilcod=2002222300698</t>
  </si>
  <si>
    <t>https://opac.libnet.pref.okayama.jp/licsxp-opac/WOpacMsgNewListToTifTilDetailAction.do?tilcod=2002222301851</t>
  </si>
  <si>
    <t>https://opac.libnet.pref.okayama.jp/licsxp-opac/WOpacMsgNewListToTifTilDetailAction.do?tilcod=2002222301923</t>
  </si>
  <si>
    <t>https://opac.libnet.pref.okayama.jp/licsxp-opac/WOpacMsgNewListToTifTilDetailAction.do?tilcod=2002222343190</t>
  </si>
  <si>
    <t>https://opac.libnet.pref.okayama.jp/licsxp-opac/WOpacMsgNewListToTifTilDetailAction.do?tilcod=2002222339250</t>
  </si>
  <si>
    <t>https://opac.libnet.pref.okayama.jp/licsxp-opac/WOpacMsgNewListToTifTilDetailAction.do?tilcod=2002222302068</t>
  </si>
  <si>
    <t>https://opac.libnet.pref.okayama.jp/licsxp-opac/WOpacMsgNewListToTifTilDetailAction.do?tilcod=2002222301014</t>
  </si>
  <si>
    <t>https://opac.libnet.pref.okayama.jp/licsxp-opac/WOpacMsgNewListToTifTilDetailAction.do?tilcod=2002222281454</t>
  </si>
  <si>
    <t>https://opac.libnet.pref.okayama.jp/licsxp-opac/WOpacMsgNewListToTifTilDetailAction.do?tilcod=2002222300802</t>
  </si>
  <si>
    <t>https://opac.libnet.pref.okayama.jp/licsxp-opac/WOpacMsgNewListToTifTilDetailAction.do?tilcod=2002222306824</t>
  </si>
  <si>
    <t>https://opac.libnet.pref.okayama.jp/licsxp-opac/WOpacMsgNewListToTifTilDetailAction.do?tilcod=2002222306825</t>
  </si>
  <si>
    <t>https://opac.libnet.pref.okayama.jp/licsxp-opac/WOpacMsgNewListToTifTilDetailAction.do?tilcod=2002222284871</t>
  </si>
  <si>
    <t>https://opac.libnet.pref.okayama.jp/licsxp-opac/WOpacMsgNewListToTifTilDetailAction.do?tilcod=2002222332466</t>
  </si>
  <si>
    <t>https://opac.libnet.pref.okayama.jp/licsxp-opac/WOpacMsgNewListToTifTilDetailAction.do?tilcod=2002222289021</t>
  </si>
  <si>
    <t>https://opac.libnet.pref.okayama.jp/licsxp-opac/WOpacMsgNewListToTifTilDetailAction.do?tilcod=2002222327926</t>
  </si>
  <si>
    <t>https://opac.libnet.pref.okayama.jp/licsxp-opac/WOpacMsgNewListToTifTilDetailAction.do?tilcod=2002222288191</t>
  </si>
  <si>
    <t>https://opac.libnet.pref.okayama.jp/licsxp-opac/WOpacMsgNewListToTifTilDetailAction.do?tilcod=2002222331946</t>
  </si>
  <si>
    <t>https://opac.libnet.pref.okayama.jp/licsxp-opac/WOpacMsgNewListToTifTilDetailAction.do?tilcod=2002222327946</t>
  </si>
  <si>
    <t>https://opac.libnet.pref.okayama.jp/licsxp-opac/WOpacMsgNewListToTifTilDetailAction.do?tilcod=2002222281901</t>
  </si>
  <si>
    <t>https://opac.libnet.pref.okayama.jp/licsxp-opac/WOpacMsgNewListToTifTilDetailAction.do?tilcod=2002222300804</t>
  </si>
  <si>
    <t>https://opac.libnet.pref.okayama.jp/licsxp-opac/WOpacMsgNewListToTifTilDetailAction.do?tilcod=2002222289171</t>
  </si>
  <si>
    <t>https://opac.libnet.pref.okayama.jp/licsxp-opac/WOpacMsgNewListToTifTilDetailAction.do?tilcod=2002222289181</t>
  </si>
  <si>
    <t>https://opac.libnet.pref.okayama.jp/licsxp-opac/WOpacMsgNewListToTifTilDetailAction.do?tilcod=2002222289191</t>
  </si>
  <si>
    <t>https://opac.libnet.pref.okayama.jp/licsxp-opac/WOpacMsgNewListToTifTilDetailAction.do?tilcod=2002222328528</t>
  </si>
  <si>
    <t>https://opac.libnet.pref.okayama.jp/licsxp-opac/WOpacMsgNewListToTifTilDetailAction.do?tilcod=2002222301138</t>
  </si>
  <si>
    <t>https://opac.libnet.pref.okayama.jp/licsxp-opac/WOpacMsgNewListToTifTilDetailAction.do?tilcod=2002222284641</t>
  </si>
  <si>
    <t>https://opac.libnet.pref.okayama.jp/licsxp-opac/WOpacMsgNewListToTifTilDetailAction.do?tilcod=2002222289201</t>
  </si>
  <si>
    <t>https://opac.libnet.pref.okayama.jp/licsxp-opac/WOpacMsgNewListToTifTilDetailAction.do?tilcod=2002222300863</t>
  </si>
  <si>
    <t>https://opac.libnet.pref.okayama.jp/licsxp-opac/WOpacMsgNewListToTifTilDetailAction.do?tilcod=2002222307816</t>
  </si>
  <si>
    <t>https://opac.libnet.pref.okayama.jp/licsxp-opac/WOpacMsgNewListToTifTilDetailAction.do?tilcod=2002222301929</t>
  </si>
  <si>
    <t>https://opac.libnet.pref.okayama.jp/licsxp-opac/WOpacMsgNewListToTifTilDetailAction.do?tilcod=2002222291041</t>
  </si>
  <si>
    <t>https://opac.libnet.pref.okayama.jp/licsxp-opac/WOpacMsgNewListToTifTilDetailAction.do?tilcod=2002222309826</t>
  </si>
  <si>
    <t>https://opac.libnet.pref.okayama.jp/licsxp-opac/WOpacMsgNewListToTifTilDetailAction.do?tilcod=2002222289253</t>
  </si>
  <si>
    <t>https://opac.libnet.pref.okayama.jp/licsxp-opac/WOpacMsgNewListToTifTilDetailAction.do?tilcod=2002222282691</t>
  </si>
  <si>
    <t>https://opac.libnet.pref.okayama.jp/licsxp-opac/WOpacMsgNewListToTifTilDetailAction.do?tilcod=2002222291051</t>
  </si>
  <si>
    <t>https://opac.libnet.pref.okayama.jp/licsxp-opac/WOpacMsgNewListToTifTilDetailAction.do?tilcod=2002222300803</t>
  </si>
  <si>
    <t>https://opac.libnet.pref.okayama.jp/licsxp-opac/WOpacMsgNewListToTifTilDetailAction.do?tilcod=2002222343671</t>
  </si>
  <si>
    <t>https://opac.libnet.pref.okayama.jp/licsxp-opac/WOpacMsgNewListToTifTilDetailAction.do?tilcod=2002222301834</t>
  </si>
  <si>
    <t>https://opac.libnet.pref.okayama.jp/licsxp-opac/WOpacMsgNewListToTifTilDetailAction.do?tilcod=2002222286151</t>
  </si>
  <si>
    <t>https://opac.libnet.pref.okayama.jp/licsxp-opac/WOpacMsgNewListToTifTilDetailAction.do?tilcod=2002222338114</t>
  </si>
  <si>
    <t>https://opac.libnet.pref.okayama.jp/licsxp-opac/WOpacMsgNewListToTifTilDetailAction.do?tilcod=2002222338073</t>
  </si>
  <si>
    <t>https://opac.libnet.pref.okayama.jp/licsxp-opac/WOpacMsgNewListToTifTilDetailAction.do?tilcod=2002222338071</t>
  </si>
  <si>
    <t>https://opac.libnet.pref.okayama.jp/licsxp-opac/WOpacMsgNewListToTifTilDetailAction.do?tilcod=2002222284991</t>
  </si>
  <si>
    <t>https://opac.libnet.pref.okayama.jp/licsxp-opac/WOpacMsgNewListToTifTilDetailAction.do?tilcod=2002222326987</t>
  </si>
  <si>
    <t>https://opac.libnet.pref.okayama.jp/licsxp-opac/WOpacMsgNewListToTifTilDetailAction.do?tilcod=2002222301537</t>
  </si>
  <si>
    <t>https://opac.libnet.pref.okayama.jp/licsxp-opac/WOpacMsgNewListToTifTilDetailAction.do?tilcod=2002222284751</t>
  </si>
  <si>
    <t>https://opac.libnet.pref.okayama.jp/licsxp-opac/WOpacMsgNewListToTifTilDetailAction.do?tilcod=2002222330147</t>
  </si>
  <si>
    <t>https://opac.libnet.pref.okayama.jp/licsxp-opac/WOpacMsgNewListToTifTilDetailAction.do?tilcod=2002222336307</t>
  </si>
  <si>
    <t>https://opac.libnet.pref.okayama.jp/licsxp-opac/WOpacMsgNewListToTifTilDetailAction.do?tilcod=2002222281651</t>
  </si>
  <si>
    <t>https://opac.libnet.pref.okayama.jp/licsxp-opac/WOpacMsgNewListToTifTilDetailAction.do?tilcod=2002222292021</t>
  </si>
  <si>
    <t>https://opac.libnet.pref.okayama.jp/licsxp-opac/WOpacMsgNewListToTifTilDetailAction.do?tilcod=2002222286721</t>
  </si>
  <si>
    <t>https://opac.libnet.pref.okayama.jp/licsxp-opac/WOpacMsgNewListToTifTilDetailAction.do?tilcod=2002222286701</t>
  </si>
  <si>
    <t>https://opac.libnet.pref.okayama.jp/licsxp-opac/WOpacMsgNewListToTifTilDetailAction.do?tilcod=2002222302066</t>
  </si>
  <si>
    <t>https://opac.libnet.pref.okayama.jp/licsxp-opac/WOpacMsgNewListToTifTilDetailAction.do?tilcod=2002222301519</t>
  </si>
  <si>
    <t>https://opac.libnet.pref.okayama.jp/licsxp-opac/WOpacMsgNewListToTifTilDetailAction.do?tilcod=2002222300814</t>
  </si>
  <si>
    <t>https://opac.libnet.pref.okayama.jp/licsxp-opac/WOpacMsgNewListToTifTilDetailAction.do?tilcod=2002222300815</t>
  </si>
  <si>
    <t>https://opac.libnet.pref.okayama.jp/licsxp-opac/WOpacMsgNewListToTifTilDetailAction.do?tilcod=2002222300816</t>
  </si>
  <si>
    <t>https://opac.libnet.pref.okayama.jp/licsxp-opac/WOpacMsgNewListToTifTilDetailAction.do?tilcod=2002222292071</t>
  </si>
  <si>
    <t>https://opac.libnet.pref.okayama.jp/licsxp-opac/WOpacMsgNewListToTifTilDetailAction.do?tilcod=2002222301053</t>
  </si>
  <si>
    <t>https://opac.libnet.pref.okayama.jp/licsxp-opac/WOpacMsgNewListToTifTilDetailAction.do?tilcod=2002222301023</t>
  </si>
  <si>
    <t>https://opac.libnet.pref.okayama.jp/licsxp-opac/WOpacMsgNewListToTifTilDetailAction.do?tilcod=2002222300192</t>
  </si>
  <si>
    <t>https://opac.libnet.pref.okayama.jp/licsxp-opac/WOpacMsgNewListToTifTilDetailAction.do?tilcod=2002222281804</t>
  </si>
  <si>
    <t>https://opac.libnet.pref.okayama.jp/licsxp-opac/WOpacMsgNewListToTifTilDetailAction.do?tilcod=2002222286991</t>
  </si>
  <si>
    <t>https://opac.libnet.pref.okayama.jp/licsxp-opac/WOpacMsgNewListToTifTilDetailAction.do?tilcod=2002222281023</t>
  </si>
  <si>
    <t>https://opac.libnet.pref.okayama.jp/licsxp-opac/WOpacMsgNewListToTifTilDetailAction.do?tilcod=2002222300820</t>
  </si>
  <si>
    <t>https://opac.libnet.pref.okayama.jp/licsxp-opac/WOpacMsgNewListToTifTilDetailAction.do?tilcod=2002222301879</t>
  </si>
  <si>
    <t>https://opac.libnet.pref.okayama.jp/licsxp-opac/WOpacMsgNewListToTifTilDetailAction.do?tilcod=2002222313087</t>
  </si>
  <si>
    <t>https://opac.libnet.pref.okayama.jp/licsxp-opac/WOpacMsgNewListToTifTilDetailAction.do?tilcod=2002222288313</t>
  </si>
  <si>
    <t>https://opac.libnet.pref.okayama.jp/licsxp-opac/WOpacMsgNewListToTifTilDetailAction.do?tilcod=2002222329689</t>
  </si>
  <si>
    <t>https://opac.libnet.pref.okayama.jp/licsxp-opac/WOpacMsgNewListToTifTilDetailAction.do?tilcod=2002222328512</t>
  </si>
  <si>
    <t>https://opac.libnet.pref.okayama.jp/licsxp-opac/WOpacMsgNewListToTifTilDetailAction.do?tilcod=2002222336673</t>
  </si>
  <si>
    <t>https://opac.libnet.pref.okayama.jp/licsxp-opac/WOpacMsgNewListToTifTilDetailAction.do?tilcod=2002222328459</t>
  </si>
  <si>
    <t>https://opac.libnet.pref.okayama.jp/licsxp-opac/WOpacMsgNewListToTifTilDetailAction.do?tilcod=2002222313330</t>
  </si>
  <si>
    <t>https://opac.libnet.pref.okayama.jp/licsxp-opac/WOpacMsgNewListToTifTilDetailAction.do?tilcod=2002222328511</t>
  </si>
  <si>
    <t>https://opac.libnet.pref.okayama.jp/licsxp-opac/WOpacMsgNewListToTifTilDetailAction.do?tilcod=2002222328510</t>
  </si>
  <si>
    <t>https://opac.libnet.pref.okayama.jp/licsxp-opac/WOpacMsgNewListToTifTilDetailAction.do?tilcod=2002222311866</t>
  </si>
  <si>
    <t>https://opac.libnet.pref.okayama.jp/licsxp-opac/WOpacMsgNewListToTifTilDetailAction.do?tilcod=2002222328513</t>
  </si>
  <si>
    <t>https://opac.libnet.pref.okayama.jp/licsxp-opac/WOpacMsgNewListToTifTilDetailAction.do?tilcod=2002222328514</t>
  </si>
  <si>
    <t>https://opac.libnet.pref.okayama.jp/licsxp-opac/WOpacMsgNewListToTifTilDetailAction.do?tilcod=2002222328515</t>
  </si>
  <si>
    <t>https://opac.libnet.pref.okayama.jp/licsxp-opac/WOpacMsgNewListToTifTilDetailAction.do?tilcod=2002222280151</t>
  </si>
  <si>
    <t>https://opac.libnet.pref.okayama.jp/licsxp-opac/WOpacMsgNewListToTifTilDetailAction.do?tilcod=2002222280161</t>
  </si>
  <si>
    <t>https://opac.libnet.pref.okayama.jp/licsxp-opac/WOpacMsgNewListToTifTilDetailAction.do?tilcod=2002222328522</t>
  </si>
  <si>
    <t>https://opac.libnet.pref.okayama.jp/licsxp-opac/WOpacMsgNewListToTifTilDetailAction.do?tilcod=2002222307286</t>
  </si>
  <si>
    <t>https://opac.libnet.pref.okayama.jp/licsxp-opac/WOpacMsgNewListToTifTilDetailAction.do?tilcod=2002222328007</t>
  </si>
  <si>
    <t>https://opac.libnet.pref.okayama.jp/licsxp-opac/WOpacMsgNewListToTifTilDetailAction.do?tilcod=2002222328006</t>
  </si>
  <si>
    <t>https://opac.libnet.pref.okayama.jp/licsxp-opac/WOpacMsgNewListToTifTilDetailAction.do?tilcod=2002222328520</t>
  </si>
  <si>
    <t>https://opac.libnet.pref.okayama.jp/licsxp-opac/WOpacMsgNewListToTifTilDetailAction.do?tilcod=2002222328509</t>
  </si>
  <si>
    <t>https://opac.libnet.pref.okayama.jp/licsxp-opac/WOpacMsgNewListToTifTilDetailAction.do?tilcod=2002222328508</t>
  </si>
  <si>
    <t>https://opac.libnet.pref.okayama.jp/licsxp-opac/WOpacMsgNewListToTifTilDetailAction.do?tilcod=2002222302227</t>
  </si>
  <si>
    <t>https://opac.libnet.pref.okayama.jp/licsxp-opac/WOpacMsgNewListToTifTilDetailAction.do?tilcod=2002222302228</t>
  </si>
  <si>
    <t>https://opac.libnet.pref.okayama.jp/licsxp-opac/WOpacMsgNewListToTifTilDetailAction.do?tilcod=2002222328456</t>
  </si>
  <si>
    <t>https://opac.libnet.pref.okayama.jp/licsxp-opac/WOpacMsgNewListToTifTilDetailAction.do?tilcod=2002222328523</t>
  </si>
  <si>
    <t>https://opac.libnet.pref.okayama.jp/licsxp-opac/WOpacMsgNewListToTifTilDetailAction.do?tilcod=2002222328452</t>
  </si>
  <si>
    <t>https://opac.libnet.pref.okayama.jp/licsxp-opac/WOpacMsgNewListToTifTilDetailAction.do?tilcod=2002222328454</t>
  </si>
  <si>
    <t>https://opac.libnet.pref.okayama.jp/licsxp-opac/WOpacMsgNewListToTifTilDetailAction.do?tilcod=2002222328453</t>
  </si>
  <si>
    <t>https://opac.libnet.pref.okayama.jp/licsxp-opac/WOpacMsgNewListToTifTilDetailAction.do?tilcod=2002222328455</t>
  </si>
  <si>
    <t>https://opac.libnet.pref.okayama.jp/licsxp-opac/WOpacMsgNewListToTifTilDetailAction.do?tilcod=2002222283211</t>
  </si>
  <si>
    <t>https://opac.libnet.pref.okayama.jp/licsxp-opac/WOpacMsgNewListToTifTilDetailAction.do?tilcod=2002222288883</t>
  </si>
  <si>
    <t>https://opac.libnet.pref.okayama.jp/licsxp-opac/WOpacMsgNewListToTifTilDetailAction.do?tilcod=2002222328517</t>
  </si>
  <si>
    <t>https://opac.libnet.pref.okayama.jp/licsxp-opac/WOpacMsgNewListToTifTilDetailAction.do?tilcod=2002222328450</t>
  </si>
  <si>
    <t>https://opac.libnet.pref.okayama.jp/licsxp-opac/WOpacMsgNewListToTifTilDetailAction.do?tilcod=2002222328458</t>
  </si>
  <si>
    <t>https://opac.libnet.pref.okayama.jp/licsxp-opac/WOpacMsgNewListToTifTilDetailAction.do?tilcod=2002222282531</t>
  </si>
  <si>
    <t>https://opac.libnet.pref.okayama.jp/licsxp-opac/WOpacMsgNewListToTifTilDetailAction.do?tilcod=2002222301836</t>
  </si>
  <si>
    <t>https://opac.libnet.pref.okayama.jp/licsxp-opac/WOpacMsgNewListToTifTilDetailAction.do?tilcod=2002222282031</t>
  </si>
  <si>
    <t>https://opac.libnet.pref.okayama.jp/licsxp-opac/WOpacMsgNewListToTifTilDetailAction.do?tilcod=2002222283061</t>
  </si>
  <si>
    <t>https://opac.libnet.pref.okayama.jp/licsxp-opac/WOpacMsgNewListToTifTilDetailAction.do?tilcod=2002222282021</t>
  </si>
  <si>
    <t>https://opac.libnet.pref.okayama.jp/licsxp-opac/WOpacMsgNewListToTifTilDetailAction.do?tilcod=2002222302044</t>
  </si>
  <si>
    <t>https://opac.libnet.pref.okayama.jp/licsxp-opac/WOpacMsgNewListToTifTilDetailAction.do?tilcod=2002222329687</t>
  </si>
  <si>
    <t>https://opac.libnet.pref.okayama.jp/licsxp-opac/WOpacMsgNewListToTifTilDetailAction.do?tilcod=2002222329688</t>
  </si>
  <si>
    <t>https://opac.libnet.pref.okayama.jp/licsxp-opac/WOpacMsgNewListToTifTilDetailAction.do?tilcod=2002222328526</t>
  </si>
  <si>
    <t>https://opac.libnet.pref.okayama.jp/licsxp-opac/WOpacMsgNewListToTifTilDetailAction.do?tilcod=2002222302255</t>
  </si>
  <si>
    <t>https://opac.libnet.pref.okayama.jp/licsxp-opac/WOpacMsgNewListToTifTilDetailAction.do?tilcod=2002222328848</t>
  </si>
  <si>
    <t>https://opac.libnet.pref.okayama.jp/licsxp-opac/WOpacMsgNewListToTifTilDetailAction.do?tilcod=2002222307432</t>
  </si>
  <si>
    <t>https://opac.libnet.pref.okayama.jp/licsxp-opac/WOpacMsgNewListToTifTilDetailAction.do?tilcod=2002222302226</t>
  </si>
  <si>
    <t>https://opac.libnet.pref.okayama.jp/licsxp-opac/WOpacMsgNewListToTifTilDetailAction.do?tilcod=2002222300606</t>
  </si>
  <si>
    <t>https://opac.libnet.pref.okayama.jp/licsxp-opac/WOpacMsgNewListToTifTilDetailAction.do?tilcod=2002222301496</t>
  </si>
  <si>
    <t>https://opac.libnet.pref.okayama.jp/licsxp-opac/WOpacMsgNewListToTifTilDetailAction.do?tilcod=2002222328519</t>
  </si>
  <si>
    <t>https://opac.libnet.pref.okayama.jp/licsxp-opac/WOpacMsgNewListToTifTilDetailAction.do?tilcod=2002222281133</t>
  </si>
  <si>
    <t>https://opac.libnet.pref.okayama.jp/licsxp-opac/WOpacMsgNewListToTifTilDetailAction.do?tilcod=2002222294211</t>
  </si>
  <si>
    <t>https://opac.libnet.pref.okayama.jp/licsxp-opac/WOpacMsgNewListToTifTilDetailAction.do?tilcod=2002222291091</t>
  </si>
  <si>
    <t>https://opac.libnet.pref.okayama.jp/licsxp-opac/WOpacMsgNewListToTifTilDetailAction.do?tilcod=2002222282051</t>
  </si>
  <si>
    <t>https://opac.libnet.pref.okayama.jp/licsxp-opac/WOpacMsgNewListToTifTilDetailAction.do?tilcod=2002222328460</t>
  </si>
  <si>
    <t>https://opac.libnet.pref.okayama.jp/licsxp-opac/WOpacMsgNewListToTifTilDetailAction.do?tilcod=2002222291611</t>
  </si>
  <si>
    <t>https://opac.libnet.pref.okayama.jp/licsxp-opac/WOpacMsgNewListToTifTilDetailAction.do?tilcod=2002222328566</t>
  </si>
  <si>
    <t>https://opac.libnet.pref.okayama.jp/licsxp-opac/WOpacMsgNewListToTifTilDetailAction.do?tilcod=2002222315566</t>
  </si>
  <si>
    <t>https://opac.libnet.pref.okayama.jp/licsxp-opac/WOpacMsgNewListToTifTilDetailAction.do?tilcod=2002222281153</t>
  </si>
  <si>
    <t>https://opac.libnet.pref.okayama.jp/licsxp-opac/WOpacMsgNewListToTifTilDetailAction.do?tilcod=2002222328457</t>
  </si>
  <si>
    <t>https://opac.libnet.pref.okayama.jp/licsxp-opac/WOpacMsgNewListToTifTilDetailAction.do?tilcod=2002222281173</t>
  </si>
  <si>
    <t>https://opac.libnet.pref.okayama.jp/licsxp-opac/WOpacMsgNewListToTifTilDetailAction.do?tilcod=2002222323846</t>
  </si>
  <si>
    <t>https://opac.libnet.pref.okayama.jp/licsxp-opac/WOpacMsgNewListToTifTilDetailAction.do?tilcod=2002222307814</t>
  </si>
  <si>
    <t>https://opac.libnet.pref.okayama.jp/licsxp-opac/WOpacMsgNewListToTifTilDetailAction.do?tilcod=2002222336387</t>
  </si>
  <si>
    <t>https://opac.libnet.pref.okayama.jp/licsxp-opac/WOpacMsgNewListToTifTilDetailAction.do?tilcod=2002222301179</t>
  </si>
  <si>
    <t>https://opac.libnet.pref.okayama.jp/licsxp-opac/WOpacMsgNewListToTifTilDetailAction.do?tilcod=2002222300490</t>
  </si>
  <si>
    <t>https://opac.libnet.pref.okayama.jp/licsxp-opac/WOpacMsgNewListToTifTilDetailAction.do?tilcod=2002222300730</t>
  </si>
  <si>
    <t>https://opac.libnet.pref.okayama.jp/licsxp-opac/WOpacMsgNewListToTifTilDetailAction.do?tilcod=2002222288001</t>
  </si>
  <si>
    <t>https://opac.libnet.pref.okayama.jp/licsxp-opac/WOpacMsgNewListToTifTilDetailAction.do?tilcod=2002222301847</t>
  </si>
  <si>
    <t>https://opac.libnet.pref.okayama.jp/licsxp-opac/WOpacMsgNewListToTifTilDetailAction.do?tilcod=2002222301356</t>
  </si>
  <si>
    <t>https://opac.libnet.pref.okayama.jp/licsxp-opac/WOpacMsgNewListToTifTilDetailAction.do?tilcod=2002222288011</t>
  </si>
  <si>
    <t>https://opac.libnet.pref.okayama.jp/licsxp-opac/WOpacMsgNewListToTifTilDetailAction.do?tilcod=2002222281864</t>
  </si>
  <si>
    <t>https://opac.libnet.pref.okayama.jp/licsxp-opac/WOpacMsgNewListToTifTilDetailAction.do?tilcod=2002222301156</t>
  </si>
  <si>
    <t>https://opac.libnet.pref.okayama.jp/licsxp-opac/WOpacMsgNewListToTifTilDetailAction.do?tilcod=2002222334069</t>
  </si>
  <si>
    <t>https://opac.libnet.pref.okayama.jp/licsxp-opac/WOpacMsgNewListToTifTilDetailAction.do?tilcod=2002222302372</t>
  </si>
  <si>
    <t>https://opac.libnet.pref.okayama.jp/licsxp-opac/WOpacMsgNewListToTifTilDetailAction.do?tilcod=2002222288041</t>
  </si>
  <si>
    <t>https://opac.libnet.pref.okayama.jp/licsxp-opac/WOpacMsgNewListToTifTilDetailAction.do?tilcod=2002222282461</t>
  </si>
  <si>
    <t>https://opac.libnet.pref.okayama.jp/licsxp-opac/WOpacMsgNewListToTifTilDetailAction.do?tilcod=2002222302387</t>
  </si>
  <si>
    <t>https://opac.libnet.pref.okayama.jp/licsxp-opac/WOpacMsgNewListToTifTilDetailAction.do?tilcod=2002222288051</t>
  </si>
  <si>
    <t>https://opac.libnet.pref.okayama.jp/licsxp-opac/WOpacMsgNewListToTifTilDetailAction.do?tilcod=2002222292101</t>
  </si>
  <si>
    <t>https://opac.libnet.pref.okayama.jp/licsxp-opac/WOpacMsgNewListToTifTilDetailAction.do?tilcod=2002222288061</t>
  </si>
  <si>
    <t>https://opac.libnet.pref.okayama.jp/licsxp-opac/WOpacMsgNewListToTifTilDetailAction.do?tilcod=2002222302102</t>
  </si>
  <si>
    <t>https://opac.libnet.pref.okayama.jp/licsxp-opac/WOpacMsgNewListToTifTilDetailAction.do?tilcod=2002222294831</t>
  </si>
  <si>
    <t>https://opac.libnet.pref.okayama.jp/licsxp-opac/WOpacMsgNewListToTifTilDetailAction.do?tilcod=2002222301906</t>
  </si>
  <si>
    <t>https://opac.libnet.pref.okayama.jp/licsxp-opac/WOpacMsgNewListToTifTilDetailAction.do?tilcod=2002222301066</t>
  </si>
  <si>
    <t>https://opac.libnet.pref.okayama.jp/licsxp-opac/WOpacMsgNewListToTifTilDetailAction.do?tilcod=2002222311768</t>
  </si>
  <si>
    <t>https://opac.libnet.pref.okayama.jp/licsxp-opac/WOpacMsgNewListToTifTilDetailAction.do?tilcod=2002222341170</t>
  </si>
  <si>
    <t>https://opac.libnet.pref.okayama.jp/licsxp-opac/WOpacMsgNewListToTifTilDetailAction.do?tilcod=2002222288081</t>
  </si>
  <si>
    <t>https://opac.libnet.pref.okayama.jp/licsxp-opac/WOpacMsgNewListToTifTilDetailAction.do?tilcod=2002222292111</t>
  </si>
  <si>
    <t>https://opac.libnet.pref.okayama.jp/licsxp-opac/WOpacMsgNewListToTifTilDetailAction.do?tilcod=2002222280261</t>
  </si>
  <si>
    <t>https://opac.libnet.pref.okayama.jp/licsxp-opac/WOpacMsgNewListToTifTilDetailAction.do?tilcod=2002222276783</t>
  </si>
  <si>
    <t>https://opac.libnet.pref.okayama.jp/licsxp-opac/WOpacMsgNewListToTifTilDetailAction.do?tilcod=2002222294201</t>
  </si>
  <si>
    <t>https://opac.libnet.pref.okayama.jp/licsxp-opac/WOpacMsgNewListToTifTilDetailAction.do?tilcod=2002222288101</t>
  </si>
  <si>
    <t>https://opac.libnet.pref.okayama.jp/licsxp-opac/WOpacMsgNewListToTifTilDetailAction.do?tilcod=2002222288111</t>
  </si>
  <si>
    <t>https://opac.libnet.pref.okayama.jp/licsxp-opac/WOpacMsgNewListToTifTilDetailAction.do?tilcod=2002222288121</t>
  </si>
  <si>
    <t>https://opac.libnet.pref.okayama.jp/licsxp-opac/WOpacMsgNewListToTifTilDetailAction.do?tilcod=2002222342730</t>
  </si>
  <si>
    <t>https://opac.libnet.pref.okayama.jp/licsxp-opac/WOpacMsgNewListToTifTilDetailAction.do?tilcod=2002222286111</t>
  </si>
  <si>
    <t>https://opac.libnet.pref.okayama.jp/licsxp-opac/WOpacMsgNewListToTifTilDetailAction.do?tilcod=2002222300821</t>
  </si>
  <si>
    <t>https://opac.libnet.pref.okayama.jp/licsxp-opac/WOpacMsgNewListToTifTilDetailAction.do?tilcod=2002222285233</t>
  </si>
  <si>
    <t>https://opac.libnet.pref.okayama.jp/licsxp-opac/WOpacMsgNewListToTifTilDetailAction.do?tilcod=2002222301273</t>
  </si>
  <si>
    <t>https://opac.libnet.pref.okayama.jp/licsxp-opac/WOpacMsgNewListToTifTilDetailAction.do?tilcod=2002222300583</t>
  </si>
  <si>
    <t>https://opac.libnet.pref.okayama.jp/licsxp-opac/WOpacMsgNewListToTifTilDetailAction.do?tilcod=2002222301977</t>
  </si>
  <si>
    <t>https://opac.libnet.pref.okayama.jp/licsxp-opac/WOpacMsgNewListToTifTilDetailAction.do?tilcod=2002222338111</t>
  </si>
  <si>
    <t>https://opac.libnet.pref.okayama.jp/licsxp-opac/WOpacMsgNewListToTifTilDetailAction.do?tilcod=2002222339591</t>
  </si>
  <si>
    <t>https://opac.libnet.pref.okayama.jp/licsxp-opac/WOpacMsgNewListToTifTilDetailAction.do?tilcod=2002222292121</t>
  </si>
  <si>
    <t>https://opac.libnet.pref.okayama.jp/licsxp-opac/WOpacMsgNewListToTifTilDetailAction.do?tilcod=2002222311908</t>
  </si>
  <si>
    <t>https://opac.libnet.pref.okayama.jp/licsxp-opac/WOpacMsgNewListToTifTilDetailAction.do?tilcod=2002222311907</t>
  </si>
  <si>
    <t>https://opac.libnet.pref.okayama.jp/licsxp-opac/WOpacMsgNewListToTifTilDetailAction.do?tilcod=2002222302281</t>
  </si>
  <si>
    <t>https://opac.libnet.pref.okayama.jp/licsxp-opac/WOpacMsgNewListToTifTilDetailAction.do?tilcod=2002222311986</t>
  </si>
  <si>
    <t>https://opac.libnet.pref.okayama.jp/licsxp-opac/WOpacMsgNewListToTifTilDetailAction.do?tilcod=2002222288131</t>
  </si>
  <si>
    <t>https://opac.libnet.pref.okayama.jp/licsxp-opac/WOpacMsgNewListToTifTilDetailAction.do?tilcod=2002222280991</t>
  </si>
  <si>
    <t>https://opac.libnet.pref.okayama.jp/licsxp-opac/WOpacMsgNewListToTifTilDetailAction.do?tilcod=2002222288151</t>
  </si>
  <si>
    <t>https://opac.libnet.pref.okayama.jp/licsxp-opac/WOpacMsgNewListToTifTilDetailAction.do?tilcod=2002222301588</t>
  </si>
  <si>
    <t>https://opac.libnet.pref.okayama.jp/licsxp-opac/WOpacMsgNewListToTifTilDetailAction.do?tilcod=2002222292131</t>
  </si>
  <si>
    <t>https://opac.libnet.pref.okayama.jp/licsxp-opac/WOpacMsgNewListToTifTilDetailAction.do?tilcod=2002222288201</t>
  </si>
  <si>
    <t>https://opac.libnet.pref.okayama.jp/licsxp-opac/WOpacMsgNewListToTifTilDetailAction.do?tilcod=2002222300442</t>
  </si>
  <si>
    <t>https://opac.libnet.pref.okayama.jp/licsxp-opac/WOpacMsgNewListToTifTilDetailAction.do?tilcod=2002222288211</t>
  </si>
  <si>
    <t>https://opac.libnet.pref.okayama.jp/licsxp-opac/WOpacMsgNewListToTifTilDetailAction.do?tilcod=2002222288221</t>
  </si>
  <si>
    <t>https://opac.libnet.pref.okayama.jp/licsxp-opac/WOpacMsgNewListToTifTilDetailAction.do?tilcod=2002222288231</t>
  </si>
  <si>
    <t>https://opac.libnet.pref.okayama.jp/licsxp-opac/WOpacMsgNewListToTifTilDetailAction.do?tilcod=2002222301587</t>
  </si>
  <si>
    <t>https://opac.libnet.pref.okayama.jp/licsxp-opac/WOpacMsgNewListToTifTilDetailAction.do?tilcod=2002222300822</t>
  </si>
  <si>
    <t>https://opac.libnet.pref.okayama.jp/licsxp-opac/WOpacMsgNewListToTifTilDetailAction.do?tilcod=2002222308726</t>
  </si>
  <si>
    <t>https://opac.libnet.pref.okayama.jp/licsxp-opac/WOpacMsgNewListToTifTilDetailAction.do?tilcod=2002222293791</t>
  </si>
  <si>
    <t>https://opac.libnet.pref.okayama.jp/licsxp-opac/WOpacMsgNewListToTifTilDetailAction.do?tilcod=2002222300825</t>
  </si>
  <si>
    <t>https://opac.libnet.pref.okayama.jp/licsxp-opac/WOpacMsgNewListToTifTilDetailAction.do?tilcod=2002222302327</t>
  </si>
  <si>
    <t>https://opac.libnet.pref.okayama.jp/licsxp-opac/WOpacMsgNewListToTifTilDetailAction.do?tilcod=2002222301541</t>
  </si>
  <si>
    <t>https://opac.libnet.pref.okayama.jp/licsxp-opac/WOpacMsgNewListToTifTilDetailAction.do?tilcod=2002222300826</t>
  </si>
  <si>
    <t>https://opac.libnet.pref.okayama.jp/licsxp-opac/WOpacMsgNewListToTifTilDetailAction.do?tilcod=2002222300842</t>
  </si>
  <si>
    <t>https://opac.libnet.pref.okayama.jp/licsxp-opac/WOpacMsgNewListToTifTilDetailAction.do?tilcod=2002222288261</t>
  </si>
  <si>
    <t>https://opac.libnet.pref.okayama.jp/licsxp-opac/WOpacMsgNewListToTifTilDetailAction.do?tilcod=2002222300828</t>
  </si>
  <si>
    <t>https://opac.libnet.pref.okayama.jp/licsxp-opac/WOpacMsgNewListToTifTilDetailAction.do?tilcod=2002222333908</t>
  </si>
  <si>
    <t>https://opac.libnet.pref.okayama.jp/licsxp-opac/WOpacMsgNewListToTifTilDetailAction.do?tilcod=2002222300992</t>
  </si>
  <si>
    <t>https://opac.libnet.pref.okayama.jp/licsxp-opac/WOpacMsgNewListToTifTilDetailAction.do?tilcod=2002222288271</t>
  </si>
  <si>
    <t>https://opac.libnet.pref.okayama.jp/licsxp-opac/WOpacMsgNewListToTifTilDetailAction.do?tilcod=2002222292711</t>
  </si>
  <si>
    <t>https://opac.libnet.pref.okayama.jp/licsxp-opac/WOpacMsgNewListToTifTilDetailAction.do?tilcod=2002222301194</t>
  </si>
  <si>
    <t>https://opac.libnet.pref.okayama.jp/licsxp-opac/WOpacMsgNewListToTifTilDetailAction.do?tilcod=2002222300571</t>
  </si>
  <si>
    <t>https://opac.libnet.pref.okayama.jp/licsxp-opac/WOpacMsgNewListToTifTilDetailAction.do?tilcod=2002222301888</t>
  </si>
  <si>
    <t>https://opac.libnet.pref.okayama.jp/licsxp-opac/WOpacMsgNewListToTifTilDetailAction.do?tilcod=2002222301880</t>
  </si>
  <si>
    <t>https://opac.libnet.pref.okayama.jp/licsxp-opac/WOpacMsgNewListToTifTilDetailAction.do?tilcod=2002222288353</t>
  </si>
  <si>
    <t>https://opac.libnet.pref.okayama.jp/licsxp-opac/WOpacMsgNewListToTifTilDetailAction.do?tilcod=2002222282101</t>
  </si>
  <si>
    <t>https://opac.libnet.pref.okayama.jp/licsxp-opac/WOpacMsgNewListToTifTilDetailAction.do?tilcod=2002222288281</t>
  </si>
  <si>
    <t>https://opac.libnet.pref.okayama.jp/licsxp-opac/WOpacMsgNewListToTifTilDetailAction.do?tilcod=2002222291101</t>
  </si>
  <si>
    <t>https://opac.libnet.pref.okayama.jp/licsxp-opac/WOpacMsgNewListToTifTilDetailAction.do?tilcod=2002222284761</t>
  </si>
  <si>
    <t>https://opac.libnet.pref.okayama.jp/licsxp-opac/WOpacMsgNewListToTifTilDetailAction.do?tilcod=2002222285971</t>
  </si>
  <si>
    <t>https://opac.libnet.pref.okayama.jp/licsxp-opac/WOpacMsgNewListToTifTilDetailAction.do?tilcod=2002222281834</t>
  </si>
  <si>
    <t>https://opac.libnet.pref.okayama.jp/licsxp-opac/WOpacMsgNewListToTifTilDetailAction.do?tilcod=2002222294371</t>
  </si>
  <si>
    <t>https://opac.libnet.pref.okayama.jp/licsxp-opac/WOpacMsgNewListToTifTilDetailAction.do?tilcod=2002222282611</t>
  </si>
  <si>
    <t>https://opac.libnet.pref.okayama.jp/licsxp-opac/WOpacMsgNewListToTifTilDetailAction.do?tilcod=2002222294381</t>
  </si>
  <si>
    <t>https://opac.libnet.pref.okayama.jp/licsxp-opac/WOpacMsgNewListToTifTilDetailAction.do?tilcod=2002222301175</t>
  </si>
  <si>
    <t>https://opac.libnet.pref.okayama.jp/licsxp-opac/WOpacMsgNewListToTifTilDetailAction.do?tilcod=2002222300486</t>
  </si>
  <si>
    <t>https://opac.libnet.pref.okayama.jp/licsxp-opac/WOpacMsgNewListToTifTilDetailAction.do?tilcod=2002222301057</t>
  </si>
  <si>
    <t>https://opac.libnet.pref.okayama.jp/licsxp-opac/WOpacMsgNewListToTifTilDetailAction.do?tilcod=2002222301548</t>
  </si>
  <si>
    <t>https://opac.libnet.pref.okayama.jp/licsxp-opac/WOpacMsgNewListToTifTilDetailAction.do?tilcod=2002222307427</t>
  </si>
  <si>
    <t>https://opac.libnet.pref.okayama.jp/licsxp-opac/WOpacMsgNewListToTifTilDetailAction.do?tilcod=2002222301426</t>
  </si>
  <si>
    <t>https://opac.libnet.pref.okayama.jp/licsxp-opac/WOpacMsgNewListToTifTilDetailAction.do?tilcod=2002222300830</t>
  </si>
  <si>
    <t>https://opac.libnet.pref.okayama.jp/licsxp-opac/WOpacMsgNewListToTifTilDetailAction.do?tilcod=2002222288301</t>
  </si>
  <si>
    <t>https://opac.libnet.pref.okayama.jp/licsxp-opac/WOpacMsgNewListToTifTilDetailAction.do?tilcod=2002222288311</t>
  </si>
  <si>
    <t>https://opac.libnet.pref.okayama.jp/licsxp-opac/WOpacMsgNewListToTifTilDetailAction.do?tilcod=2002222292141</t>
  </si>
  <si>
    <t>https://opac.libnet.pref.okayama.jp/licsxp-opac/WOpacMsgNewListToTifTilDetailAction.do?tilcod=2002222289813</t>
  </si>
  <si>
    <t>https://opac.libnet.pref.okayama.jp/licsxp-opac/WOpacMsgNewListToTifTilDetailAction.do?tilcod=2002222283131</t>
  </si>
  <si>
    <t>https://opac.libnet.pref.okayama.jp/licsxp-opac/WOpacMsgNewListToTifTilDetailAction.do?tilcod=2002222288363</t>
  </si>
  <si>
    <t>https://opac.libnet.pref.okayama.jp/licsxp-opac/WOpacMsgNewListToTifTilDetailAction.do?tilcod=2002222288321</t>
  </si>
  <si>
    <t>https://opac.libnet.pref.okayama.jp/licsxp-opac/WOpacMsgNewListToTifTilDetailAction.do?tilcod=2002222288331</t>
  </si>
  <si>
    <t>https://opac.libnet.pref.okayama.jp/licsxp-opac/WOpacMsgNewListToTifTilDetailAction.do?tilcod=2002222336660</t>
  </si>
  <si>
    <t>https://opac.libnet.pref.okayama.jp/licsxp-opac/WOpacMsgNewListToTifTilDetailAction.do?tilcod=2002222336659</t>
  </si>
  <si>
    <t>https://opac.libnet.pref.okayama.jp/licsxp-opac/WOpacMsgNewListToTifTilDetailAction.do?tilcod=2002222336669</t>
  </si>
  <si>
    <t>https://opac.libnet.pref.okayama.jp/licsxp-opac/WOpacMsgNewListToTifTilDetailAction.do?tilcod=2002222302050</t>
  </si>
  <si>
    <t>https://opac.libnet.pref.okayama.jp/licsxp-opac/WOpacMsgNewListToTifTilDetailAction.do?tilcod=2002222336661</t>
  </si>
  <si>
    <t>https://opac.libnet.pref.okayama.jp/licsxp-opac/WOpacMsgNewListToTifTilDetailAction.do?tilcod=2002222336664</t>
  </si>
  <si>
    <t>https://opac.libnet.pref.okayama.jp/licsxp-opac/WOpacMsgNewListToTifTilDetailAction.do?tilcod=2002222336667</t>
  </si>
  <si>
    <t>https://opac.libnet.pref.okayama.jp/licsxp-opac/WOpacMsgNewListToTifTilDetailAction.do?tilcod=2002222336666</t>
  </si>
  <si>
    <t>https://opac.libnet.pref.okayama.jp/licsxp-opac/WOpacMsgNewListToTifTilDetailAction.do?tilcod=2002222336662</t>
  </si>
  <si>
    <t>https://opac.libnet.pref.okayama.jp/licsxp-opac/WOpacMsgNewListToTifTilDetailAction.do?tilcod=2002222313066</t>
  </si>
  <si>
    <t>https://opac.libnet.pref.okayama.jp/licsxp-opac/WOpacMsgNewListToTifTilDetailAction.do?tilcod=2002222288341</t>
  </si>
  <si>
    <t>https://opac.libnet.pref.okayama.jp/licsxp-opac/WOpacMsgNewListToTifTilDetailAction.do?tilcod=2002222336658</t>
  </si>
  <si>
    <t>https://opac.libnet.pref.okayama.jp/licsxp-opac/WOpacMsgNewListToTifTilDetailAction.do?tilcod=2002222336663</t>
  </si>
  <si>
    <t>https://opac.libnet.pref.okayama.jp/licsxp-opac/WOpacMsgNewListToTifTilDetailAction.do?tilcod=2002222336665</t>
  </si>
  <si>
    <t>https://opac.libnet.pref.okayama.jp/licsxp-opac/WOpacMsgNewListToTifTilDetailAction.do?tilcod=2002222338950</t>
  </si>
  <si>
    <t>https://opac.libnet.pref.okayama.jp/licsxp-opac/WOpacMsgNewListToTifTilDetailAction.do?tilcod=2002222336657</t>
  </si>
  <si>
    <t>https://opac.libnet.pref.okayama.jp/licsxp-opac/WOpacMsgNewListToTifTilDetailAction.do?tilcod=2002222338133</t>
  </si>
  <si>
    <t>https://opac.libnet.pref.okayama.jp/licsxp-opac/WOpacMsgNewListToTifTilDetailAction.do?tilcod=2002222338131</t>
  </si>
  <si>
    <t>https://opac.libnet.pref.okayama.jp/licsxp-opac/WOpacMsgNewListToTifTilDetailAction.do?tilcod=2002222338132</t>
  </si>
  <si>
    <t>https://opac.libnet.pref.okayama.jp/licsxp-opac/WOpacMsgNewListToTifTilDetailAction.do?tilcod=2002222334848</t>
  </si>
  <si>
    <t>https://opac.libnet.pref.okayama.jp/licsxp-opac/WOpacMsgNewListToTifTilDetailAction.do?tilcod=2002222281801</t>
  </si>
  <si>
    <t>https://opac.libnet.pref.okayama.jp/licsxp-opac/WOpacMsgNewListToTifTilDetailAction.do?tilcod=2002222280494</t>
  </si>
  <si>
    <t>https://opac.libnet.pref.okayama.jp/licsxp-opac/WOpacMsgNewListToTifTilDetailAction.do?tilcod=2002222288361</t>
  </si>
  <si>
    <t>https://opac.libnet.pref.okayama.jp/licsxp-opac/WOpacMsgNewListToTifTilDetailAction.do?tilcod=2002222292161</t>
  </si>
  <si>
    <t>https://opac.libnet.pref.okayama.jp/licsxp-opac/WOpacMsgNewListToTifTilDetailAction.do?tilcod=2002222331926</t>
  </si>
  <si>
    <t>https://opac.libnet.pref.okayama.jp/licsxp-opac/WOpacMsgNewListToTifTilDetailAction.do?tilcod=2002222342770</t>
  </si>
  <si>
    <t>https://opac.libnet.pref.okayama.jp/licsxp-opac/WOpacMsgNewListToTifTilDetailAction.do?tilcod=2002222326027</t>
  </si>
  <si>
    <t>https://opac.libnet.pref.okayama.jp/licsxp-opac/WOpacMsgNewListToTifTilDetailAction.do?tilcod=2002222292181</t>
  </si>
  <si>
    <t>https://opac.libnet.pref.okayama.jp/licsxp-opac/WOpacMsgNewListToTifTilDetailAction.do?tilcod=2002222288371</t>
  </si>
  <si>
    <t>https://opac.libnet.pref.okayama.jp/licsxp-opac/WOpacMsgNewListToTifTilDetailAction.do?tilcod=2002222300832</t>
  </si>
  <si>
    <t>https://opac.libnet.pref.okayama.jp/licsxp-opac/WOpacMsgNewListToTifTilDetailAction.do?tilcod=2002222300833</t>
  </si>
  <si>
    <t>https://opac.libnet.pref.okayama.jp/licsxp-opac/WOpacMsgNewListToTifTilDetailAction.do?tilcod=2002222302108</t>
  </si>
  <si>
    <t>https://opac.libnet.pref.okayama.jp/licsxp-opac/WOpacMsgNewListToTifTilDetailAction.do?tilcod=2002222302316</t>
  </si>
  <si>
    <t>https://opac.libnet.pref.okayama.jp/licsxp-opac/WOpacMsgNewListToTifTilDetailAction.do?tilcod=2002222288391</t>
  </si>
  <si>
    <t>https://opac.libnet.pref.okayama.jp/licsxp-opac/WOpacMsgNewListToTifTilDetailAction.do?tilcod=2002222288381</t>
  </si>
  <si>
    <t>https://opac.libnet.pref.okayama.jp/licsxp-opac/WOpacMsgNewListToTifTilDetailAction.do?tilcod=2002222319730</t>
  </si>
  <si>
    <t>https://opac.libnet.pref.okayama.jp/licsxp-opac/WOpacMsgNewListToTifTilDetailAction.do?tilcod=2002222288401</t>
  </si>
  <si>
    <t>https://opac.libnet.pref.okayama.jp/licsxp-opac/WOpacMsgNewListToTifTilDetailAction.do?tilcod=2002222288411</t>
  </si>
  <si>
    <t>https://opac.libnet.pref.okayama.jp/licsxp-opac/WOpacMsgNewListToTifTilDetailAction.do?tilcod=2002222294851</t>
  </si>
  <si>
    <t>https://opac.libnet.pref.okayama.jp/licsxp-opac/WOpacMsgNewListToTifTilDetailAction.do?tilcod=2002222288421</t>
  </si>
  <si>
    <t>https://opac.libnet.pref.okayama.jp/licsxp-opac/WOpacMsgNewListToTifTilDetailAction.do?tilcod=2002222302054</t>
  </si>
  <si>
    <t>https://opac.libnet.pref.okayama.jp/licsxp-opac/WOpacMsgNewListToTifTilDetailAction.do?tilcod=2002222302053</t>
  </si>
  <si>
    <t>https://opac.libnet.pref.okayama.jp/licsxp-opac/WOpacMsgNewListToTifTilDetailAction.do?tilcod=2002222315607</t>
  </si>
  <si>
    <t>https://opac.libnet.pref.okayama.jp/licsxp-opac/WOpacMsgNewListToTifTilDetailAction.do?tilcod=2002222288431</t>
  </si>
  <si>
    <t>https://opac.libnet.pref.okayama.jp/licsxp-opac/WOpacMsgNewListToTifTilDetailAction.do?tilcod=2002222334570</t>
  </si>
  <si>
    <t>https://opac.libnet.pref.okayama.jp/licsxp-opac/WOpacMsgNewListToTifTilDetailAction.do?tilcod=2002222301173</t>
  </si>
  <si>
    <t>https://opac.libnet.pref.okayama.jp/licsxp-opac/WOpacMsgNewListToTifTilDetailAction.do?tilcod=2002222300480</t>
  </si>
  <si>
    <t>https://opac.libnet.pref.okayama.jp/licsxp-opac/WOpacMsgNewListToTifTilDetailAction.do?tilcod=2002222325848</t>
  </si>
  <si>
    <t>https://opac.libnet.pref.okayama.jp/licsxp-opac/WOpacMsgNewListToTifTilDetailAction.do?tilcod=2002222311906</t>
  </si>
  <si>
    <t>https://opac.libnet.pref.okayama.jp/licsxp-opac/WOpacMsgNewListToTifTilDetailAction.do?tilcod=2002222301810</t>
  </si>
  <si>
    <t>https://opac.libnet.pref.okayama.jp/licsxp-opac/WOpacMsgNewListToTifTilDetailAction.do?tilcod=2002222343972</t>
  </si>
  <si>
    <t>https://opac.libnet.pref.okayama.jp/licsxp-opac/WOpacMsgNewListToTifTilDetailAction.do?tilcod=2002222301799</t>
  </si>
  <si>
    <t>https://opac.libnet.pref.okayama.jp/licsxp-opac/WOpacMsgNewListToTifTilDetailAction.do?tilcod=2002222288683</t>
  </si>
  <si>
    <t>https://opac.libnet.pref.okayama.jp/licsxp-opac/WOpacMsgNewListToTifTilDetailAction.do?tilcod=2002222301860</t>
  </si>
  <si>
    <t>https://opac.libnet.pref.okayama.jp/licsxp-opac/WOpacMsgNewListToTifTilDetailAction.do?tilcod=2002222307466</t>
  </si>
  <si>
    <t>https://opac.libnet.pref.okayama.jp/licsxp-opac/WOpacMsgNewListToTifTilDetailAction.do?tilcod=2002222326949</t>
  </si>
  <si>
    <t>https://opac.libnet.pref.okayama.jp/licsxp-opac/WOpacMsgNewListToTifTilDetailAction.do?tilcod=2002222329170</t>
  </si>
  <si>
    <t>https://opac.libnet.pref.okayama.jp/licsxp-opac/WOpacMsgNewListToTifTilDetailAction.do?tilcod=2002222301172</t>
  </si>
  <si>
    <t>https://opac.libnet.pref.okayama.jp/licsxp-opac/WOpacMsgNewListToTifTilDetailAction.do?tilcod=2002222300482</t>
  </si>
  <si>
    <t>https://opac.libnet.pref.okayama.jp/licsxp-opac/WOpacMsgNewListToTifTilDetailAction.do?tilcod=2002222301657</t>
  </si>
  <si>
    <t>https://opac.libnet.pref.okayama.jp/licsxp-opac/WOpacMsgNewListToTifTilDetailAction.do?tilcod=2002222301948</t>
  </si>
  <si>
    <t>https://opac.libnet.pref.okayama.jp/licsxp-opac/WOpacMsgNewListToTifTilDetailAction.do?tilcod=2002222301389</t>
  </si>
  <si>
    <t>https://opac.libnet.pref.okayama.jp/licsxp-opac/WOpacMsgNewListToTifTilDetailAction.do?tilcod=2002222311867</t>
  </si>
  <si>
    <t>https://opac.libnet.pref.okayama.jp/licsxp-opac/WOpacMsgNewListToTifTilDetailAction.do?tilcod=2002222311869</t>
  </si>
  <si>
    <t>https://opac.libnet.pref.okayama.jp/licsxp-opac/WOpacMsgNewListToTifTilDetailAction.do?tilcod=2002222331930</t>
  </si>
  <si>
    <t>https://opac.libnet.pref.okayama.jp/licsxp-opac/WOpacMsgNewListToTifTilDetailAction.do?tilcod=2002222288383</t>
  </si>
  <si>
    <t>https://opac.libnet.pref.okayama.jp/licsxp-opac/WOpacMsgNewListToTifTilDetailAction.do?tilcod=2002222301685</t>
  </si>
  <si>
    <t>https://opac.libnet.pref.okayama.jp/licsxp-opac/WOpacMsgNewListToTifTilDetailAction.do?tilcod=2002222288441</t>
  </si>
  <si>
    <t>https://opac.libnet.pref.okayama.jp/licsxp-opac/WOpacMsgNewListToTifTilDetailAction.do?tilcod=2002222316287</t>
  </si>
  <si>
    <t>https://opac.libnet.pref.okayama.jp/licsxp-opac/WOpacMsgNewListToTifTilDetailAction.do?tilcod=2002222314706</t>
  </si>
  <si>
    <t>https://opac.libnet.pref.okayama.jp/licsxp-opac/WOpacMsgNewListToTifTilDetailAction.do?tilcod=2002222313327</t>
  </si>
  <si>
    <t>https://opac.libnet.pref.okayama.jp/licsxp-opac/WOpacMsgNewListToTifTilDetailAction.do?tilcod=2002222312306</t>
  </si>
  <si>
    <t>https://opac.libnet.pref.okayama.jp/licsxp-opac/WOpacMsgNewListToTifTilDetailAction.do?tilcod=2002222333652</t>
  </si>
  <si>
    <t>https://opac.libnet.pref.okayama.jp/licsxp-opac/WOpacMsgNewListToTifTilDetailAction.do?tilcod=2002222288451</t>
  </si>
  <si>
    <t>https://opac.libnet.pref.okayama.jp/licsxp-opac/WOpacMsgNewListToTifTilDetailAction.do?tilcod=2002222334090</t>
  </si>
  <si>
    <t>https://opac.libnet.pref.okayama.jp/licsxp-opac/WOpacMsgNewListToTifTilDetailAction.do?tilcod=2002222334091</t>
  </si>
  <si>
    <t>https://opac.libnet.pref.okayama.jp/licsxp-opac/WOpacMsgNewListToTifTilDetailAction.do?tilcod=2002222284351</t>
  </si>
  <si>
    <t>https://opac.libnet.pref.okayama.jp/licsxp-opac/WOpacMsgNewListToTifTilDetailAction.do?tilcod=2002222302413</t>
  </si>
  <si>
    <t>https://opac.libnet.pref.okayama.jp/licsxp-opac/WOpacMsgNewListToTifTilDetailAction.do?tilcod=2002222322388</t>
  </si>
  <si>
    <t>https://opac.libnet.pref.okayama.jp/licsxp-opac/WOpacMsgNewListToTifTilDetailAction.do?tilcod=2002222288553</t>
  </si>
  <si>
    <t>https://opac.libnet.pref.okayama.jp/licsxp-opac/WOpacMsgNewListToTifTilDetailAction.do?tilcod=2002222302424</t>
  </si>
  <si>
    <t>https://opac.libnet.pref.okayama.jp/licsxp-opac/WOpacMsgNewListToTifTilDetailAction.do?tilcod=2002222300653</t>
  </si>
  <si>
    <t>https://opac.libnet.pref.okayama.jp/licsxp-opac/WOpacMsgNewListToTifTilDetailAction.do?tilcod=2002222344012</t>
  </si>
  <si>
    <t>https://opac.libnet.pref.okayama.jp/licsxp-opac/WOpacMsgNewListToTifTilDetailAction.do?tilcod=2002222284945</t>
  </si>
  <si>
    <t>https://opac.libnet.pref.okayama.jp/licsxp-opac/WOpacMsgNewListToTifTilDetailAction.do?tilcod=2002222285621</t>
  </si>
  <si>
    <t>https://opac.libnet.pref.okayama.jp/licsxp-opac/WOpacMsgNewListToTifTilDetailAction.do?tilcod=2002222284331</t>
  </si>
  <si>
    <t>https://opac.libnet.pref.okayama.jp/licsxp-opac/WOpacMsgNewListToTifTilDetailAction.do?tilcod=2002222300754</t>
  </si>
  <si>
    <t>https://opac.libnet.pref.okayama.jp/licsxp-opac/WOpacMsgNewListToTifTilDetailAction.do?tilcod=2002222311928</t>
  </si>
  <si>
    <t>https://opac.libnet.pref.okayama.jp/licsxp-opac/WOpacMsgNewListToTifTilDetailAction.do?tilcod=2002222302398</t>
  </si>
  <si>
    <t>https://opac.libnet.pref.okayama.jp/licsxp-opac/WOpacMsgNewListToTifTilDetailAction.do?tilcod=2002222301816</t>
  </si>
  <si>
    <t>https://opac.libnet.pref.okayama.jp/licsxp-opac/WOpacMsgNewListToTifTilDetailAction.do?tilcod=2002222302048</t>
  </si>
  <si>
    <t>https://opac.libnet.pref.okayama.jp/licsxp-opac/WOpacMsgNewListToTifTilDetailAction.do?tilcod=2002222322389</t>
  </si>
  <si>
    <t>https://opac.libnet.pref.okayama.jp/licsxp-opac/WOpacMsgNewListToTifTilDetailAction.do?tilcod=2002222302402</t>
  </si>
  <si>
    <t>https://opac.libnet.pref.okayama.jp/licsxp-opac/WOpacMsgNewListToTifTilDetailAction.do?tilcod=2002222283091</t>
  </si>
  <si>
    <t>https://opac.libnet.pref.okayama.jp/licsxp-opac/WOpacMsgNewListToTifTilDetailAction.do?tilcod=2002222294251</t>
  </si>
  <si>
    <t>https://opac.libnet.pref.okayama.jp/licsxp-opac/WOpacMsgNewListToTifTilDetailAction.do?tilcod=2002222302397</t>
  </si>
  <si>
    <t>https://opac.libnet.pref.okayama.jp/licsxp-opac/WOpacMsgNewListToTifTilDetailAction.do?tilcod=2002222300713</t>
  </si>
  <si>
    <t>https://opac.libnet.pref.okayama.jp/licsxp-opac/WOpacMsgNewListToTifTilDetailAction.do?tilcod=2002222288393</t>
  </si>
  <si>
    <t>https://opac.libnet.pref.okayama.jp/licsxp-opac/WOpacMsgNewListToTifTilDetailAction.do?tilcod=2002222294281</t>
  </si>
  <si>
    <t>https://opac.libnet.pref.okayama.jp/licsxp-opac/WOpacMsgNewListToTifTilDetailAction.do?tilcod=2002222300300</t>
  </si>
  <si>
    <t>https://opac.libnet.pref.okayama.jp/licsxp-opac/WOpacMsgNewListToTifTilDetailAction.do?tilcod=2002222334851</t>
  </si>
  <si>
    <t>https://opac.libnet.pref.okayama.jp/licsxp-opac/WOpacMsgNewListToTifTilDetailAction.do?tilcod=2002222329846</t>
  </si>
  <si>
    <t>https://opac.libnet.pref.okayama.jp/licsxp-opac/WOpacMsgNewListToTifTilDetailAction.do?tilcod=2002222283281</t>
  </si>
  <si>
    <t>https://opac.libnet.pref.okayama.jp/licsxp-opac/WOpacMsgNewListToTifTilDetailAction.do?tilcod=2002222288403</t>
  </si>
  <si>
    <t>https://opac.libnet.pref.okayama.jp/licsxp-opac/WOpacMsgNewListToTifTilDetailAction.do?tilcod=2002222294291</t>
  </si>
  <si>
    <t>https://opac.libnet.pref.okayama.jp/licsxp-opac/WOpacMsgNewListToTifTilDetailAction.do?tilcod=2002222284971</t>
  </si>
  <si>
    <t>https://opac.libnet.pref.okayama.jp/licsxp-opac/WOpacMsgNewListToTifTilDetailAction.do?tilcod=2002222302415</t>
  </si>
  <si>
    <t>https://opac.libnet.pref.okayama.jp/licsxp-opac/WOpacMsgNewListToTifTilDetailAction.do?tilcod=2002222301368</t>
  </si>
  <si>
    <t>https://opac.libnet.pref.okayama.jp/licsxp-opac/WOpacMsgNewListToTifTilDetailAction.do?tilcod=2002222286121</t>
  </si>
  <si>
    <t>https://opac.libnet.pref.okayama.jp/licsxp-opac/WOpacMsgNewListToTifTilDetailAction.do?tilcod=2002222294241</t>
  </si>
  <si>
    <t>https://opac.libnet.pref.okayama.jp/licsxp-opac/WOpacMsgNewListToTifTilDetailAction.do?tilcod=2002222294261</t>
  </si>
  <si>
    <t>https://opac.libnet.pref.okayama.jp/licsxp-opac/WOpacMsgNewListToTifTilDetailAction.do?tilcod=2002222332831</t>
  </si>
  <si>
    <t>https://opac.libnet.pref.okayama.jp/licsxp-opac/WOpacMsgNewListToTifTilDetailAction.do?tilcod=2002222300834</t>
  </si>
  <si>
    <t>https://opac.libnet.pref.okayama.jp/licsxp-opac/WOpacMsgNewListToTifTilDetailAction.do?tilcod=2002222284301</t>
  </si>
  <si>
    <t>https://opac.libnet.pref.okayama.jp/licsxp-opac/WOpacMsgNewListToTifTilDetailAction.do?tilcod=2002222284901</t>
  </si>
  <si>
    <t>https://opac.libnet.pref.okayama.jp/licsxp-opac/WOpacMsgNewListToTifTilDetailAction.do?tilcod=2002222301954</t>
  </si>
  <si>
    <t>https://opac.libnet.pref.okayama.jp/licsxp-opac/WOpacMsgNewListToTifTilDetailAction.do?tilcod=2002222301304</t>
  </si>
  <si>
    <t>https://opac.libnet.pref.okayama.jp/licsxp-opac/WOpacMsgNewListToTifTilDetailAction.do?tilcod=2002222294271</t>
  </si>
  <si>
    <t>https://opac.libnet.pref.okayama.jp/licsxp-opac/WOpacMsgNewListToTifTilDetailAction.do?tilcod=2002222284341</t>
  </si>
  <si>
    <t>https://opac.libnet.pref.okayama.jp/licsxp-opac/WOpacMsgNewListToTifTilDetailAction.do?tilcod=2002222283291</t>
  </si>
  <si>
    <t>https://opac.libnet.pref.okayama.jp/licsxp-opac/WOpacMsgNewListToTifTilDetailAction.do?tilcod=2002222288473</t>
  </si>
  <si>
    <t>https://opac.libnet.pref.okayama.jp/licsxp-opac/WOpacMsgNewListToTifTilDetailAction.do?tilcod=2002222294301</t>
  </si>
  <si>
    <t>https://opac.libnet.pref.okayama.jp/licsxp-opac/WOpacMsgNewListToTifTilDetailAction.do?tilcod=2002222288413</t>
  </si>
  <si>
    <t>https://opac.libnet.pref.okayama.jp/licsxp-opac/WOpacMsgNewListToTifTilDetailAction.do?tilcod=2002222294311</t>
  </si>
  <si>
    <t>https://opac.libnet.pref.okayama.jp/licsxp-opac/WOpacMsgNewListToTifTilDetailAction.do?tilcod=2002222288433</t>
  </si>
  <si>
    <t>https://opac.libnet.pref.okayama.jp/licsxp-opac/WOpacMsgNewListToTifTilDetailAction.do?tilcod=2002222288423</t>
  </si>
  <si>
    <t>https://opac.libnet.pref.okayama.jp/licsxp-opac/WOpacMsgNewListToTifTilDetailAction.do?tilcod=2002222288543</t>
  </si>
  <si>
    <t>https://opac.libnet.pref.okayama.jp/licsxp-opac/WOpacMsgNewListToTifTilDetailAction.do?tilcod=2002222301446</t>
  </si>
  <si>
    <t>https://opac.libnet.pref.okayama.jp/licsxp-opac/WOpacMsgNewListToTifTilDetailAction.do?tilcod=2002222288443</t>
  </si>
  <si>
    <t>https://opac.libnet.pref.okayama.jp/licsxp-opac/WOpacMsgNewListToTifTilDetailAction.do?tilcod=2002222288491</t>
  </si>
  <si>
    <t>https://opac.libnet.pref.okayama.jp/licsxp-opac/WOpacMsgNewListToTifTilDetailAction.do?tilcod=2002222294331</t>
  </si>
  <si>
    <t>https://opac.libnet.pref.okayama.jp/licsxp-opac/WOpacMsgNewListToTifTilDetailAction.do?tilcod=2002222294321</t>
  </si>
  <si>
    <t>https://opac.libnet.pref.okayama.jp/licsxp-opac/WOpacMsgNewListToTifTilDetailAction.do?tilcod=2002222288493</t>
  </si>
  <si>
    <t>https://opac.libnet.pref.okayama.jp/licsxp-opac/WOpacMsgNewListToTifTilDetailAction.do?tilcod=2002222288483</t>
  </si>
  <si>
    <t>https://opac.libnet.pref.okayama.jp/licsxp-opac/WOpacMsgNewListToTifTilDetailAction.do?tilcod=2002222301502</t>
  </si>
  <si>
    <t>https://opac.libnet.pref.okayama.jp/licsxp-opac/WOpacMsgNewListToTifTilDetailAction.do?tilcod=2002222288503</t>
  </si>
  <si>
    <t>https://opac.libnet.pref.okayama.jp/licsxp-opac/WOpacMsgNewListToTifTilDetailAction.do?tilcod=2002222292151</t>
  </si>
  <si>
    <t>https://opac.libnet.pref.okayama.jp/licsxp-opac/WOpacMsgNewListToTifTilDetailAction.do?tilcod=2002222281294</t>
  </si>
  <si>
    <t>https://opac.libnet.pref.okayama.jp/licsxp-opac/WOpacMsgNewListToTifTilDetailAction.do?tilcod=2002222288563</t>
  </si>
  <si>
    <t>https://opac.libnet.pref.okayama.jp/licsxp-opac/WOpacMsgNewListToTifTilDetailAction.do?tilcod=2002222288523</t>
  </si>
  <si>
    <t>https://opac.libnet.pref.okayama.jp/licsxp-opac/WOpacMsgNewListToTifTilDetailAction.do?tilcod=2002222288533</t>
  </si>
  <si>
    <t>https://opac.libnet.pref.okayama.jp/licsxp-opac/WOpacMsgNewListToTifTilDetailAction.do?tilcod=2002222294341</t>
  </si>
  <si>
    <t>https://opac.libnet.pref.okayama.jp/licsxp-opac/WOpacMsgNewListToTifTilDetailAction.do?tilcod=2002222328431</t>
  </si>
  <si>
    <t>https://opac.libnet.pref.okayama.jp/licsxp-opac/WOpacMsgNewListToTifTilDetailAction.do?tilcod=2002222288531</t>
  </si>
  <si>
    <t>https://opac.libnet.pref.okayama.jp/licsxp-opac/WOpacMsgNewListToTifTilDetailAction.do?tilcod=2002222288541</t>
  </si>
  <si>
    <t>https://opac.libnet.pref.okayama.jp/licsxp-opac/WOpacMsgNewListToTifTilDetailAction.do?tilcod=2002222300835</t>
  </si>
  <si>
    <t>https://opac.libnet.pref.okayama.jp/licsxp-opac/WOpacMsgNewListToTifTilDetailAction.do?tilcod=2002222300836</t>
  </si>
  <si>
    <t>https://opac.libnet.pref.okayama.jp/licsxp-opac/WOpacMsgNewListToTifTilDetailAction.do?tilcod=2002222300837</t>
  </si>
  <si>
    <t>https://opac.libnet.pref.okayama.jp/licsxp-opac/WOpacMsgNewListToTifTilDetailAction.do?tilcod=2002222331931</t>
  </si>
  <si>
    <t>https://opac.libnet.pref.okayama.jp/licsxp-opac/WOpacMsgNewListToTifTilDetailAction.do?tilcod=2002222325286</t>
  </si>
  <si>
    <t>https://opac.libnet.pref.okayama.jp/licsxp-opac/WOpacMsgNewListToTifTilDetailAction.do?tilcod=2002222289703</t>
  </si>
  <si>
    <t>https://opac.libnet.pref.okayama.jp/licsxp-opac/WOpacMsgNewListToTifTilDetailAction.do?tilcod=2002222339272</t>
  </si>
  <si>
    <t>https://opac.libnet.pref.okayama.jp/licsxp-opac/WOpacMsgNewListToTifTilDetailAction.do?tilcod=2002222292171</t>
  </si>
  <si>
    <t>https://opac.libnet.pref.okayama.jp/licsxp-opac/WOpacMsgNewListToTifTilDetailAction.do?tilcod=2002222300838</t>
  </si>
  <si>
    <t>https://opac.libnet.pref.okayama.jp/licsxp-opac/WOpacMsgNewListToTifTilDetailAction.do?tilcod=2002222291111</t>
  </si>
  <si>
    <t>https://opac.libnet.pref.okayama.jp/licsxp-opac/WOpacMsgNewListToTifTilDetailAction.do?tilcod=2002222288561</t>
  </si>
  <si>
    <t>https://opac.libnet.pref.okayama.jp/licsxp-opac/WOpacMsgNewListToTifTilDetailAction.do?tilcod=2002222282074</t>
  </si>
  <si>
    <t>https://opac.libnet.pref.okayama.jp/licsxp-opac/WOpacMsgNewListToTifTilDetailAction.do?tilcod=2002222301952</t>
  </si>
  <si>
    <t>https://opac.libnet.pref.okayama.jp/licsxp-opac/WOpacMsgNewListToTifTilDetailAction.do?tilcod=2002222288571</t>
  </si>
  <si>
    <t>https://opac.libnet.pref.okayama.jp/licsxp-opac/WOpacMsgNewListToTifTilDetailAction.do?tilcod=2002222301211</t>
  </si>
  <si>
    <t>https://opac.libnet.pref.okayama.jp/licsxp-opac/WOpacMsgNewListToTifTilDetailAction.do?tilcod=2002222341272</t>
  </si>
  <si>
    <t>https://opac.libnet.pref.okayama.jp/licsxp-opac/WOpacMsgNewListToTifTilDetailAction.do?tilcod=2002222300570</t>
  </si>
  <si>
    <t>https://opac.libnet.pref.okayama.jp/licsxp-opac/WOpacMsgNewListToTifTilDetailAction.do?tilcod=2002222329986</t>
  </si>
  <si>
    <t>https://opac.libnet.pref.okayama.jp/licsxp-opac/WOpacMsgNewListToTifTilDetailAction.do?tilcod=2002222301777</t>
  </si>
  <si>
    <t>https://opac.libnet.pref.okayama.jp/licsxp-opac/WOpacMsgNewListToTifTilDetailAction.do?tilcod=2002222334068</t>
  </si>
  <si>
    <t>https://opac.libnet.pref.okayama.jp/licsxp-opac/WOpacMsgNewListToTifTilDetailAction.do?tilcod=2002222301155</t>
  </si>
  <si>
    <t>https://opac.libnet.pref.okayama.jp/licsxp-opac/WOpacMsgNewListToTifTilDetailAction.do?tilcod=2002222288581</t>
  </si>
  <si>
    <t>https://opac.libnet.pref.okayama.jp/licsxp-opac/WOpacMsgNewListToTifTilDetailAction.do?tilcod=2002222291121</t>
  </si>
  <si>
    <t>https://opac.libnet.pref.okayama.jp/licsxp-opac/WOpacMsgNewListToTifTilDetailAction.do?tilcod=2002222300839</t>
  </si>
  <si>
    <t>https://opac.libnet.pref.okayama.jp/licsxp-opac/WOpacMsgNewListToTifTilDetailAction.do?tilcod=2002222288591</t>
  </si>
  <si>
    <t>https://opac.libnet.pref.okayama.jp/licsxp-opac/WOpacMsgNewListToTifTilDetailAction.do?tilcod=2002222300840</t>
  </si>
  <si>
    <t>https://opac.libnet.pref.okayama.jp/licsxp-opac/WOpacMsgNewListToTifTilDetailAction.do?tilcod=2002222338270</t>
  </si>
  <si>
    <t>https://opac.libnet.pref.okayama.jp/licsxp-opac/WOpacMsgNewListToTifTilDetailAction.do?tilcod=2002222288601</t>
  </si>
  <si>
    <t>https://opac.libnet.pref.okayama.jp/licsxp-opac/WOpacMsgNewListToTifTilDetailAction.do?tilcod=2002222325706</t>
  </si>
  <si>
    <t>https://opac.libnet.pref.okayama.jp/licsxp-opac/WOpacMsgNewListToTifTilDetailAction.do?tilcod=2002222288611</t>
  </si>
  <si>
    <t>https://opac.libnet.pref.okayama.jp/licsxp-opac/WOpacMsgNewListToTifTilDetailAction.do?tilcod=2002222281291</t>
  </si>
  <si>
    <t>https://opac.libnet.pref.okayama.jp/licsxp-opac/WOpacMsgNewListToTifTilDetailAction.do?tilcod=2002222285991</t>
  </si>
  <si>
    <t>https://opac.libnet.pref.okayama.jp/licsxp-opac/WOpacMsgNewListToTifTilDetailAction.do?tilcod=2002222300841</t>
  </si>
  <si>
    <t>https://opac.libnet.pref.okayama.jp/licsxp-opac/WOpacMsgNewListToTifTilDetailAction.do?tilcod=2002222291131</t>
  </si>
  <si>
    <t>https://opac.libnet.pref.okayama.jp/licsxp-opac/WOpacMsgNewListToTifTilDetailAction.do?tilcod=2002222288621</t>
  </si>
  <si>
    <t>https://opac.libnet.pref.okayama.jp/licsxp-opac/WOpacMsgNewListToTifTilDetailAction.do?tilcod=2002222339890</t>
  </si>
  <si>
    <t>https://opac.libnet.pref.okayama.jp/licsxp-opac/WOpacMsgNewListToTifTilDetailAction.do?tilcod=2002222302406</t>
  </si>
  <si>
    <t>https://opac.libnet.pref.okayama.jp/licsxp-opac/WOpacMsgNewListToTifTilDetailAction.do?tilcod=2002222302405</t>
  </si>
  <si>
    <t>https://opac.libnet.pref.okayama.jp/licsxp-opac/WOpacMsgNewListToTifTilDetailAction.do?tilcod=2002222300776</t>
  </si>
  <si>
    <t>https://opac.libnet.pref.okayama.jp/licsxp-opac/WOpacMsgNewListToTifTilDetailAction.do?tilcod=2002222315606</t>
  </si>
  <si>
    <t>https://opac.libnet.pref.okayama.jp/licsxp-opac/WOpacMsgNewListToTifTilDetailAction.do?tilcod=2002222302256</t>
  </si>
  <si>
    <t>https://opac.libnet.pref.okayama.jp/licsxp-opac/WOpacMsgNewListToTifTilDetailAction.do?tilcod=2002222301221</t>
  </si>
  <si>
    <t>https://opac.libnet.pref.okayama.jp/licsxp-opac/WOpacMsgNewListToTifTilDetailAction.do?tilcod=2002222300597</t>
  </si>
  <si>
    <t>https://opac.libnet.pref.okayama.jp/licsxp-opac/WOpacMsgNewListToTifTilDetailAction.do?tilcod=2002222302043</t>
  </si>
  <si>
    <t>https://opac.libnet.pref.okayama.jp/licsxp-opac/WOpacMsgNewListToTifTilDetailAction.do?tilcod=2002222288631</t>
  </si>
  <si>
    <t>https://opac.libnet.pref.okayama.jp/licsxp-opac/WOpacMsgNewListToTifTilDetailAction.do?tilcod=2002222311466</t>
  </si>
  <si>
    <t>https://opac.libnet.pref.okayama.jp/licsxp-opac/WOpacMsgNewListToTifTilDetailAction.do?tilcod=2002222292191</t>
  </si>
  <si>
    <t>https://opac.libnet.pref.okayama.jp/licsxp-opac/WOpacMsgNewListToTifTilDetailAction.do?tilcod=2002222300986</t>
  </si>
  <si>
    <t>https://opac.libnet.pref.okayama.jp/licsxp-opac/WOpacMsgNewListToTifTilDetailAction.do?tilcod=2002222300987</t>
  </si>
  <si>
    <t>https://opac.libnet.pref.okayama.jp/licsxp-opac/WOpacMsgNewListToTifTilDetailAction.do?tilcod=2002222300991</t>
  </si>
  <si>
    <t>https://opac.libnet.pref.okayama.jp/licsxp-opac/WOpacMsgNewListToTifTilDetailAction.do?tilcod=2002222300990</t>
  </si>
  <si>
    <t>https://opac.libnet.pref.okayama.jp/licsxp-opac/WOpacMsgNewListToTifTilDetailAction.do?tilcod=2002222288691</t>
  </si>
  <si>
    <t>https://opac.libnet.pref.okayama.jp/licsxp-opac/WOpacMsgNewListToTifTilDetailAction.do?tilcod=2002222288701</t>
  </si>
  <si>
    <t>https://opac.libnet.pref.okayama.jp/licsxp-opac/WOpacMsgNewListToTifTilDetailAction.do?tilcod=2002222288711</t>
  </si>
  <si>
    <t>https://opac.libnet.pref.okayama.jp/licsxp-opac/WOpacMsgNewListToTifTilDetailAction.do?tilcod=2002222288721</t>
  </si>
  <si>
    <t>https://opac.libnet.pref.okayama.jp/licsxp-opac/WOpacMsgNewListToTifTilDetailAction.do?tilcod=2002222288731</t>
  </si>
  <si>
    <t>https://opac.libnet.pref.okayama.jp/licsxp-opac/WOpacMsgNewListToTifTilDetailAction.do?tilcod=2002222288741</t>
  </si>
  <si>
    <t>https://opac.libnet.pref.okayama.jp/licsxp-opac/WOpacMsgNewListToTifTilDetailAction.do?tilcod=2002222291141</t>
  </si>
  <si>
    <t>https://opac.libnet.pref.okayama.jp/licsxp-opac/WOpacMsgNewListToTifTilDetailAction.do?tilcod=2002222288751</t>
  </si>
  <si>
    <t>https://opac.libnet.pref.okayama.jp/licsxp-opac/WOpacMsgNewListToTifTilDetailAction.do?tilcod=2002222293531</t>
  </si>
  <si>
    <t>https://opac.libnet.pref.okayama.jp/licsxp-opac/WOpacMsgNewListToTifTilDetailAction.do?tilcod=2002222292201</t>
  </si>
  <si>
    <t>https://opac.libnet.pref.okayama.jp/licsxp-opac/WOpacMsgNewListToTifTilDetailAction.do?tilcod=2002222281274</t>
  </si>
  <si>
    <t>https://opac.libnet.pref.okayama.jp/licsxp-opac/WOpacMsgNewListToTifTilDetailAction.do?tilcod=2002222291151</t>
  </si>
  <si>
    <t>https://opac.libnet.pref.okayama.jp/licsxp-opac/WOpacMsgNewListToTifTilDetailAction.do?tilcod=2002222281611</t>
  </si>
  <si>
    <t>https://opac.libnet.pref.okayama.jp/licsxp-opac/WOpacMsgNewListToTifTilDetailAction.do?tilcod=2002222291161</t>
  </si>
  <si>
    <t>https://opac.libnet.pref.okayama.jp/licsxp-opac/WOpacMsgNewListToTifTilDetailAction.do?tilcod=2002222288761</t>
  </si>
  <si>
    <t>https://opac.libnet.pref.okayama.jp/licsxp-opac/WOpacMsgNewListToTifTilDetailAction.do?tilcod=2002222288771</t>
  </si>
  <si>
    <t>https://opac.libnet.pref.okayama.jp/licsxp-opac/WOpacMsgNewListToTifTilDetailAction.do?tilcod=2002222302164</t>
  </si>
  <si>
    <t>https://opac.libnet.pref.okayama.jp/licsxp-opac/WOpacMsgNewListToTifTilDetailAction.do?tilcod=2002222292231</t>
  </si>
  <si>
    <t>https://opac.libnet.pref.okayama.jp/licsxp-opac/WOpacMsgNewListToTifTilDetailAction.do?tilcod=2002222288791</t>
  </si>
  <si>
    <t>https://opac.libnet.pref.okayama.jp/licsxp-opac/WOpacMsgNewListToTifTilDetailAction.do?tilcod=2002222288801</t>
  </si>
  <si>
    <t>https://opac.libnet.pref.okayama.jp/licsxp-opac/WOpacMsgNewListToTifTilDetailAction.do?tilcod=2002222287723</t>
  </si>
  <si>
    <t>https://opac.libnet.pref.okayama.jp/licsxp-opac/WOpacMsgNewListToTifTilDetailAction.do?tilcod=2002222288641</t>
  </si>
  <si>
    <t>https://opac.libnet.pref.okayama.jp/licsxp-opac/WOpacMsgNewListToTifTilDetailAction.do?tilcod=2002222288651</t>
  </si>
  <si>
    <t>https://opac.libnet.pref.okayama.jp/licsxp-opac/WOpacMsgNewListToTifTilDetailAction.do?tilcod=2002222300440</t>
  </si>
  <si>
    <t>https://opac.libnet.pref.okayama.jp/licsxp-opac/WOpacMsgNewListToTifTilDetailAction.do?tilcod=2002222288661</t>
  </si>
  <si>
    <t>https://opac.libnet.pref.okayama.jp/licsxp-opac/WOpacMsgNewListToTifTilDetailAction.do?tilcod=2002222288671</t>
  </si>
  <si>
    <t>https://opac.libnet.pref.okayama.jp/licsxp-opac/WOpacMsgNewListToTifTilDetailAction.do?tilcod=2002222301772</t>
  </si>
  <si>
    <t>https://opac.libnet.pref.okayama.jp/licsxp-opac/WOpacMsgNewListToTifTilDetailAction.do?tilcod=2002222292211</t>
  </si>
  <si>
    <t>https://opac.libnet.pref.okayama.jp/licsxp-opac/WOpacMsgNewListToTifTilDetailAction.do?tilcod=2002222288811</t>
  </si>
  <si>
    <t>https://opac.libnet.pref.okayama.jp/licsxp-opac/WOpacMsgNewListToTifTilDetailAction.do?tilcod=2002222301213</t>
  </si>
  <si>
    <t>https://opac.libnet.pref.okayama.jp/licsxp-opac/WOpacMsgNewListToTifTilDetailAction.do?tilcod=2002222300582</t>
  </si>
  <si>
    <t>https://opac.libnet.pref.okayama.jp/licsxp-opac/WOpacMsgNewListToTifTilDetailAction.do?tilcod=2002222301881</t>
  </si>
  <si>
    <t>https://opac.libnet.pref.okayama.jp/licsxp-opac/WOpacMsgNewListToTifTilDetailAction.do?tilcod=2002222301892</t>
  </si>
  <si>
    <t>https://opac.libnet.pref.okayama.jp/licsxp-opac/WOpacMsgNewListToTifTilDetailAction.do?tilcod=2002222293911</t>
  </si>
  <si>
    <t>https://opac.libnet.pref.okayama.jp/licsxp-opac/WOpacMsgNewListToTifTilDetailAction.do?tilcod=2002222292221</t>
  </si>
  <si>
    <t>https://opac.libnet.pref.okayama.jp/licsxp-opac/WOpacMsgNewListToTifTilDetailAction.do?tilcod=2002222341931</t>
  </si>
  <si>
    <t>https://opac.libnet.pref.okayama.jp/licsxp-opac/WOpacMsgNewListToTifTilDetailAction.do?tilcod=2002222302199</t>
  </si>
  <si>
    <t>https://opac.libnet.pref.okayama.jp/licsxp-opac/WOpacMsgNewListToTifTilDetailAction.do?tilcod=2002222301181</t>
  </si>
  <si>
    <t>https://opac.libnet.pref.okayama.jp/licsxp-opac/WOpacMsgNewListToTifTilDetailAction.do?tilcod=2002222300492</t>
  </si>
  <si>
    <t>https://opac.libnet.pref.okayama.jp/licsxp-opac/WOpacMsgNewListToTifTilDetailAction.do?tilcod=2002222301848</t>
  </si>
  <si>
    <t>https://opac.libnet.pref.okayama.jp/licsxp-opac/WOpacMsgNewListToTifTilDetailAction.do?tilcod=2002222301934</t>
  </si>
  <si>
    <t>https://opac.libnet.pref.okayama.jp/licsxp-opac/WOpacMsgNewListToTifTilDetailAction.do?tilcod=2002222301801</t>
  </si>
  <si>
    <t>https://opac.libnet.pref.okayama.jp/licsxp-opac/WOpacMsgNewListToTifTilDetailAction.do?tilcod=2002222301939</t>
  </si>
  <si>
    <t>https://opac.libnet.pref.okayama.jp/licsxp-opac/WOpacMsgNewListToTifTilDetailAction.do?tilcod=2002222301222</t>
  </si>
  <si>
    <t>https://opac.libnet.pref.okayama.jp/licsxp-opac/WOpacMsgNewListToTifTilDetailAction.do?tilcod=2002222300598</t>
  </si>
  <si>
    <t>https://opac.libnet.pref.okayama.jp/licsxp-opac/WOpacMsgNewListToTifTilDetailAction.do?tilcod=2002222288831</t>
  </si>
  <si>
    <t>https://opac.libnet.pref.okayama.jp/licsxp-opac/WOpacMsgNewListToTifTilDetailAction.do?tilcod=2002222318306</t>
  </si>
  <si>
    <t>https://opac.libnet.pref.okayama.jp/licsxp-opac/WOpacMsgNewListToTifTilDetailAction.do?tilcod=2002222302057</t>
  </si>
  <si>
    <t>https://opac.libnet.pref.okayama.jp/licsxp-opac/WOpacMsgNewListToTifTilDetailAction.do?tilcod=2002222281421</t>
  </si>
  <si>
    <t>https://opac.libnet.pref.okayama.jp/licsxp-opac/WOpacMsgNewListToTifTilDetailAction.do?tilcod=2002222291181</t>
  </si>
  <si>
    <t>https://opac.libnet.pref.okayama.jp/licsxp-opac/WOpacMsgNewListToTifTilDetailAction.do?tilcod=2002222300411</t>
  </si>
  <si>
    <t>https://opac.libnet.pref.okayama.jp/licsxp-opac/WOpacMsgNewListToTifTilDetailAction.do?tilcod=2002222288841</t>
  </si>
  <si>
    <t>https://opac.libnet.pref.okayama.jp/licsxp-opac/WOpacMsgNewListToTifTilDetailAction.do?tilcod=2002222282111</t>
  </si>
  <si>
    <t>https://opac.libnet.pref.okayama.jp/licsxp-opac/WOpacMsgNewListToTifTilDetailAction.do?tilcod=2002222302313</t>
  </si>
  <si>
    <t>https://opac.libnet.pref.okayama.jp/licsxp-opac/WOpacMsgNewListToTifTilDetailAction.do?tilcod=2002222302032</t>
  </si>
  <si>
    <t>https://opac.libnet.pref.okayama.jp/licsxp-opac/WOpacMsgNewListToTifTilDetailAction.do?tilcod=2002222301095</t>
  </si>
  <si>
    <t>https://opac.libnet.pref.okayama.jp/licsxp-opac/WOpacMsgNewListToTifTilDetailAction.do?tilcod=2002222301953</t>
  </si>
  <si>
    <t>https://opac.libnet.pref.okayama.jp/licsxp-opac/WOpacMsgNewListToTifTilDetailAction.do?tilcod=2002222300847</t>
  </si>
  <si>
    <t>https://opac.libnet.pref.okayama.jp/licsxp-opac/WOpacMsgNewListToTifTilDetailAction.do?tilcod=2002222294861</t>
  </si>
  <si>
    <t>https://opac.libnet.pref.okayama.jp/licsxp-opac/WOpacMsgNewListToTifTilDetailAction.do?tilcod=2002222291191</t>
  </si>
  <si>
    <t>https://opac.libnet.pref.okayama.jp/licsxp-opac/WOpacMsgNewListToTifTilDetailAction.do?tilcod=2002222288861</t>
  </si>
  <si>
    <t>https://opac.libnet.pref.okayama.jp/licsxp-opac/WOpacMsgNewListToTifTilDetailAction.do?tilcod=2002222288881</t>
  </si>
  <si>
    <t>https://opac.libnet.pref.okayama.jp/licsxp-opac/WOpacMsgNewListToTifTilDetailAction.do?tilcod=2002222301410</t>
  </si>
  <si>
    <t>https://opac.libnet.pref.okayama.jp/licsxp-opac/WOpacMsgNewListToTifTilDetailAction.do?tilcod=2002222288891</t>
  </si>
  <si>
    <t>https://opac.libnet.pref.okayama.jp/licsxp-opac/WOpacMsgNewListToTifTilDetailAction.do?tilcod=2002222334072</t>
  </si>
  <si>
    <t>https://opac.libnet.pref.okayama.jp/licsxp-opac/WOpacMsgNewListToTifTilDetailAction.do?tilcod=2002222288871</t>
  </si>
  <si>
    <t>https://opac.libnet.pref.okayama.jp/licsxp-opac/WOpacMsgNewListToTifTilDetailAction.do?tilcod=2002222292251</t>
  </si>
  <si>
    <t>https://opac.libnet.pref.okayama.jp/licsxp-opac/WOpacMsgNewListToTifTilDetailAction.do?tilcod=2002222288911</t>
  </si>
  <si>
    <t>https://opac.libnet.pref.okayama.jp/licsxp-opac/WOpacMsgNewListToTifTilDetailAction.do?tilcod=2002222288901</t>
  </si>
  <si>
    <t>https://opac.libnet.pref.okayama.jp/licsxp-opac/WOpacMsgNewListToTifTilDetailAction.do?tilcod=2002222301174</t>
  </si>
  <si>
    <t>https://opac.libnet.pref.okayama.jp/licsxp-opac/WOpacMsgNewListToTifTilDetailAction.do?tilcod=2002222300483</t>
  </si>
  <si>
    <t>https://opac.libnet.pref.okayama.jp/licsxp-opac/WOpacMsgNewListToTifTilDetailAction.do?tilcod=2002222301859</t>
  </si>
  <si>
    <t>https://opac.libnet.pref.okayama.jp/licsxp-opac/WOpacMsgNewListToTifTilDetailAction.do?tilcod=2002222288693</t>
  </si>
  <si>
    <t>https://opac.libnet.pref.okayama.jp/licsxp-opac/WOpacMsgNewListToTifTilDetailAction.do?tilcod=2002222292261</t>
  </si>
  <si>
    <t>https://opac.libnet.pref.okayama.jp/licsxp-opac/WOpacMsgNewListToTifTilDetailAction.do?tilcod=2002222280191</t>
  </si>
  <si>
    <t>https://opac.libnet.pref.okayama.jp/licsxp-opac/WOpacMsgNewListToTifTilDetailAction.do?tilcod=2002222301067</t>
  </si>
  <si>
    <t>https://opac.libnet.pref.okayama.jp/licsxp-opac/WOpacMsgNewListToTifTilDetailAction.do?tilcod=2002222326706</t>
  </si>
  <si>
    <t>https://opac.libnet.pref.okayama.jp/licsxp-opac/WOpacMsgNewListToTifTilDetailAction.do?tilcod=2002222301186</t>
  </si>
  <si>
    <t>https://opac.libnet.pref.okayama.jp/licsxp-opac/WOpacMsgNewListToTifTilDetailAction.do?tilcod=2002222300532</t>
  </si>
  <si>
    <t>https://opac.libnet.pref.okayama.jp/licsxp-opac/WOpacMsgNewListToTifTilDetailAction.do?tilcod=2002222301157</t>
  </si>
  <si>
    <t>https://opac.libnet.pref.okayama.jp/licsxp-opac/WOpacMsgNewListToTifTilDetailAction.do?tilcod=2002222329807</t>
  </si>
  <si>
    <t>https://opac.libnet.pref.okayama.jp/licsxp-opac/WOpacMsgNewListToTifTilDetailAction.do?tilcod=2002222301854</t>
  </si>
  <si>
    <t>https://opac.libnet.pref.okayama.jp/licsxp-opac/WOpacMsgNewListToTifTilDetailAction.do?tilcod=2002222301182</t>
  </si>
  <si>
    <t>https://opac.libnet.pref.okayama.jp/licsxp-opac/WOpacMsgNewListToTifTilDetailAction.do?tilcod=2002222300493</t>
  </si>
  <si>
    <t>https://opac.libnet.pref.okayama.jp/licsxp-opac/WOpacMsgNewListToTifTilDetailAction.do?tilcod=2002222289123</t>
  </si>
  <si>
    <t>https://opac.libnet.pref.okayama.jp/licsxp-opac/WOpacMsgNewListToTifTilDetailAction.do?tilcod=2002222302251</t>
  </si>
  <si>
    <t>https://opac.libnet.pref.okayama.jp/licsxp-opac/WOpacMsgNewListToTifTilDetailAction.do?tilcod=2002222302252</t>
  </si>
  <si>
    <t>https://opac.libnet.pref.okayama.jp/licsxp-opac/WOpacMsgNewListToTifTilDetailAction.do?tilcod=2002222301474</t>
  </si>
  <si>
    <t>https://opac.libnet.pref.okayama.jp/licsxp-opac/WOpacMsgNewListToTifTilDetailAction.do?tilcod=2002222301473</t>
  </si>
  <si>
    <t>https://opac.libnet.pref.okayama.jp/licsxp-opac/WOpacMsgNewListToTifTilDetailAction.do?tilcod=2002222288921</t>
  </si>
  <si>
    <t>https://opac.libnet.pref.okayama.jp/licsxp-opac/WOpacMsgNewListToTifTilDetailAction.do?tilcod=2002222288931</t>
  </si>
  <si>
    <t>https://opac.libnet.pref.okayama.jp/licsxp-opac/WOpacMsgNewListToTifTilDetailAction.do?tilcod=2002222291201</t>
  </si>
  <si>
    <t>https://opac.libnet.pref.okayama.jp/licsxp-opac/WOpacMsgNewListToTifTilDetailAction.do?tilcod=2002222288941</t>
  </si>
  <si>
    <t>https://opac.libnet.pref.okayama.jp/licsxp-opac/WOpacMsgNewListToTifTilDetailAction.do?tilcod=2002222288951</t>
  </si>
  <si>
    <t>https://opac.libnet.pref.okayama.jp/licsxp-opac/WOpacMsgNewListToTifTilDetailAction.do?tilcod=2002222288961</t>
  </si>
  <si>
    <t>https://opac.libnet.pref.okayama.jp/licsxp-opac/WOpacMsgNewListToTifTilDetailAction.do?tilcod=2002222300989</t>
  </si>
  <si>
    <t>https://opac.libnet.pref.okayama.jp/licsxp-opac/WOpacMsgNewListToTifTilDetailAction.do?tilcod=2002222301077</t>
  </si>
  <si>
    <t>https://opac.libnet.pref.okayama.jp/licsxp-opac/WOpacMsgNewListToTifTilDetailAction.do?tilcod=2002222289743</t>
  </si>
  <si>
    <t>https://opac.libnet.pref.okayama.jp/licsxp-opac/WOpacMsgNewListToTifTilDetailAction.do?tilcod=2002222322006</t>
  </si>
  <si>
    <t>https://opac.libnet.pref.okayama.jp/licsxp-opac/WOpacMsgNewListToTifTilDetailAction.do?tilcod=2002222301068</t>
  </si>
  <si>
    <t>https://opac.libnet.pref.okayama.jp/licsxp-opac/WOpacMsgNewListToTifTilDetailAction.do?tilcod=2002222301219</t>
  </si>
  <si>
    <t>https://opac.libnet.pref.okayama.jp/licsxp-opac/WOpacMsgNewListToTifTilDetailAction.do?tilcod=2002222300594</t>
  </si>
  <si>
    <t>https://opac.libnet.pref.okayama.jp/licsxp-opac/WOpacMsgNewListToTifTilDetailAction.do?tilcod=2002222331186</t>
  </si>
  <si>
    <t>https://opac.libnet.pref.okayama.jp/licsxp-opac/WOpacMsgNewListToTifTilDetailAction.do?tilcod=2002222300848</t>
  </si>
  <si>
    <t>https://opac.libnet.pref.okayama.jp/licsxp-opac/WOpacMsgNewListToTifTilDetailAction.do?tilcod=2002222321166</t>
  </si>
  <si>
    <t>https://opac.libnet.pref.okayama.jp/licsxp-opac/WOpacMsgNewListToTifTilDetailAction.do?tilcod=2002222300849</t>
  </si>
  <si>
    <t>https://opac.libnet.pref.okayama.jp/licsxp-opac/WOpacMsgNewListToTifTilDetailAction.do?tilcod=2002222300851</t>
  </si>
  <si>
    <t>https://opac.libnet.pref.okayama.jp/licsxp-opac/WOpacMsgNewListToTifTilDetailAction.do?tilcod=2002222300710</t>
  </si>
  <si>
    <t>https://opac.libnet.pref.okayama.jp/licsxp-opac/WOpacMsgNewListToTifTilDetailAction.do?tilcod=2002222300425</t>
  </si>
  <si>
    <t>https://opac.libnet.pref.okayama.jp/licsxp-opac/WOpacMsgNewListToTifTilDetailAction.do?tilcod=2002222301778</t>
  </si>
  <si>
    <t>https://opac.libnet.pref.okayama.jp/licsxp-opac/WOpacMsgNewListToTifTilDetailAction.do?tilcod=2002222322866</t>
  </si>
  <si>
    <t>https://opac.libnet.pref.okayama.jp/licsxp-opac/WOpacMsgNewListToTifTilDetailAction.do?tilcod=2002222301217</t>
  </si>
  <si>
    <t>https://opac.libnet.pref.okayama.jp/licsxp-opac/WOpacMsgNewListToTifTilDetailAction.do?tilcod=2002222300596</t>
  </si>
  <si>
    <t>https://opac.libnet.pref.okayama.jp/licsxp-opac/WOpacMsgNewListToTifTilDetailAction.do?tilcod=2002222301889</t>
  </si>
  <si>
    <t>https://opac.libnet.pref.okayama.jp/licsxp-opac/WOpacMsgNewListToTifTilDetailAction.do?tilcod=2002222300853</t>
  </si>
  <si>
    <t>https://opac.libnet.pref.okayama.jp/licsxp-opac/WOpacMsgNewListToTifTilDetailAction.do?tilcod=2002222288971</t>
  </si>
  <si>
    <t>https://opac.libnet.pref.okayama.jp/licsxp-opac/WOpacMsgNewListToTifTilDetailAction.do?tilcod=2002222288981</t>
  </si>
  <si>
    <t>https://opac.libnet.pref.okayama.jp/licsxp-opac/WOpacMsgNewListToTifTilDetailAction.do?tilcod=2002222302373</t>
  </si>
  <si>
    <t>https://opac.libnet.pref.okayama.jp/licsxp-opac/WOpacMsgNewListToTifTilDetailAction.do?tilcod=2002222280781</t>
  </si>
  <si>
    <t>https://opac.libnet.pref.okayama.jp/licsxp-opac/WOpacMsgNewListToTifTilDetailAction.do?tilcod=2002222337950</t>
  </si>
  <si>
    <t>https://opac.libnet.pref.okayama.jp/licsxp-opac/WOpacMsgNewListToTifTilDetailAction.do?tilcod=2002222288573</t>
  </si>
  <si>
    <t>https://opac.libnet.pref.okayama.jp/licsxp-opac/WOpacMsgNewListToTifTilDetailAction.do?tilcod=2002222328516</t>
  </si>
  <si>
    <t>https://opac.libnet.pref.okayama.jp/licsxp-opac/WOpacMsgNewListToTifTilDetailAction.do?tilcod=2002222301192</t>
  </si>
  <si>
    <t>https://opac.libnet.pref.okayama.jp/licsxp-opac/WOpacMsgNewListToTifTilDetailAction.do?tilcod=2002222300576</t>
  </si>
  <si>
    <t>https://opac.libnet.pref.okayama.jp/licsxp-opac/WOpacMsgNewListToTifTilDetailAction.do?tilcod=2002222301295</t>
  </si>
  <si>
    <t>https://opac.libnet.pref.okayama.jp/licsxp-opac/WOpacMsgNewListToTifTilDetailAction.do?tilcod=2002222302049</t>
  </si>
  <si>
    <t>https://opac.libnet.pref.okayama.jp/licsxp-opac/WOpacMsgNewListToTifTilDetailAction.do?tilcod=2002222318327</t>
  </si>
  <si>
    <t>https://opac.libnet.pref.okayama.jp/licsxp-opac/WOpacMsgNewListToTifTilDetailAction.do?tilcod=2002222300459</t>
  </si>
  <si>
    <t>https://opac.libnet.pref.okayama.jp/licsxp-opac/WOpacMsgNewListToTifTilDetailAction.do?tilcod=2002222311868</t>
  </si>
  <si>
    <t>https://opac.libnet.pref.okayama.jp/licsxp-opac/WOpacMsgNewListToTifTilDetailAction.do?tilcod=2002222302055</t>
  </si>
  <si>
    <t>https://opac.libnet.pref.okayama.jp/licsxp-opac/WOpacMsgNewListToTifTilDetailAction.do?tilcod=2002222336946</t>
  </si>
  <si>
    <t>https://opac.libnet.pref.okayama.jp/licsxp-opac/WOpacMsgNewListToTifTilDetailAction.do?tilcod=2002222280791</t>
  </si>
  <si>
    <t>https://opac.libnet.pref.okayama.jp/licsxp-opac/WOpacMsgNewListToTifTilDetailAction.do?tilcod=2002222316047</t>
  </si>
  <si>
    <t>https://opac.libnet.pref.okayama.jp/licsxp-opac/WOpacMsgNewListToTifTilDetailAction.do?tilcod=2002222316046</t>
  </si>
  <si>
    <t>https://opac.libnet.pref.okayama.jp/licsxp-opac/WOpacMsgNewListToTifTilDetailAction.do?tilcod=2002222281881</t>
  </si>
  <si>
    <t>https://opac.libnet.pref.okayama.jp/licsxp-opac/WOpacMsgNewListToTifTilDetailAction.do?tilcod=2002222334668</t>
  </si>
  <si>
    <t>https://opac.libnet.pref.okayama.jp/licsxp-opac/WOpacMsgNewListToTifTilDetailAction.do?tilcod=2002222288991</t>
  </si>
  <si>
    <t>https://opac.libnet.pref.okayama.jp/licsxp-opac/WOpacMsgNewListToTifTilDetailAction.do?tilcod=2002222282003</t>
  </si>
  <si>
    <t>https://opac.libnet.pref.okayama.jp/licsxp-opac/WOpacMsgNewListToTifTilDetailAction.do?tilcod=2002222325126</t>
  </si>
  <si>
    <t>https://opac.libnet.pref.okayama.jp/licsxp-opac/WOpacMsgNewListToTifTilDetailAction.do?tilcod=2002222301223</t>
  </si>
  <si>
    <t>https://opac.libnet.pref.okayama.jp/licsxp-opac/WOpacMsgNewListToTifTilDetailAction.do?tilcod=2002222300595</t>
  </si>
  <si>
    <t>https://opac.libnet.pref.okayama.jp/licsxp-opac/WOpacMsgNewListToTifTilDetailAction.do?tilcod=2002222301471</t>
  </si>
  <si>
    <t>https://opac.libnet.pref.okayama.jp/licsxp-opac/WOpacMsgNewListToTifTilDetailAction.do?tilcod=2002222282013</t>
  </si>
  <si>
    <t>https://opac.libnet.pref.okayama.jp/licsxp-opac/WOpacMsgNewListToTifTilDetailAction.do?tilcod=2002222292271</t>
  </si>
  <si>
    <t>https://opac.libnet.pref.okayama.jp/licsxp-opac/WOpacMsgNewListToTifTilDetailAction.do?tilcod=2002222284821</t>
  </si>
  <si>
    <t>https://opac.libnet.pref.okayama.jp/licsxp-opac/WOpacMsgNewListToTifTilDetailAction.do?tilcod=2002222282023</t>
  </si>
  <si>
    <t>https://opac.libnet.pref.okayama.jp/licsxp-opac/WOpacMsgNewListToTifTilDetailAction.do?tilcod=2002222301686</t>
  </si>
  <si>
    <t>https://opac.libnet.pref.okayama.jp/licsxp-opac/WOpacMsgNewListToTifTilDetailAction.do?tilcod=2002222301511</t>
  </si>
  <si>
    <t>https://opac.libnet.pref.okayama.jp/licsxp-opac/WOpacMsgNewListToTifTilDetailAction.do?tilcod=2002222280844</t>
  </si>
  <si>
    <t>https://opac.libnet.pref.okayama.jp/licsxp-opac/WOpacMsgNewListToTifTilDetailAction.do?tilcod=2002222285731</t>
  </si>
  <si>
    <t>https://opac.libnet.pref.okayama.jp/licsxp-opac/WOpacMsgNewListToTifTilDetailAction.do?tilcod=2002222286181</t>
  </si>
  <si>
    <t>https://opac.libnet.pref.okayama.jp/licsxp-opac/WOpacMsgNewListToTifTilDetailAction.do?tilcod=2002222286211</t>
  </si>
  <si>
    <t>https://opac.libnet.pref.okayama.jp/licsxp-opac/WOpacMsgNewListToTifTilDetailAction.do?tilcod=2002222286201</t>
  </si>
  <si>
    <t>https://opac.libnet.pref.okayama.jp/licsxp-opac/WOpacMsgNewListToTifTilDetailAction.do?tilcod=2002222323646</t>
  </si>
  <si>
    <t>https://opac.libnet.pref.okayama.jp/licsxp-opac/WOpacMsgNewListToTifTilDetailAction.do?tilcod=2002222286221</t>
  </si>
  <si>
    <t>https://opac.libnet.pref.okayama.jp/licsxp-opac/WOpacMsgNewListToTifTilDetailAction.do?tilcod=2002222281124</t>
  </si>
  <si>
    <t>https://opac.libnet.pref.okayama.jp/licsxp-opac/WOpacMsgNewListToTifTilDetailAction.do?tilcod=2002222301360</t>
  </si>
  <si>
    <t>https://opac.libnet.pref.okayama.jp/licsxp-opac/WOpacMsgNewListToTifTilDetailAction.do?tilcod=2002222323527</t>
  </si>
  <si>
    <t>https://opac.libnet.pref.okayama.jp/licsxp-opac/WOpacMsgNewListToTifTilDetailAction.do?tilcod=2002222286231</t>
  </si>
  <si>
    <t>https://opac.libnet.pref.okayama.jp/licsxp-opac/WOpacMsgNewListToTifTilDetailAction.do?tilcod=2002222313086</t>
  </si>
  <si>
    <t>https://opac.libnet.pref.okayama.jp/licsxp-opac/WOpacMsgNewListToTifTilDetailAction.do?tilcod=2002222311646</t>
  </si>
  <si>
    <t>https://opac.libnet.pref.okayama.jp/licsxp-opac/WOpacMsgNewListToTifTilDetailAction.do?tilcod=2002222291961</t>
  </si>
  <si>
    <t>https://opac.libnet.pref.okayama.jp/licsxp-opac/WOpacMsgNewListToTifTilDetailAction.do?tilcod=2002222333428</t>
  </si>
  <si>
    <t>https://opac.libnet.pref.okayama.jp/licsxp-opac/WOpacMsgNewListToTifTilDetailAction.do?tilcod=2002222280434</t>
  </si>
  <si>
    <t>https://opac.libnet.pref.okayama.jp/licsxp-opac/WOpacMsgNewListToTifTilDetailAction.do?tilcod=2002222328524</t>
  </si>
  <si>
    <t>https://opac.libnet.pref.okayama.jp/licsxp-opac/WOpacMsgNewListToTifTilDetailAction.do?tilcod=2002222334855</t>
  </si>
  <si>
    <t>https://opac.libnet.pref.okayama.jp/licsxp-opac/WOpacMsgNewListToTifTilDetailAction.do?tilcod=2002222286241</t>
  </si>
  <si>
    <t>https://opac.libnet.pref.okayama.jp/licsxp-opac/WOpacMsgNewListToTifTilDetailAction.do?tilcod=2002222327606</t>
  </si>
  <si>
    <t>https://opac.libnet.pref.okayama.jp/licsxp-opac/WOpacMsgNewListToTifTilDetailAction.do?tilcod=2002222291971</t>
  </si>
  <si>
    <t>https://opac.libnet.pref.okayama.jp/licsxp-opac/WOpacMsgNewListToTifTilDetailAction.do?tilcod=2002222334831</t>
  </si>
  <si>
    <t>https://opac.libnet.pref.okayama.jp/licsxp-opac/WOpacMsgNewListToTifTilDetailAction.do?tilcod=2002222301536</t>
  </si>
  <si>
    <t>https://opac.libnet.pref.okayama.jp/licsxp-opac/WOpacMsgNewListToTifTilDetailAction.do?tilcod=2002222301894</t>
  </si>
  <si>
    <t>https://opac.libnet.pref.okayama.jp/licsxp-opac/WOpacMsgNewListToTifTilDetailAction.do?tilcod=2002222293381</t>
  </si>
  <si>
    <t>https://opac.libnet.pref.okayama.jp/licsxp-opac/WOpacMsgNewListToTifTilDetailAction.do?tilcod=2002222336774</t>
  </si>
  <si>
    <t>https://opac.libnet.pref.okayama.jp/licsxp-opac/WOpacMsgNewListToTifTilDetailAction.do?tilcod=2002222300421</t>
  </si>
  <si>
    <t>https://opac.libnet.pref.okayama.jp/licsxp-opac/WOpacMsgNewListToTifTilDetailAction.do?tilcod=2002222291061</t>
  </si>
  <si>
    <t>https://opac.libnet.pref.okayama.jp/licsxp-opac/WOpacMsgNewListToTifTilDetailAction.do?tilcod=2002222332548</t>
  </si>
  <si>
    <t>https://opac.libnet.pref.okayama.jp/licsxp-opac/WOpacMsgNewListToTifTilDetailAction.do?tilcod=2002222280424</t>
  </si>
  <si>
    <t>https://opac.libnet.pref.okayama.jp/licsxp-opac/WOpacMsgNewListToTifTilDetailAction.do?tilcod=2002222286261</t>
  </si>
  <si>
    <t>https://opac.libnet.pref.okayama.jp/licsxp-opac/WOpacMsgNewListToTifTilDetailAction.do?tilcod=2002222286271</t>
  </si>
  <si>
    <t>https://opac.libnet.pref.okayama.jp/licsxp-opac/WOpacMsgNewListToTifTilDetailAction.do?tilcod=2002222286281</t>
  </si>
  <si>
    <t>https://opac.libnet.pref.okayama.jp/licsxp-opac/WOpacMsgNewListToTifTilDetailAction.do?tilcod=2002222282671</t>
  </si>
  <si>
    <t>https://opac.libnet.pref.okayama.jp/licsxp-opac/WOpacMsgNewListToTifTilDetailAction.do?tilcod=2002222291981</t>
  </si>
  <si>
    <t>https://opac.libnet.pref.okayama.jp/licsxp-opac/WOpacMsgNewListToTifTilDetailAction.do?tilcod=2002222294681</t>
  </si>
  <si>
    <t>https://opac.libnet.pref.okayama.jp/licsxp-opac/WOpacMsgNewListToTifTilDetailAction.do?tilcod=2002222333147</t>
  </si>
  <si>
    <t>https://opac.libnet.pref.okayama.jp/licsxp-opac/WOpacMsgNewListToTifTilDetailAction.do?tilcod=2002222286251</t>
  </si>
  <si>
    <t>https://opac.libnet.pref.okayama.jp/licsxp-opac/WOpacMsgNewListToTifTilDetailAction.do?tilcod=2002222300184</t>
  </si>
  <si>
    <t>https://opac.libnet.pref.okayama.jp/licsxp-opac/WOpacMsgNewListToTifTilDetailAction.do?tilcod=2002222301233</t>
  </si>
  <si>
    <t>https://opac.libnet.pref.okayama.jp/licsxp-opac/WOpacMsgNewListToTifTilDetailAction.do?tilcod=2002222301971</t>
  </si>
  <si>
    <t>https://opac.libnet.pref.okayama.jp/licsxp-opac/WOpacMsgNewListToTifTilDetailAction.do?tilcod=2002222286301</t>
  </si>
  <si>
    <t>https://opac.libnet.pref.okayama.jp/licsxp-opac/WOpacMsgNewListToTifTilDetailAction.do?tilcod=2002222286311</t>
  </si>
  <si>
    <t>https://opac.libnet.pref.okayama.jp/licsxp-opac/WOpacMsgNewListToTifTilDetailAction.do?tilcod=2002222281904</t>
  </si>
  <si>
    <t>https://opac.libnet.pref.okayama.jp/licsxp-opac/WOpacMsgNewListToTifTilDetailAction.do?tilcod=2002222286321</t>
  </si>
  <si>
    <t>https://opac.libnet.pref.okayama.jp/licsxp-opac/WOpacMsgNewListToTifTilDetailAction.do?tilcod=2002222280931</t>
  </si>
  <si>
    <t>https://opac.libnet.pref.okayama.jp/licsxp-opac/WOpacMsgNewListToTifTilDetailAction.do?tilcod=2002222338891</t>
  </si>
  <si>
    <t>https://opac.libnet.pref.okayama.jp/licsxp-opac/WOpacMsgNewListToTifTilDetailAction.do?tilcod=2002222301514</t>
  </si>
  <si>
    <t>https://opac.libnet.pref.okayama.jp/licsxp-opac/WOpacMsgNewListToTifTilDetailAction.do?tilcod=2002222301830</t>
  </si>
  <si>
    <t>https://opac.libnet.pref.okayama.jp/licsxp-opac/WOpacMsgNewListToTifTilDetailAction.do?tilcod=2002222280814</t>
  </si>
  <si>
    <t>https://opac.libnet.pref.okayama.jp/licsxp-opac/WOpacMsgNewListToTifTilDetailAction.do?tilcod=2002222301741</t>
  </si>
  <si>
    <t>https://opac.libnet.pref.okayama.jp/licsxp-opac/WOpacMsgNewListToTifTilDetailAction.do?tilcod=2002222301804</t>
  </si>
  <si>
    <t>https://opac.libnet.pref.okayama.jp/licsxp-opac/WOpacMsgNewListToTifTilDetailAction.do?tilcod=2002222301806</t>
  </si>
  <si>
    <t>https://opac.libnet.pref.okayama.jp/licsxp-opac/WOpacMsgNewListToTifTilDetailAction.do?tilcod=2002222301113</t>
  </si>
  <si>
    <t>https://opac.libnet.pref.okayama.jp/licsxp-opac/WOpacMsgNewListToTifTilDetailAction.do?tilcod=2002222294701</t>
  </si>
  <si>
    <t>https://opac.libnet.pref.okayama.jp/licsxp-opac/WOpacMsgNewListToTifTilDetailAction.do?tilcod=2002222286331</t>
  </si>
  <si>
    <t>https://opac.libnet.pref.okayama.jp/licsxp-opac/WOpacMsgNewListToTifTilDetailAction.do?tilcod=2002222286341</t>
  </si>
  <si>
    <t>https://opac.libnet.pref.okayama.jp/licsxp-opac/WOpacMsgNewListToTifTilDetailAction.do?tilcod=2002222286351</t>
  </si>
  <si>
    <t>https://opac.libnet.pref.okayama.jp/licsxp-opac/WOpacMsgNewListToTifTilDetailAction.do?tilcod=2002222311946</t>
  </si>
  <si>
    <t>https://opac.libnet.pref.okayama.jp/licsxp-opac/WOpacMsgNewListToTifTilDetailAction.do?tilcod=2002222315786</t>
  </si>
  <si>
    <t>https://opac.libnet.pref.okayama.jp/licsxp-opac/WOpacMsgNewListToTifTilDetailAction.do?tilcod=2002222301294</t>
  </si>
  <si>
    <t>https://opac.libnet.pref.okayama.jp/licsxp-opac/WOpacMsgNewListToTifTilDetailAction.do?tilcod=2002222300719</t>
  </si>
  <si>
    <t>https://opac.libnet.pref.okayama.jp/licsxp-opac/WOpacMsgNewListToTifTilDetailAction.do?tilcod=2002222301744</t>
  </si>
  <si>
    <t>https://opac.libnet.pref.okayama.jp/licsxp-opac/WOpacMsgNewListToTifTilDetailAction.do?tilcod=2002222291991</t>
  </si>
  <si>
    <t>https://opac.libnet.pref.okayama.jp/licsxp-opac/WOpacMsgNewListToTifTilDetailAction.do?tilcod=2002222300773</t>
  </si>
  <si>
    <t>https://opac.libnet.pref.okayama.jp/licsxp-opac/WOpacMsgNewListToTifTilDetailAction.do?tilcod=2002222294081</t>
  </si>
  <si>
    <t>https://opac.libnet.pref.okayama.jp/licsxp-opac/WOpacMsgNewListToTifTilDetailAction.do?tilcod=2002222286361</t>
  </si>
  <si>
    <t>https://opac.libnet.pref.okayama.jp/licsxp-opac/WOpacMsgNewListToTifTilDetailAction.do?tilcod=2002222300805</t>
  </si>
  <si>
    <t>https://opac.libnet.pref.okayama.jp/licsxp-opac/WOpacMsgNewListToTifTilDetailAction.do?tilcod=2002222291071</t>
  </si>
  <si>
    <t>https://opac.libnet.pref.okayama.jp/licsxp-opac/WOpacMsgNewListToTifTilDetailAction.do?tilcod=2002222282081</t>
  </si>
  <si>
    <t>https://opac.libnet.pref.okayama.jp/licsxp-opac/WOpacMsgNewListToTifTilDetailAction.do?tilcod=2002222286381</t>
  </si>
  <si>
    <t>https://opac.libnet.pref.okayama.jp/licsxp-opac/WOpacMsgNewListToTifTilDetailAction.do?tilcod=2002222334507</t>
  </si>
  <si>
    <t>https://opac.libnet.pref.okayama.jp/licsxp-opac/WOpacMsgNewListToTifTilDetailAction.do?tilcod=2002222286391</t>
  </si>
  <si>
    <t>https://opac.libnet.pref.okayama.jp/licsxp-opac/WOpacMsgNewListToTifTilDetailAction.do?tilcod=2002222328531</t>
  </si>
  <si>
    <t>https://opac.libnet.pref.okayama.jp/licsxp-opac/WOpacMsgNewListToTifTilDetailAction.do?tilcod=2002222286401</t>
  </si>
  <si>
    <t>https://opac.libnet.pref.okayama.jp/licsxp-opac/WOpacMsgNewListToTifTilDetailAction.do?tilcod=2002222281264</t>
  </si>
  <si>
    <t>https://opac.libnet.pref.okayama.jp/licsxp-opac/WOpacMsgNewListToTifTilDetailAction.do?tilcod=2002222301094</t>
  </si>
  <si>
    <t>https://opac.libnet.pref.okayama.jp/licsxp-opac/WOpacMsgNewListToTifTilDetailAction.do?tilcod=2002222286431</t>
  </si>
  <si>
    <t>https://opac.libnet.pref.okayama.jp/licsxp-opac/WOpacMsgNewListToTifTilDetailAction.do?tilcod=2002222277893</t>
  </si>
  <si>
    <t>https://opac.libnet.pref.okayama.jp/licsxp-opac/WOpacMsgNewListToTifTilDetailAction.do?tilcod=2002222289793</t>
  </si>
  <si>
    <t>https://opac.libnet.pref.okayama.jp/licsxp-opac/WOpacMsgNewListToTifTilDetailAction.do?tilcod=2002222286441</t>
  </si>
  <si>
    <t>https://opac.libnet.pref.okayama.jp/licsxp-opac/WOpacMsgNewListToTifTilDetailAction.do?tilcod=2002222301260</t>
  </si>
  <si>
    <t>https://opac.libnet.pref.okayama.jp/licsxp-opac/WOpacMsgNewListToTifTilDetailAction.do?tilcod=2002222300563</t>
  </si>
  <si>
    <t>https://opac.libnet.pref.okayama.jp/licsxp-opac/WOpacMsgNewListToTifTilDetailAction.do?tilcod=2002222292001</t>
  </si>
  <si>
    <t>https://opac.libnet.pref.okayama.jp/licsxp-opac/WOpacMsgNewListToTifTilDetailAction.do?tilcod=2002222300933</t>
  </si>
  <si>
    <t>https://opac.libnet.pref.okayama.jp/licsxp-opac/WOpacMsgNewListToTifTilDetailAction.do?tilcod=2002222292011</t>
  </si>
  <si>
    <t>https://opac.libnet.pref.okayama.jp/licsxp-opac/WOpacMsgNewListToTifTilDetailAction.do?tilcod=2002222286461</t>
  </si>
  <si>
    <t>https://opac.libnet.pref.okayama.jp/licsxp-opac/WOpacMsgNewListToTifTilDetailAction.do?tilcod=2002222301237</t>
  </si>
  <si>
    <t>https://opac.libnet.pref.okayama.jp/licsxp-opac/WOpacMsgNewListToTifTilDetailAction.do?tilcod=2002222300588</t>
  </si>
  <si>
    <t>https://opac.libnet.pref.okayama.jp/licsxp-opac/WOpacMsgNewListToTifTilDetailAction.do?tilcod=2002222328521</t>
  </si>
  <si>
    <t>https://opac.libnet.pref.okayama.jp/licsxp-opac/WOpacMsgNewListToTifTilDetailAction.do?tilcod=2002222282711</t>
  </si>
  <si>
    <t>https://opac.libnet.pref.okayama.jp/licsxp-opac/WOpacMsgNewListToTifTilDetailAction.do?tilcod=2002222286481</t>
  </si>
  <si>
    <t>https://opac.libnet.pref.okayama.jp/licsxp-opac/WOpacMsgNewListToTifTilDetailAction.do?tilcod=2002222286491</t>
  </si>
  <si>
    <t>https://opac.libnet.pref.okayama.jp/licsxp-opac/WOpacMsgNewListToTifTilDetailAction.do?tilcod=2002222325866</t>
  </si>
  <si>
    <t>https://opac.libnet.pref.okayama.jp/licsxp-opac/WOpacMsgNewListToTifTilDetailAction.do?tilcod=2002222285351</t>
  </si>
  <si>
    <t>https://opac.libnet.pref.okayama.jp/licsxp-opac/WOpacMsgNewListToTifTilDetailAction.do?tilcod=2002222292031</t>
  </si>
  <si>
    <t>https://opac.libnet.pref.okayama.jp/licsxp-opac/WOpacMsgNewListToTifTilDetailAction.do?tilcod=2002222294711</t>
  </si>
  <si>
    <t>https://opac.libnet.pref.okayama.jp/licsxp-opac/WOpacMsgNewListToTifTilDetailAction.do?tilcod=2002222294721</t>
  </si>
  <si>
    <t>https://opac.libnet.pref.okayama.jp/licsxp-opac/WOpacMsgNewListToTifTilDetailAction.do?tilcod=2002222286501</t>
  </si>
  <si>
    <t>https://opac.libnet.pref.okayama.jp/licsxp-opac/WOpacMsgNewListToTifTilDetailAction.do?tilcod=2002222300806</t>
  </si>
  <si>
    <t>https://opac.libnet.pref.okayama.jp/licsxp-opac/WOpacMsgNewListToTifTilDetailAction.do?tilcod=2002222300269</t>
  </si>
  <si>
    <t>https://opac.libnet.pref.okayama.jp/licsxp-opac/WOpacMsgNewListToTifTilDetailAction.do?tilcod=2002222337126</t>
  </si>
  <si>
    <t>https://opac.libnet.pref.okayama.jp/licsxp-opac/WOpacMsgNewListToTifTilDetailAction.do?tilcod=2002222300807</t>
  </si>
  <si>
    <t>https://opac.libnet.pref.okayama.jp/licsxp-opac/WOpacMsgNewListToTifTilDetailAction.do?tilcod=2002222300808</t>
  </si>
  <si>
    <t>https://opac.libnet.pref.okayama.jp/licsxp-opac/WOpacMsgNewListToTifTilDetailAction.do?tilcod=2002222286521</t>
  </si>
  <si>
    <t>https://opac.libnet.pref.okayama.jp/licsxp-opac/WOpacMsgNewListToTifTilDetailAction.do?tilcod=2002222331422</t>
  </si>
  <si>
    <t>https://opac.libnet.pref.okayama.jp/licsxp-opac/WOpacMsgNewListToTifTilDetailAction.do?tilcod=2002222289803</t>
  </si>
  <si>
    <t>https://opac.libnet.pref.okayama.jp/licsxp-opac/WOpacMsgNewListToTifTilDetailAction.do?tilcod=2002222301361</t>
  </si>
  <si>
    <t>https://opac.libnet.pref.okayama.jp/licsxp-opac/WOpacMsgNewListToTifTilDetailAction.do?tilcod=2002222325669</t>
  </si>
  <si>
    <t>https://opac.libnet.pref.okayama.jp/licsxp-opac/WOpacMsgNewListToTifTilDetailAction.do?tilcod=2002222318186</t>
  </si>
  <si>
    <t>https://opac.libnet.pref.okayama.jp/licsxp-opac/WOpacMsgNewListToTifTilDetailAction.do?tilcod=2002222283171</t>
  </si>
  <si>
    <t>https://opac.libnet.pref.okayama.jp/licsxp-opac/WOpacMsgNewListToTifTilDetailAction.do?tilcod=2002222292041</t>
  </si>
  <si>
    <t>https://opac.libnet.pref.okayama.jp/licsxp-opac/WOpacMsgNewListToTifTilDetailAction.do?tilcod=2002222286531</t>
  </si>
  <si>
    <t>https://opac.libnet.pref.okayama.jp/licsxp-opac/WOpacMsgNewListToTifTilDetailAction.do?tilcod=2002222286541</t>
  </si>
  <si>
    <t>https://opac.libnet.pref.okayama.jp/licsxp-opac/WOpacMsgNewListToTifTilDetailAction.do?tilcod=2002222286551</t>
  </si>
  <si>
    <t>https://opac.libnet.pref.okayama.jp/licsxp-opac/WOpacMsgNewListToTifTilDetailAction.do?tilcod=2002222286421</t>
  </si>
  <si>
    <t>https://opac.libnet.pref.okayama.jp/licsxp-opac/WOpacMsgNewListToTifTilDetailAction.do?tilcod=2002222286561</t>
  </si>
  <si>
    <t>https://opac.libnet.pref.okayama.jp/licsxp-opac/WOpacMsgNewListToTifTilDetailAction.do?tilcod=2002222316406</t>
  </si>
  <si>
    <t>https://opac.libnet.pref.okayama.jp/licsxp-opac/WOpacMsgNewListToTifTilDetailAction.do?tilcod=2002222286571</t>
  </si>
  <si>
    <t>https://opac.libnet.pref.okayama.jp/licsxp-opac/WOpacMsgNewListToTifTilDetailAction.do?tilcod=2002222286581</t>
  </si>
  <si>
    <t>https://opac.libnet.pref.okayama.jp/licsxp-opac/WOpacMsgNewListToTifTilDetailAction.do?tilcod=2002222286591</t>
  </si>
  <si>
    <t>https://opac.libnet.pref.okayama.jp/licsxp-opac/WOpacMsgNewListToTifTilDetailAction.do?tilcod=2002222286601</t>
  </si>
  <si>
    <t>https://opac.libnet.pref.okayama.jp/licsxp-opac/WOpacMsgNewListToTifTilDetailAction.do?tilcod=2002222286621</t>
  </si>
  <si>
    <t>https://opac.libnet.pref.okayama.jp/licsxp-opac/WOpacMsgNewListToTifTilDetailAction.do?tilcod=2002222286611</t>
  </si>
  <si>
    <t>https://opac.libnet.pref.okayama.jp/licsxp-opac/WOpacMsgNewListToTifTilDetailAction.do?tilcod=2002222286651</t>
  </si>
  <si>
    <t>https://opac.libnet.pref.okayama.jp/licsxp-opac/WOpacMsgNewListToTifTilDetailAction.do?tilcod=2002222294751</t>
  </si>
  <si>
    <t>https://opac.libnet.pref.okayama.jp/licsxp-opac/WOpacMsgNewListToTifTilDetailAction.do?tilcod=2002222300809</t>
  </si>
  <si>
    <t>https://opac.libnet.pref.okayama.jp/licsxp-opac/WOpacMsgNewListToTifTilDetailAction.do?tilcod=2002222286661</t>
  </si>
  <si>
    <t>https://opac.libnet.pref.okayama.jp/licsxp-opac/WOpacMsgNewListToTifTilDetailAction.do?tilcod=2002222300810</t>
  </si>
  <si>
    <t>https://opac.libnet.pref.okayama.jp/licsxp-opac/WOpacMsgNewListToTifTilDetailAction.do?tilcod=2002222300811</t>
  </si>
  <si>
    <t>https://opac.libnet.pref.okayama.jp/licsxp-opac/WOpacMsgNewListToTifTilDetailAction.do?tilcod=2002222300812</t>
  </si>
  <si>
    <t>https://opac.libnet.pref.okayama.jp/licsxp-opac/WOpacMsgNewListToTifTilDetailAction.do?tilcod=2002222300813</t>
  </si>
  <si>
    <t>https://opac.libnet.pref.okayama.jp/licsxp-opac/WOpacMsgNewListToTifTilDetailAction.do?tilcod=2002222287773</t>
  </si>
  <si>
    <t>https://opac.libnet.pref.okayama.jp/licsxp-opac/WOpacMsgNewListToTifTilDetailAction.do?tilcod=2002222289823</t>
  </si>
  <si>
    <t>https://opac.libnet.pref.okayama.jp/licsxp-opac/WOpacMsgNewListToTifTilDetailAction.do?tilcod=2002222286671</t>
  </si>
  <si>
    <t>https://opac.libnet.pref.okayama.jp/licsxp-opac/WOpacMsgNewListToTifTilDetailAction.do?tilcod=2002222286681</t>
  </si>
  <si>
    <t>https://opac.libnet.pref.okayama.jp/licsxp-opac/WOpacMsgNewListToTifTilDetailAction.do?tilcod=2002222286691</t>
  </si>
  <si>
    <t>https://opac.libnet.pref.okayama.jp/licsxp-opac/WOpacMsgNewListToTifTilDetailAction.do?tilcod=2002222286731</t>
  </si>
  <si>
    <t>https://opac.libnet.pref.okayama.jp/licsxp-opac/WOpacMsgNewListToTifTilDetailAction.do?tilcod=2002222286741</t>
  </si>
  <si>
    <t>https://opac.libnet.pref.okayama.jp/licsxp-opac/WOpacMsgNewListToTifTilDetailAction.do?tilcod=2002222286751</t>
  </si>
  <si>
    <t>https://opac.libnet.pref.okayama.jp/licsxp-opac/WOpacMsgNewListToTifTilDetailAction.do?tilcod=2002222285131</t>
  </si>
  <si>
    <t>https://opac.libnet.pref.okayama.jp/licsxp-opac/WOpacMsgNewListToTifTilDetailAction.do?tilcod=2002222288873</t>
  </si>
  <si>
    <t>https://opac.libnet.pref.okayama.jp/licsxp-opac/WOpacMsgNewListToTifTilDetailAction.do?tilcod=2002222318066</t>
  </si>
  <si>
    <t>https://opac.libnet.pref.okayama.jp/licsxp-opac/WOpacMsgNewListToTifTilDetailAction.do?tilcod=2002222286761</t>
  </si>
  <si>
    <t>https://opac.libnet.pref.okayama.jp/licsxp-opac/WOpacMsgNewListToTifTilDetailAction.do?tilcod=2002222286771</t>
  </si>
  <si>
    <t>https://opac.libnet.pref.okayama.jp/licsxp-opac/WOpacMsgNewListToTifTilDetailAction.do?tilcod=2002222331149</t>
  </si>
  <si>
    <t>https://opac.libnet.pref.okayama.jp/licsxp-opac/WOpacMsgNewListToTifTilDetailAction.do?tilcod=2002222286781</t>
  </si>
  <si>
    <t>https://opac.libnet.pref.okayama.jp/licsxp-opac/WOpacMsgNewListToTifTilDetailAction.do?tilcod=2002222286801</t>
  </si>
  <si>
    <t>https://opac.libnet.pref.okayama.jp/licsxp-opac/WOpacMsgNewListToTifTilDetailAction.do?tilcod=2002222292051</t>
  </si>
  <si>
    <t>https://opac.libnet.pref.okayama.jp/licsxp-opac/WOpacMsgNewListToTifTilDetailAction.do?tilcod=2002222332829</t>
  </si>
  <si>
    <t>https://opac.libnet.pref.okayama.jp/licsxp-opac/WOpacMsgNewListToTifTilDetailAction.do?tilcod=2002222286791</t>
  </si>
  <si>
    <t>https://opac.libnet.pref.okayama.jp/licsxp-opac/WOpacMsgNewListToTifTilDetailAction.do?tilcod=2002222334506</t>
  </si>
  <si>
    <t>https://opac.libnet.pref.okayama.jp/licsxp-opac/WOpacMsgNewListToTifTilDetailAction.do?tilcod=2002222302176</t>
  </si>
  <si>
    <t>https://opac.libnet.pref.okayama.jp/licsxp-opac/WOpacMsgNewListToTifTilDetailAction.do?tilcod=2002222287833</t>
  </si>
  <si>
    <t>https://opac.libnet.pref.okayama.jp/licsxp-opac/WOpacMsgNewListToTifTilDetailAction.do?tilcod=2002222301763</t>
  </si>
  <si>
    <t>https://opac.libnet.pref.okayama.jp/licsxp-opac/WOpacMsgNewListToTifTilDetailAction.do?tilcod=2002222319891</t>
  </si>
  <si>
    <t>https://opac.libnet.pref.okayama.jp/licsxp-opac/WOpacMsgNewListToTifTilDetailAction.do?tilcod=2002222329886</t>
  </si>
  <si>
    <t>https://opac.libnet.pref.okayama.jp/licsxp-opac/WOpacMsgNewListToTifTilDetailAction.do?tilcod=2002222286831</t>
  </si>
  <si>
    <t>https://opac.libnet.pref.okayama.jp/licsxp-opac/WOpacMsgNewListToTifTilDetailAction.do?tilcod=2002222282104</t>
  </si>
  <si>
    <t>https://opac.libnet.pref.okayama.jp/licsxp-opac/WOpacMsgNewListToTifTilDetailAction.do?tilcod=2002222282114</t>
  </si>
  <si>
    <t>https://opac.libnet.pref.okayama.jp/licsxp-opac/WOpacMsgNewListToTifTilDetailAction.do?tilcod=2002222291081</t>
  </si>
  <si>
    <t>https://opac.libnet.pref.okayama.jp/licsxp-opac/WOpacMsgNewListToTifTilDetailAction.do?tilcod=2002222301494</t>
  </si>
  <si>
    <t>https://opac.libnet.pref.okayama.jp/licsxp-opac/WOpacMsgNewListToTifTilDetailAction.do?tilcod=2002222328529</t>
  </si>
  <si>
    <t>https://opac.libnet.pref.okayama.jp/licsxp-opac/WOpacMsgNewListToTifTilDetailAction.do?tilcod=2002222281154</t>
  </si>
  <si>
    <t>https://opac.libnet.pref.okayama.jp/licsxp-opac/WOpacMsgNewListToTifTilDetailAction.do?tilcod=2002222310048</t>
  </si>
  <si>
    <t>https://opac.libnet.pref.okayama.jp/licsxp-opac/WOpacMsgNewListToTifTilDetailAction.do?tilcod=2002222300817</t>
  </si>
  <si>
    <t>https://opac.libnet.pref.okayama.jp/licsxp-opac/WOpacMsgNewListToTifTilDetailAction.do?tilcod=2002222286851</t>
  </si>
  <si>
    <t>https://opac.libnet.pref.okayama.jp/licsxp-opac/WOpacMsgNewListToTifTilDetailAction.do?tilcod=2002222301374</t>
  </si>
  <si>
    <t>https://opac.libnet.pref.okayama.jp/licsxp-opac/WOpacMsgNewListToTifTilDetailAction.do?tilcod=2002222292061</t>
  </si>
  <si>
    <t>https://opac.libnet.pref.okayama.jp/licsxp-opac/WOpacMsgNewListToTifTilDetailAction.do?tilcod=2002222292081</t>
  </si>
  <si>
    <t>https://opac.libnet.pref.okayama.jp/licsxp-opac/WOpacMsgNewListToTifTilDetailAction.do?tilcod=2002222285081</t>
  </si>
  <si>
    <t>https://opac.libnet.pref.okayama.jp/licsxp-opac/WOpacMsgNewListToTifTilDetailAction.do?tilcod=2002222328286</t>
  </si>
  <si>
    <t>https://opac.libnet.pref.okayama.jp/licsxp-opac/WOpacMsgNewListToTifTilDetailAction.do?tilcod=2002222301235</t>
  </si>
  <si>
    <t>https://opac.libnet.pref.okayama.jp/licsxp-opac/WOpacMsgNewListToTifTilDetailAction.do?tilcod=2002222301232</t>
  </si>
  <si>
    <t>https://opac.libnet.pref.okayama.jp/licsxp-opac/WOpacMsgNewListToTifTilDetailAction.do?tilcod=2002222300720</t>
  </si>
  <si>
    <t>https://opac.libnet.pref.okayama.jp/licsxp-opac/WOpacMsgNewListToTifTilDetailAction.do?tilcod=2002222282963</t>
  </si>
  <si>
    <t>https://opac.libnet.pref.okayama.jp/licsxp-opac/WOpacMsgNewListToTifTilDetailAction.do?tilcod=2002222317886</t>
  </si>
  <si>
    <t>https://opac.libnet.pref.okayama.jp/licsxp-opac/WOpacMsgNewListToTifTilDetailAction.do?tilcod=2002222286861</t>
  </si>
  <si>
    <t>https://opac.libnet.pref.okayama.jp/licsxp-opac/WOpacMsgNewListToTifTilDetailAction.do?tilcod=2002222286871</t>
  </si>
  <si>
    <t>https://opac.libnet.pref.okayama.jp/licsxp-opac/WOpacMsgNewListToTifTilDetailAction.do?tilcod=2002222286881</t>
  </si>
  <si>
    <t>https://opac.libnet.pref.okayama.jp/licsxp-opac/WOpacMsgNewListToTifTilDetailAction.do?tilcod=2002222294781</t>
  </si>
  <si>
    <t>https://opac.libnet.pref.okayama.jp/licsxp-opac/WOpacMsgNewListToTifTilDetailAction.do?tilcod=2002222301959</t>
  </si>
  <si>
    <t>https://opac.libnet.pref.okayama.jp/licsxp-opac/WOpacMsgNewListToTifTilDetailAction.do?tilcod=2002222301955</t>
  </si>
  <si>
    <t>https://opac.libnet.pref.okayama.jp/licsxp-opac/WOpacMsgNewListToTifTilDetailAction.do?tilcod=2002222301507</t>
  </si>
  <si>
    <t>https://opac.libnet.pref.okayama.jp/licsxp-opac/WOpacMsgNewListToTifTilDetailAction.do?tilcod=2002222286891</t>
  </si>
  <si>
    <t>https://opac.libnet.pref.okayama.jp/licsxp-opac/WOpacMsgNewListToTifTilDetailAction.do?tilcod=2002222329786</t>
  </si>
  <si>
    <t>https://opac.libnet.pref.okayama.jp/licsxp-opac/WOpacMsgNewListToTifTilDetailAction.do?tilcod=2002222302052</t>
  </si>
  <si>
    <t>https://opac.libnet.pref.okayama.jp/licsxp-opac/WOpacMsgNewListToTifTilDetailAction.do?tilcod=2002222301140</t>
  </si>
  <si>
    <t>https://opac.libnet.pref.okayama.jp/licsxp-opac/WOpacMsgNewListToTifTilDetailAction.do?tilcod=2002222286901</t>
  </si>
  <si>
    <t>https://opac.libnet.pref.okayama.jp/licsxp-opac/WOpacMsgNewListToTifTilDetailAction.do?tilcod=2002222300818</t>
  </si>
  <si>
    <t>https://opac.libnet.pref.okayama.jp/licsxp-opac/WOpacMsgNewListToTifTilDetailAction.do?tilcod=2002222280784</t>
  </si>
  <si>
    <t>https://opac.libnet.pref.okayama.jp/licsxp-opac/WOpacMsgNewListToTifTilDetailAction.do?tilcod=2002222313108</t>
  </si>
  <si>
    <t>https://opac.libnet.pref.okayama.jp/licsxp-opac/WOpacMsgNewListToTifTilDetailAction.do?tilcod=2002222283863</t>
  </si>
  <si>
    <t>https://opac.libnet.pref.okayama.jp/licsxp-opac/WOpacMsgNewListToTifTilDetailAction.do?tilcod=2002222286911</t>
  </si>
  <si>
    <t>https://opac.libnet.pref.okayama.jp/licsxp-opac/WOpacMsgNewListToTifTilDetailAction.do?tilcod=2002222286631</t>
  </si>
  <si>
    <t>https://opac.libnet.pref.okayama.jp/licsxp-opac/WOpacMsgNewListToTifTilDetailAction.do?tilcod=2002222291441</t>
  </si>
  <si>
    <t>https://opac.libnet.pref.okayama.jp/licsxp-opac/WOpacMsgNewListToTifTilDetailAction.do?tilcod=2002222282091</t>
  </si>
  <si>
    <t>https://opac.libnet.pref.okayama.jp/licsxp-opac/WOpacMsgNewListToTifTilDetailAction.do?tilcod=2002222286921</t>
  </si>
  <si>
    <t>https://opac.libnet.pref.okayama.jp/licsxp-opac/WOpacMsgNewListToTifTilDetailAction.do?tilcod=2002222301493</t>
  </si>
  <si>
    <t>https://opac.libnet.pref.okayama.jp/licsxp-opac/WOpacMsgNewListToTifTilDetailAction.do?tilcod=2002222286811</t>
  </si>
  <si>
    <t>https://opac.libnet.pref.okayama.jp/licsxp-opac/WOpacMsgNewListToTifTilDetailAction.do?tilcod=2002222301364</t>
  </si>
  <si>
    <t>https://opac.libnet.pref.okayama.jp/licsxp-opac/WOpacMsgNewListToTifTilDetailAction.do?tilcod=2002222306826</t>
  </si>
  <si>
    <t>https://opac.libnet.pref.okayama.jp/licsxp-opac/WOpacMsgNewListToTifTilDetailAction.do?tilcod=2002222281694</t>
  </si>
  <si>
    <t>https://opac.libnet.pref.okayama.jp/licsxp-opac/WOpacMsgNewListToTifTilDetailAction.do?tilcod=2002222282741</t>
  </si>
  <si>
    <t>https://opac.libnet.pref.okayama.jp/licsxp-opac/WOpacMsgNewListToTifTilDetailAction.do?tilcod=2002222286961</t>
  </si>
  <si>
    <t>https://opac.libnet.pref.okayama.jp/licsxp-opac/WOpacMsgNewListToTifTilDetailAction.do?tilcod=2002222286971</t>
  </si>
  <si>
    <t>https://opac.libnet.pref.okayama.jp/licsxp-opac/WOpacMsgNewListToTifTilDetailAction.do?tilcod=2002222282381</t>
  </si>
  <si>
    <t>https://opac.libnet.pref.okayama.jp/licsxp-opac/WOpacMsgNewListToTifTilDetailAction.do?tilcod=2002222292091</t>
  </si>
  <si>
    <t>https://opac.libnet.pref.okayama.jp/licsxp-opac/WOpacMsgNewListToTifTilDetailAction.do?tilcod=2002222289913</t>
  </si>
  <si>
    <t>https://opac.libnet.pref.okayama.jp/licsxp-opac/WOpacMsgNewListToTifTilDetailAction.do?tilcod=2002222282551</t>
  </si>
  <si>
    <t>https://opac.libnet.pref.okayama.jp/licsxp-opac/WOpacMsgNewListToTifTilDetailAction.do?tilcod=2002222286981</t>
  </si>
  <si>
    <t>https://opac.libnet.pref.okayama.jp/licsxp-opac/WOpacMsgNewListToTifTilDetailAction.do?tilcod=2002222286931</t>
  </si>
  <si>
    <t>https://opac.libnet.pref.okayama.jp/licsxp-opac/WOpacMsgNewListToTifTilDetailAction.do?tilcod=2002222280183</t>
  </si>
  <si>
    <t>https://opac.libnet.pref.okayama.jp/licsxp-opac/WOpacMsgNewListToTifTilDetailAction.do?tilcod=2002222289733</t>
  </si>
  <si>
    <t>https://opac.libnet.pref.okayama.jp/licsxp-opac/WOpacMsgNewListToTifTilDetailAction.do?tilcod=2002222289723</t>
  </si>
  <si>
    <t>https://opac.libnet.pref.okayama.jp/licsxp-opac/WOpacMsgNewListToTifTilDetailAction.do?tilcod=2002222294791</t>
  </si>
  <si>
    <t>https://opac.libnet.pref.okayama.jp/licsxp-opac/WOpacMsgNewListToTifTilDetailAction.do?tilcod=2002222282431</t>
  </si>
  <si>
    <t>https://opac.libnet.pref.okayama.jp/licsxp-opac/WOpacMsgNewListToTifTilDetailAction.do?tilcod=2002222286941</t>
  </si>
  <si>
    <t>https://opac.libnet.pref.okayama.jp/licsxp-opac/WOpacMsgNewListToTifTilDetailAction.do?tilcod=2002222286951</t>
  </si>
  <si>
    <t>https://opac.libnet.pref.okayama.jp/licsxp-opac/WOpacMsgNewListToTifTilDetailAction.do?tilcod=2002222286171</t>
  </si>
  <si>
    <t>https://opac.libnet.pref.okayama.jp/licsxp-opac/WOpacMsgNewListToTifTilDetailAction.do?tilcod=2002222281003</t>
  </si>
  <si>
    <t>https://opac.libnet.pref.okayama.jp/licsxp-opac/WOpacMsgNewListToTifTilDetailAction.do?tilcod=2002222281013</t>
  </si>
  <si>
    <t>https://opac.libnet.pref.okayama.jp/licsxp-opac/WOpacMsgNewListToTifTilDetailAction.do?tilcod=2002222301148</t>
  </si>
  <si>
    <t>https://opac.libnet.pref.okayama.jp/licsxp-opac/WOpacMsgNewListToTifTilDetailAction.do?tilcod=2002222282921</t>
  </si>
  <si>
    <t>https://opac.libnet.pref.okayama.jp/licsxp-opac/WOpacMsgNewListToTifTilDetailAction.do?tilcod=2002222300243</t>
  </si>
  <si>
    <t>https://opac.libnet.pref.okayama.jp/licsxp-opac/WOpacMsgNewListToTifTilDetailAction.do?tilcod=2002222281551</t>
  </si>
  <si>
    <t>https://opac.libnet.pref.okayama.jp/licsxp-opac/WOpacMsgNewListToTifTilDetailAction.do?tilcod=2002222312266</t>
  </si>
  <si>
    <t>https://opac.libnet.pref.okayama.jp/licsxp-opac/WOpacMsgNewListToTifTilDetailAction.do?tilcod=2002222281033</t>
  </si>
  <si>
    <t>https://opac.libnet.pref.okayama.jp/licsxp-opac/WOpacMsgNewListToTifTilDetailAction.do?tilcod=2002222300348</t>
  </si>
  <si>
    <t>https://opac.libnet.pref.okayama.jp/licsxp-opac/WOpacMsgNewListToTifTilDetailAction.do?tilcod=2002222301510</t>
  </si>
  <si>
    <t>https://opac.libnet.pref.okayama.jp/licsxp-opac/WOpacMsgNewListToTifTilDetailAction.do?tilcod=2002222282141</t>
  </si>
  <si>
    <t>https://opac.libnet.pref.okayama.jp/licsxp-opac/WOpacMsgNewListToTifTilDetailAction.do?tilcod=2002222301236</t>
  </si>
  <si>
    <t>https://opac.libnet.pref.okayama.jp/licsxp-opac/WOpacMsgNewListToTifTilDetailAction.do?tilcod=2002222300587</t>
  </si>
  <si>
    <t>https://opac.libnet.pref.okayama.jp/licsxp-opac/WOpacMsgNewListToTifTilDetailAction.do?tilcod=2002222300566</t>
  </si>
  <si>
    <t>https://opac.libnet.pref.okayama.jp/licsxp-opac/WOpacMsgNewListToTifTilDetailAction.do?tilcod=2002222281043</t>
  </si>
  <si>
    <t>https://opac.libnet.pref.okayama.jp/licsxp-opac/WOpacMsgNewListToTifTilDetailAction.do?tilcod=2002222281053</t>
  </si>
  <si>
    <t>https://opac.libnet.pref.okayama.jp/licsxp-opac/WOpacMsgNewListToTifTilDetailAction.do?tilcod=2002222281063</t>
  </si>
  <si>
    <t>https://opac.libnet.pref.okayama.jp/licsxp-opac/WOpacMsgNewListToTifTilDetailAction.do?tilcod=2002222289513</t>
  </si>
  <si>
    <t>https://opac.libnet.pref.okayama.jp/licsxp-opac/WOpacMsgNewListToTifTilDetailAction.do?tilcod=2002222323026</t>
  </si>
  <si>
    <t>https://opac.libnet.pref.okayama.jp/licsxp-opac/WOpacMsgNewListToTifTilDetailAction.do?tilcod=2002222281073</t>
  </si>
  <si>
    <t>https://opac.libnet.pref.okayama.jp/licsxp-opac/WOpacMsgNewListToTifTilDetailAction.do?tilcod=2002222336973</t>
  </si>
  <si>
    <t>https://opac.libnet.pref.okayama.jp/licsxp-opac/WOpacMsgNewListToTifTilDetailAction.do?tilcod=2002222281083</t>
  </si>
  <si>
    <t>https://opac.libnet.pref.okayama.jp/licsxp-opac/WOpacMsgNewListToTifTilDetailAction.do?tilcod=2002222300850</t>
  </si>
  <si>
    <t>https://opac.libnet.pref.okayama.jp/licsxp-opac/WOpacMsgNewListToTifTilDetailAction.do?tilcod=2002222343572</t>
  </si>
  <si>
    <t>https://opac.libnet.pref.okayama.jp/licsxp-opac/WOpacMsgNewListToTifTilDetailAction.do?tilcod=2002222281123</t>
  </si>
  <si>
    <t>https://opac.libnet.pref.okayama.jp/licsxp-opac/WOpacMsgNewListToTifTilDetailAction.do?tilcod=2002222306483</t>
  </si>
  <si>
    <t>https://opac.libnet.pref.okayama.jp/licsxp-opac/WOpacMsgNewListToTifTilDetailAction.do?tilcod=2002222282931</t>
  </si>
  <si>
    <t>https://opac.libnet.pref.okayama.jp/licsxp-opac/WOpacMsgNewListToTifTilDetailAction.do?tilcod=2002222283251</t>
  </si>
  <si>
    <t>https://opac.libnet.pref.okayama.jp/licsxp-opac/WOpacMsgNewListToTifTilDetailAction.do?tilcod=2002222301375</t>
  </si>
  <si>
    <t>https://opac.libnet.pref.okayama.jp/licsxp-opac/WOpacMsgNewListToTifTilDetailAction.do?tilcod=2002222289753</t>
  </si>
  <si>
    <t>https://opac.libnet.pref.okayama.jp/licsxp-opac/WOpacMsgNewListToTifTilDetailAction.do?tilcod=2002222312246</t>
  </si>
  <si>
    <t>https://opac.libnet.pref.okayama.jp/licsxp-opac/WOpacMsgNewListToTifTilDetailAction.do?tilcod=2002222320488</t>
  </si>
  <si>
    <t>https://opac.libnet.pref.okayama.jp/licsxp-opac/WOpacMsgNewListToTifTilDetailAction.do?tilcod=2002222301651</t>
  </si>
  <si>
    <t>https://opac.libnet.pref.okayama.jp/licsxp-opac/WOpacMsgNewListToTifTilDetailAction.do?tilcod=2002222338911</t>
  </si>
  <si>
    <t>https://opac.libnet.pref.okayama.jp/licsxp-opac/WOpacMsgNewListToTifTilDetailAction.do?tilcod=2002222338912</t>
  </si>
  <si>
    <t>https://opac.libnet.pref.okayama.jp/licsxp-opac/WOpacMsgNewListToTifTilDetailAction.do?tilcod=2002222285053</t>
  </si>
  <si>
    <t>https://opac.libnet.pref.okayama.jp/licsxp-opac/WOpacMsgNewListToTifTilDetailAction.do?tilcod=2002222289221</t>
  </si>
  <si>
    <t>https://opac.libnet.pref.okayama.jp/licsxp-opac/WOpacMsgNewListToTifTilDetailAction.do?tilcod=2002222289231</t>
  </si>
  <si>
    <t>https://opac.libnet.pref.okayama.jp/licsxp-opac/WOpacMsgNewListToTifTilDetailAction.do?tilcod=2002222286511</t>
  </si>
  <si>
    <t>https://opac.libnet.pref.okayama.jp/licsxp-opac/WOpacMsgNewListToTifTilDetailAction.do?tilcod=2002222287663</t>
  </si>
  <si>
    <t>https://opac.libnet.pref.okayama.jp/licsxp-opac/WOpacMsgNewListToTifTilDetailAction.do?tilcod=2002222286711</t>
  </si>
  <si>
    <t>https://opac.libnet.pref.okayama.jp/licsxp-opac/WOpacMsgNewListToTifTilDetailAction.do?tilcod=2002222281134</t>
  </si>
  <si>
    <t>https://opac.libnet.pref.okayama.jp/licsxp-opac/WOpacMsgNewListToTifTilDetailAction.do?tilcod=2002222300819</t>
  </si>
  <si>
    <t>https://opac.libnet.pref.okayama.jp/licsxp-opac/WOpacMsgNewListToTifTilDetailAction.do?tilcod=2002222288663</t>
  </si>
  <si>
    <t>https://opac.libnet.pref.okayama.jp/licsxp-opac/WOpacMsgNewListToTifTilDetailAction.do?tilcod=2002222328449</t>
  </si>
  <si>
    <t>https://opac.libnet.pref.okayama.jp/licsxp-opac/WOpacMsgNewListToTifTilDetailAction.do?tilcod=2002222324590</t>
  </si>
  <si>
    <t>https://opac.libnet.pref.okayama.jp/licsxp-opac/WOpacMsgNewListToTifTilDetailAction.do?tilcod=2002222288673</t>
  </si>
  <si>
    <t>https://opac.libnet.pref.okayama.jp/licsxp-opac/WOpacMsgNewListToTifTilDetailAction.do?tilcod=2002222333832</t>
  </si>
  <si>
    <t>https://opac.libnet.pref.okayama.jp/licsxp-opac/WOpacMsgNewListToTifTilDetailAction.do?tilcod=2002222280051</t>
  </si>
  <si>
    <t>https://opac.libnet.pref.okayama.jp/licsxp-opac/WOpacMsgNewListToTifTilDetailAction.do?tilcod=2002222280041</t>
  </si>
  <si>
    <t>https://opac.libnet.pref.okayama.jp/licsxp-opac/WOpacMsgNewListToTifTilDetailAction.do?tilcod=2002222280071</t>
  </si>
  <si>
    <t>https://opac.libnet.pref.okayama.jp/licsxp-opac/WOpacMsgNewListToTifTilDetailAction.do?tilcod=2002222342010</t>
  </si>
  <si>
    <t>https://opac.libnet.pref.okayama.jp/licsxp-opac/WOpacMsgNewListToTifTilDetailAction.do?tilcod=2002222280461</t>
  </si>
  <si>
    <t>https://opac.libnet.pref.okayama.jp/licsxp-opac/WOpacMsgNewListToTifTilDetailAction.do?tilcod=2002222280511</t>
  </si>
  <si>
    <t>https://opac.libnet.pref.okayama.jp/licsxp-opac/WOpacMsgNewListToTifTilDetailAction.do?tilcod=2002222280851</t>
  </si>
  <si>
    <t>https://opac.libnet.pref.okayama.jp/licsxp-opac/WOpacMsgNewListToTifTilDetailAction.do?tilcod=2002222280521</t>
  </si>
  <si>
    <t>https://opac.libnet.pref.okayama.jp/licsxp-opac/WOpacMsgNewListToTifTilDetailAction.do?tilcod=2002222280141</t>
  </si>
  <si>
    <t>https://opac.libnet.pref.okayama.jp/licsxp-opac/WOpacMsgNewListToTifTilDetailAction.do?tilcod=2002222280381</t>
  </si>
  <si>
    <t>https://opac.libnet.pref.okayama.jp/licsxp-opac/WOpacMsgNewListToTifTilDetailAction.do?tilcod=2002222334967</t>
  </si>
  <si>
    <t>https://opac.libnet.pref.okayama.jp/licsxp-opac/WOpacMsgNewListToTifTilDetailAction.do?tilcod=2002222315729</t>
  </si>
  <si>
    <t>https://opac.libnet.pref.okayama.jp/licsxp-opac/WOpacMsgNewListToTifTilDetailAction.do?tilcod=2002222289643</t>
  </si>
  <si>
    <t>https://opac.libnet.pref.okayama.jp/licsxp-opac/WOpacMsgNewListToTifTilDetailAction.do?tilcod=2002222280801</t>
  </si>
  <si>
    <t>https://opac.libnet.pref.okayama.jp/licsxp-opac/WOpacMsgNewListToTifTilDetailAction.do?tilcod=2002222286513</t>
  </si>
  <si>
    <t>https://opac.libnet.pref.okayama.jp/licsxp-opac/WOpacMsgNewListToTifTilDetailAction.do?tilcod=2002222280231</t>
  </si>
  <si>
    <t>https://opac.libnet.pref.okayama.jp/licsxp-opac/WOpacMsgNewListToTifTilDetailAction.do?tilcod=2002222280641</t>
  </si>
  <si>
    <t>https://opac.libnet.pref.okayama.jp/licsxp-opac/WOpacMsgNewListToTifTilDetailAction.do?tilcod=2002222282601</t>
  </si>
  <si>
    <t>https://opac.libnet.pref.okayama.jp/licsxp-opac/WOpacMsgNewListToTifTilDetailAction.do?tilcod=2002222284671</t>
  </si>
  <si>
    <t>https://opac.libnet.pref.okayama.jp/licsxp-opac/WOpacMsgNewListToTifTilDetailAction.do?tilcod=2002222280031</t>
  </si>
  <si>
    <t>https://opac.libnet.pref.okayama.jp/licsxp-opac/WOpacMsgNewListToTifTilDetailAction.do?tilcod=2002222289653</t>
  </si>
  <si>
    <t>https://opac.libnet.pref.okayama.jp/licsxp-opac/WOpacMsgNewListToTifTilDetailAction.do?tilcod=2002222281691</t>
  </si>
  <si>
    <t>https://opac.libnet.pref.okayama.jp/licsxp-opac/WOpacMsgNewListToTifTilDetailAction.do?tilcod=2002222288713</t>
  </si>
  <si>
    <t>https://opac.libnet.pref.okayama.jp/licsxp-opac/WOpacMsgNewListToTifTilDetailAction.do?tilcod=2002222288703</t>
  </si>
  <si>
    <t>https://opac.libnet.pref.okayama.jp/licsxp-opac/WOpacMsgNewListToTifTilDetailAction.do?tilcod=2002222288753</t>
  </si>
  <si>
    <t>https://opac.libnet.pref.okayama.jp/licsxp-opac/WOpacMsgNewListToTifTilDetailAction.do?tilcod=2002222288233</t>
  </si>
  <si>
    <t>https://opac.libnet.pref.okayama.jp/licsxp-opac/WOpacMsgNewListToTifTilDetailAction.do?tilcod=2002222280621</t>
  </si>
  <si>
    <t>https://opac.libnet.pref.okayama.jp/licsxp-opac/WOpacMsgNewListToTifTilDetailAction.do?tilcod=2002222281164</t>
  </si>
  <si>
    <t>https://opac.libnet.pref.okayama.jp/licsxp-opac/WOpacMsgNewListToTifTilDetailAction.do?tilcod=2002222325306</t>
  </si>
  <si>
    <t>https://opac.libnet.pref.okayama.jp/licsxp-opac/WOpacMsgNewListToTifTilDetailAction.do?tilcod=2002222280293</t>
  </si>
  <si>
    <t>https://opac.libnet.pref.okayama.jp/licsxp-opac/WOpacMsgNewListToTifTilDetailAction.do?tilcod=2002222288733</t>
  </si>
  <si>
    <t>https://opac.libnet.pref.okayama.jp/licsxp-opac/WOpacMsgNewListToTifTilDetailAction.do?tilcod=2002222320326</t>
  </si>
  <si>
    <t>https://opac.libnet.pref.okayama.jp/licsxp-opac/WOpacMsgNewListToTifTilDetailAction.do?tilcod=2002222288743</t>
  </si>
  <si>
    <t>https://opac.libnet.pref.okayama.jp/licsxp-opac/WOpacMsgNewListToTifTilDetailAction.do?tilcod=2002222288763</t>
  </si>
  <si>
    <t>https://opac.libnet.pref.okayama.jp/licsxp-opac/WOpacMsgNewListToTifTilDetailAction.do?tilcod=2002222288773</t>
  </si>
  <si>
    <t>https://opac.libnet.pref.okayama.jp/licsxp-opac/WOpacMsgNewListToTifTilDetailAction.do?tilcod=2002222280171</t>
  </si>
  <si>
    <t>https://opac.libnet.pref.okayama.jp/licsxp-opac/WOpacMsgNewListToTifTilDetailAction.do?tilcod=2002222288783</t>
  </si>
  <si>
    <t>https://opac.libnet.pref.okayama.jp/licsxp-opac/WOpacMsgNewListToTifTilDetailAction.do?tilcod=2002222301284</t>
  </si>
  <si>
    <t>https://opac.libnet.pref.okayama.jp/licsxp-opac/WOpacMsgNewListToTifTilDetailAction.do?tilcod=2002222300861</t>
  </si>
  <si>
    <t>https://opac.libnet.pref.okayama.jp/licsxp-opac/WOpacMsgNewListToTifTilDetailAction.do?tilcod=2002222280174</t>
  </si>
  <si>
    <t>https://opac.libnet.pref.okayama.jp/licsxp-opac/WOpacMsgNewListToTifTilDetailAction.do?tilcod=2002222287763</t>
  </si>
  <si>
    <t>https://opac.libnet.pref.okayama.jp/licsxp-opac/WOpacMsgNewListToTifTilDetailAction.do?tilcod=2002222284921</t>
  </si>
  <si>
    <t>https://opac.libnet.pref.okayama.jp/licsxp-opac/WOpacMsgNewListToTifTilDetailAction.do?tilcod=2002222329686</t>
  </si>
  <si>
    <t>https://opac.libnet.pref.okayama.jp/licsxp-opac/WOpacMsgNewListToTifTilDetailAction.do?tilcod=2002222280181</t>
  </si>
  <si>
    <t>https://opac.libnet.pref.okayama.jp/licsxp-opac/WOpacMsgNewListToTifTilDetailAction.do?tilcod=2002222282831</t>
  </si>
  <si>
    <t>https://opac.libnet.pref.okayama.jp/licsxp-opac/WOpacMsgNewListToTifTilDetailAction.do?tilcod=2002222288793</t>
  </si>
  <si>
    <t>https://opac.libnet.pref.okayama.jp/licsxp-opac/WOpacMsgNewListToTifTilDetailAction.do?tilcod=2002222284801</t>
  </si>
  <si>
    <t>https://opac.libnet.pref.okayama.jp/licsxp-opac/WOpacMsgNewListToTifTilDetailAction.do?tilcod=2002222288803</t>
  </si>
  <si>
    <t>https://opac.libnet.pref.okayama.jp/licsxp-opac/WOpacMsgNewListToTifTilDetailAction.do?tilcod=2002222285183</t>
  </si>
  <si>
    <t>https://opac.libnet.pref.okayama.jp/licsxp-opac/WOpacMsgNewListToTifTilDetailAction.do?tilcod=2002222288813</t>
  </si>
  <si>
    <t>https://opac.libnet.pref.okayama.jp/licsxp-opac/WOpacMsgNewListToTifTilDetailAction.do?tilcod=2002222280471</t>
  </si>
  <si>
    <t>https://opac.libnet.pref.okayama.jp/licsxp-opac/WOpacMsgNewListToTifTilDetailAction.do?tilcod=2002222287453</t>
  </si>
  <si>
    <t>https://opac.libnet.pref.okayama.jp/licsxp-opac/WOpacMsgNewListToTifTilDetailAction.do?tilcod=2002222288823</t>
  </si>
  <si>
    <t>https://opac.libnet.pref.okayama.jp/licsxp-opac/WOpacMsgNewListToTifTilDetailAction.do?tilcod=2002222280821</t>
  </si>
  <si>
    <t>https://opac.libnet.pref.okayama.jp/licsxp-opac/WOpacMsgNewListToTifTilDetailAction.do?tilcod=2002222283383</t>
  </si>
  <si>
    <t>https://opac.libnet.pref.okayama.jp/licsxp-opac/WOpacMsgNewListToTifTilDetailAction.do?tilcod=2002222320348</t>
  </si>
  <si>
    <t>https://opac.libnet.pref.okayama.jp/licsxp-opac/WOpacMsgNewListToTifTilDetailAction.do?tilcod=2002222320347</t>
  </si>
  <si>
    <t>https://opac.libnet.pref.okayama.jp/licsxp-opac/WOpacMsgNewListToTifTilDetailAction.do?tilcod=2002222280091</t>
  </si>
  <si>
    <t>https://opac.libnet.pref.okayama.jp/licsxp-opac/WOpacMsgNewListToTifTilDetailAction.do?tilcod=2002222287783</t>
  </si>
  <si>
    <t>https://opac.libnet.pref.okayama.jp/licsxp-opac/WOpacMsgNewListToTifTilDetailAction.do?tilcod=2002222288833</t>
  </si>
  <si>
    <t>https://opac.libnet.pref.okayama.jp/licsxp-opac/WOpacMsgNewListToTifTilDetailAction.do?tilcod=2002222294111</t>
  </si>
  <si>
    <t>https://opac.libnet.pref.okayama.jp/licsxp-opac/WOpacMsgNewListToTifTilDetailAction.do?tilcod=2002222301419</t>
  </si>
  <si>
    <t>https://opac.libnet.pref.okayama.jp/licsxp-opac/WOpacMsgNewListToTifTilDetailAction.do?tilcod=2002222288843</t>
  </si>
  <si>
    <t>https://opac.libnet.pref.okayama.jp/licsxp-opac/WOpacMsgNewListToTifTilDetailAction.do?tilcod=2002222282631</t>
  </si>
  <si>
    <t>https://opac.libnet.pref.okayama.jp/licsxp-opac/WOpacMsgNewListToTifTilDetailAction.do?tilcod=2002222280341</t>
  </si>
  <si>
    <t>https://opac.libnet.pref.okayama.jp/licsxp-opac/WOpacMsgNewListToTifTilDetailAction.do?tilcod=2002222288853</t>
  </si>
  <si>
    <t>https://opac.libnet.pref.okayama.jp/licsxp-opac/WOpacMsgNewListToTifTilDetailAction.do?tilcod=2002222288863</t>
  </si>
  <si>
    <t>https://opac.libnet.pref.okayama.jp/licsxp-opac/WOpacMsgNewListToTifTilDetailAction.do?tilcod=2002222334571</t>
  </si>
  <si>
    <t>https://opac.libnet.pref.okayama.jp/licsxp-opac/WOpacMsgNewListToTifTilDetailAction.do?tilcod=2002222280101</t>
  </si>
  <si>
    <t>https://opac.libnet.pref.okayama.jp/licsxp-opac/WOpacMsgNewListToTifTilDetailAction.do?tilcod=2002222288893</t>
  </si>
  <si>
    <t>https://opac.libnet.pref.okayama.jp/licsxp-opac/WOpacMsgNewListToTifTilDetailAction.do?tilcod=2002222285093</t>
  </si>
  <si>
    <t>https://opac.libnet.pref.okayama.jp/licsxp-opac/WOpacMsgNewListToTifTilDetailAction.do?tilcod=2002222288913</t>
  </si>
  <si>
    <t>https://opac.libnet.pref.okayama.jp/licsxp-opac/WOpacMsgNewListToTifTilDetailAction.do?tilcod=2002222285361</t>
  </si>
  <si>
    <t>https://opac.libnet.pref.okayama.jp/licsxp-opac/WOpacMsgNewListToTifTilDetailAction.do?tilcod=2002222288903</t>
  </si>
  <si>
    <t>https://opac.libnet.pref.okayama.jp/licsxp-opac/WOpacMsgNewListToTifTilDetailAction.do?tilcod=2002222280111</t>
  </si>
  <si>
    <t>https://opac.libnet.pref.okayama.jp/licsxp-opac/WOpacMsgNewListToTifTilDetailAction.do?tilcod=2002222280941</t>
  </si>
  <si>
    <t>https://opac.libnet.pref.okayama.jp/licsxp-opac/WOpacMsgNewListToTifTilDetailAction.do?tilcod=2002222281344</t>
  </si>
  <si>
    <t>https://opac.libnet.pref.okayama.jp/licsxp-opac/WOpacMsgNewListToTifTilDetailAction.do?tilcod=2002222280741</t>
  </si>
  <si>
    <t>https://opac.libnet.pref.okayama.jp/licsxp-opac/WOpacMsgNewListToTifTilDetailAction.do?tilcod=2002222288933</t>
  </si>
  <si>
    <t>https://opac.libnet.pref.okayama.jp/licsxp-opac/WOpacMsgNewListToTifTilDetailAction.do?tilcod=2002222280624</t>
  </si>
  <si>
    <t>https://opac.libnet.pref.okayama.jp/licsxp-opac/WOpacMsgNewListToTifTilDetailAction.do?tilcod=2002222288943</t>
  </si>
  <si>
    <t>https://opac.libnet.pref.okayama.jp/licsxp-opac/WOpacMsgNewListToTifTilDetailAction.do?tilcod=2002222294621</t>
  </si>
  <si>
    <t>https://opac.libnet.pref.okayama.jp/licsxp-opac/WOpacMsgNewListToTifTilDetailAction.do?tilcod=2002222281961</t>
  </si>
  <si>
    <t>https://opac.libnet.pref.okayama.jp/licsxp-opac/WOpacMsgNewListToTifTilDetailAction.do?tilcod=2002222288953</t>
  </si>
  <si>
    <t>https://opac.libnet.pref.okayama.jp/licsxp-opac/WOpacMsgNewListToTifTilDetailAction.do?tilcod=2002222284511</t>
  </si>
  <si>
    <t>https://opac.libnet.pref.okayama.jp/licsxp-opac/WOpacMsgNewListToTifTilDetailAction.do?tilcod=2002222280131</t>
  </si>
  <si>
    <t>https://opac.libnet.pref.okayama.jp/licsxp-opac/WOpacMsgNewListToTifTilDetailAction.do?tilcod=2002222288963</t>
  </si>
  <si>
    <t>https://opac.libnet.pref.okayama.jp/licsxp-opac/WOpacMsgNewListToTifTilDetailAction.do?tilcod=2002222288333</t>
  </si>
  <si>
    <t>https://opac.libnet.pref.okayama.jp/licsxp-opac/WOpacMsgNewListToTifTilDetailAction.do?tilcod=2002222289663</t>
  </si>
  <si>
    <t>https://opac.libnet.pref.okayama.jp/licsxp-opac/WOpacMsgNewListToTifTilDetailAction.do?tilcod=2002222289763</t>
  </si>
  <si>
    <t>https://opac.libnet.pref.okayama.jp/licsxp-opac/WOpacMsgNewListToTifTilDetailAction.do?tilcod=2002222280281</t>
  </si>
  <si>
    <t>https://opac.libnet.pref.okayama.jp/licsxp-opac/WOpacMsgNewListToTifTilDetailAction.do?tilcod=2002222287803</t>
  </si>
  <si>
    <t>https://opac.libnet.pref.okayama.jp/licsxp-opac/WOpacMsgNewListToTifTilDetailAction.do?tilcod=2002222300242</t>
  </si>
  <si>
    <t>https://opac.libnet.pref.okayama.jp/licsxp-opac/WOpacMsgNewListToTifTilDetailAction.do?tilcod=2002222280361</t>
  </si>
  <si>
    <t>https://opac.libnet.pref.okayama.jp/licsxp-opac/WOpacMsgNewListToTifTilDetailAction.do?tilcod=2002222320308</t>
  </si>
  <si>
    <t>https://opac.libnet.pref.okayama.jp/licsxp-opac/WOpacMsgNewListToTifTilDetailAction.do?tilcod=2002222329806</t>
  </si>
  <si>
    <t>https://opac.libnet.pref.okayama.jp/licsxp-opac/WOpacMsgNewListToTifTilDetailAction.do?tilcod=2002222288973</t>
  </si>
  <si>
    <t>https://opac.libnet.pref.okayama.jp/licsxp-opac/WOpacMsgNewListToTifTilDetailAction.do?tilcod=2002222284931</t>
  </si>
  <si>
    <t>https://opac.libnet.pref.okayama.jp/licsxp-opac/WOpacMsgNewListToTifTilDetailAction.do?tilcod=2002222335786</t>
  </si>
  <si>
    <t>https://opac.libnet.pref.okayama.jp/licsxp-opac/WOpacMsgNewListToTifTilDetailAction.do?tilcod=2002222282901</t>
  </si>
  <si>
    <t>https://opac.libnet.pref.okayama.jp/licsxp-opac/WOpacMsgNewListToTifTilDetailAction.do?tilcod=2002222331387</t>
  </si>
  <si>
    <t>https://opac.libnet.pref.okayama.jp/licsxp-opac/WOpacMsgNewListToTifTilDetailAction.do?tilcod=2002222300607</t>
  </si>
  <si>
    <t>https://opac.libnet.pref.okayama.jp/licsxp-opac/WOpacMsgNewListToTifTilDetailAction.do?tilcod=2002222301365</t>
  </si>
  <si>
    <t>https://opac.libnet.pref.okayama.jp/licsxp-opac/WOpacMsgNewListToTifTilDetailAction.do?tilcod=2002222281143</t>
  </si>
  <si>
    <t>https://opac.libnet.pref.okayama.jp/licsxp-opac/WOpacMsgNewListToTifTilDetailAction.do?tilcod=2002222288343</t>
  </si>
  <si>
    <t>https://opac.libnet.pref.okayama.jp/licsxp-opac/WOpacMsgNewListToTifTilDetailAction.do?tilcod=2002222289783</t>
  </si>
  <si>
    <t>https://opac.libnet.pref.okayama.jp/licsxp-opac/WOpacMsgNewListToTifTilDetailAction.do?tilcod=2002222301166</t>
  </si>
  <si>
    <t>https://opac.libnet.pref.okayama.jp/licsxp-opac/WOpacMsgNewListToTifTilDetailAction.do?tilcod=2002222283151</t>
  </si>
  <si>
    <t>https://opac.libnet.pref.okayama.jp/licsxp-opac/WOpacMsgNewListToTifTilDetailAction.do?tilcod=2002222287823</t>
  </si>
  <si>
    <t>https://opac.libnet.pref.okayama.jp/licsxp-opac/WOpacMsgNewListToTifTilDetailAction.do?tilcod=2002222289673</t>
  </si>
  <si>
    <t>https://opac.libnet.pref.okayama.jp/licsxp-opac/WOpacMsgNewListToTifTilDetailAction.do?tilcod=2002222280401</t>
  </si>
  <si>
    <t>https://opac.libnet.pref.okayama.jp/licsxp-opac/WOpacMsgNewListToTifTilDetailAction.do?tilcod=2002222284513</t>
  </si>
  <si>
    <t>https://opac.libnet.pref.okayama.jp/licsxp-opac/WOpacMsgNewListToTifTilDetailAction.do?tilcod=2002222288983</t>
  </si>
  <si>
    <t>https://opac.libnet.pref.okayama.jp/licsxp-opac/WOpacMsgNewListToTifTilDetailAction.do?tilcod=2002222283121</t>
  </si>
  <si>
    <t>https://opac.libnet.pref.okayama.jp/licsxp-opac/WOpacMsgNewListToTifTilDetailAction.do?tilcod=2002222302072</t>
  </si>
  <si>
    <t>https://opac.libnet.pref.okayama.jp/licsxp-opac/WOpacMsgNewListToTifTilDetailAction.do?tilcod=2002222328525</t>
  </si>
  <si>
    <t>https://opac.libnet.pref.okayama.jp/licsxp-opac/WOpacMsgNewListToTifTilDetailAction.do?tilcod=2002222288243</t>
  </si>
  <si>
    <t>https://opac.libnet.pref.okayama.jp/licsxp-opac/WOpacMsgNewListToTifTilDetailAction.do?tilcod=2002222288993</t>
  </si>
  <si>
    <t>https://opac.libnet.pref.okayama.jp/licsxp-opac/WOpacMsgNewListToTifTilDetailAction.do?tilcod=2002222301857</t>
  </si>
  <si>
    <t>https://opac.libnet.pref.okayama.jp/licsxp-opac/WOpacMsgNewListToTifTilDetailAction.do?tilcod=2002222330487</t>
  </si>
  <si>
    <t>https://opac.libnet.pref.okayama.jp/licsxp-opac/WOpacMsgNewListToTifTilDetailAction.do?tilcod=2002222333486</t>
  </si>
  <si>
    <t>https://opac.libnet.pref.okayama.jp/licsxp-opac/WOpacMsgNewListToTifTilDetailAction.do?tilcod=2002222280311</t>
  </si>
  <si>
    <t>https://opac.libnet.pref.okayama.jp/licsxp-opac/WOpacMsgNewListToTifTilDetailAction.do?tilcod=2002222289503</t>
  </si>
  <si>
    <t>https://opac.libnet.pref.okayama.jp/licsxp-opac/WOpacMsgNewListToTifTilDetailAction.do?tilcod=2002222280241</t>
  </si>
  <si>
    <t>https://opac.libnet.pref.okayama.jp/licsxp-opac/WOpacMsgNewListToTifTilDetailAction.do?tilcod=2002222324027</t>
  </si>
  <si>
    <t>https://opac.libnet.pref.okayama.jp/licsxp-opac/WOpacMsgNewListToTifTilDetailAction.do?tilcod=2002222324026</t>
  </si>
  <si>
    <t>https://opac.libnet.pref.okayama.jp/licsxp-opac/WOpacMsgNewListToTifTilDetailAction.do?tilcod=2002222289523</t>
  </si>
  <si>
    <t>https://opac.libnet.pref.okayama.jp/licsxp-opac/WOpacMsgNewListToTifTilDetailAction.do?tilcod=2002222289713</t>
  </si>
  <si>
    <t>https://opac.libnet.pref.okayama.jp/licsxp-opac/WOpacMsgNewListToTifTilDetailAction.do?tilcod=2002222280251</t>
  </si>
  <si>
    <t>https://opac.libnet.pref.okayama.jp/licsxp-opac/WOpacMsgNewListToTifTilDetailAction.do?tilcod=2002222307066</t>
  </si>
  <si>
    <t>https://opac.libnet.pref.okayama.jp/licsxp-opac/WOpacMsgNewListToTifTilDetailAction.do?tilcod=2002222280971</t>
  </si>
  <si>
    <t>https://opac.libnet.pref.okayama.jp/licsxp-opac/WOpacMsgNewListToTifTilDetailAction.do?tilcod=2002222300338</t>
  </si>
  <si>
    <t>https://opac.libnet.pref.okayama.jp/licsxp-opac/WOpacMsgNewListToTifTilDetailAction.do?tilcod=2002222300426</t>
  </si>
  <si>
    <t>https://opac.libnet.pref.okayama.jp/licsxp-opac/WOpacMsgNewListToTifTilDetailAction.do?tilcod=2002222307789</t>
  </si>
  <si>
    <t>https://opac.libnet.pref.okayama.jp/licsxp-opac/WOpacMsgNewListToTifTilDetailAction.do?tilcod=2002222280033</t>
  </si>
  <si>
    <t>https://opac.libnet.pref.okayama.jp/licsxp-opac/WOpacMsgNewListToTifTilDetailAction.do?tilcod=2002222281491</t>
  </si>
  <si>
    <t>https://opac.libnet.pref.okayama.jp/licsxp-opac/WOpacMsgNewListToTifTilDetailAction.do?tilcod=2002222288141</t>
  </si>
  <si>
    <t>https://opac.libnet.pref.okayama.jp/licsxp-opac/WOpacMsgNewListToTifTilDetailAction.do?tilcod=2002222336886</t>
  </si>
  <si>
    <t>https://opac.libnet.pref.okayama.jp/licsxp-opac/WOpacMsgNewListToTifTilDetailAction.do?tilcod=2002222288161</t>
  </si>
  <si>
    <t>https://opac.libnet.pref.okayama.jp/licsxp-opac/WOpacMsgNewListToTifTilDetailAction.do?tilcod=2002222288171</t>
  </si>
  <si>
    <t>https://opac.libnet.pref.okayama.jp/licsxp-opac/WOpacMsgNewListToTifTilDetailAction.do?tilcod=2002222308606</t>
  </si>
  <si>
    <t>https://opac.libnet.pref.okayama.jp/licsxp-opac/WOpacMsgNewListToTifTilDetailAction.do?tilcod=2002222288181</t>
  </si>
  <si>
    <t>https://opac.libnet.pref.okayama.jp/licsxp-opac/WOpacMsgNewListToTifTilDetailAction.do?tilcod=2002222334047</t>
  </si>
  <si>
    <t>https://opac.libnet.pref.okayama.jp/licsxp-opac/WOpacMsgNewListToTifTilDetailAction.do?tilcod=2002222336486</t>
  </si>
  <si>
    <t>https://opac.libnet.pref.okayama.jp/licsxp-opac/WOpacMsgNewListToTifTilDetailAction.do?tilcod=2002222289883</t>
  </si>
  <si>
    <t>https://opac.libnet.pref.okayama.jp/licsxp-opac/WOpacMsgNewListToTifTilDetailAction.do?tilcod=2002222301509</t>
  </si>
  <si>
    <t>https://opac.libnet.pref.okayama.jp/licsxp-opac/WOpacMsgNewListToTifTilDetailAction.do?tilcod=2002222293771</t>
  </si>
  <si>
    <t>https://opac.libnet.pref.okayama.jp/licsxp-opac/WOpacMsgNewListToTifTilDetailAction.do?tilcod=2002222288241</t>
  </si>
  <si>
    <t>https://opac.libnet.pref.okayama.jp/licsxp-opac/WOpacMsgNewListToTifTilDetailAction.do?tilcod=2002222321727</t>
  </si>
  <si>
    <t>https://opac.libnet.pref.okayama.jp/licsxp-opac/WOpacMsgNewListToTifTilDetailAction.do?tilcod=2002222336187</t>
  </si>
  <si>
    <t>https://opac.libnet.pref.okayama.jp/licsxp-opac/WOpacMsgNewListToTifTilDetailAction.do?tilcod=2002222300823</t>
  </si>
  <si>
    <t>https://opac.libnet.pref.okayama.jp/licsxp-opac/WOpacMsgNewListToTifTilDetailAction.do?tilcod=2002222300824</t>
  </si>
  <si>
    <t>https://opac.libnet.pref.okayama.jp/licsxp-opac/WOpacMsgNewListToTifTilDetailAction.do?tilcod=2002222284453</t>
  </si>
  <si>
    <t>https://opac.libnet.pref.okayama.jp/licsxp-opac/WOpacMsgNewListToTifTilDetailAction.do?tilcod=2002222289873</t>
  </si>
  <si>
    <t>https://opac.libnet.pref.okayama.jp/licsxp-opac/WOpacMsgNewListToTifTilDetailAction.do?tilcod=2002222322027</t>
  </si>
  <si>
    <t>https://opac.libnet.pref.okayama.jp/licsxp-opac/WOpacMsgNewListToTifTilDetailAction.do?tilcod=2002222325087</t>
  </si>
  <si>
    <t>https://opac.libnet.pref.okayama.jp/licsxp-opac/WOpacMsgNewListToTifTilDetailAction.do?tilcod=2002222300831</t>
  </si>
  <si>
    <t>https://opac.libnet.pref.okayama.jp/licsxp-opac/WOpacMsgNewListToTifTilDetailAction.do?tilcod=2002222302142</t>
  </si>
  <si>
    <t>https://opac.libnet.pref.okayama.jp/licsxp-opac/WOpacMsgNewListToTifTilDetailAction.do?tilcod=2002222294171</t>
  </si>
  <si>
    <t>https://opac.libnet.pref.okayama.jp/licsxp-opac/WOpacMsgNewListToTifTilDetailAction.do?tilcod=2002222331606</t>
  </si>
  <si>
    <t>https://opac.libnet.pref.okayama.jp/licsxp-opac/WOpacMsgNewListToTifTilDetailAction.do?tilcod=2002222293521</t>
  </si>
  <si>
    <t>https://opac.libnet.pref.okayama.jp/licsxp-opac/WOpacMsgNewListToTifTilDetailAction.do?tilcod=2002222342830</t>
  </si>
  <si>
    <t>https://opac.libnet.pref.okayama.jp/licsxp-opac/WOpacMsgNewListToTifTilDetailAction.do?tilcod=2002222333546</t>
  </si>
  <si>
    <t>https://opac.libnet.pref.okayama.jp/licsxp-opac/WOpacMsgNewListToTifTilDetailAction.do?tilcod=2002222281324</t>
  </si>
  <si>
    <t>https://opac.libnet.pref.okayama.jp/licsxp-opac/WOpacMsgNewListToTifTilDetailAction.do?tilcod=2002222288293</t>
  </si>
  <si>
    <t>https://opac.libnet.pref.okayama.jp/licsxp-opac/WOpacMsgNewListToTifTilDetailAction.do?tilcod=2002222281701</t>
  </si>
  <si>
    <t>https://opac.libnet.pref.okayama.jp/licsxp-opac/WOpacMsgNewListToTifTilDetailAction.do?tilcod=2002222301204</t>
  </si>
  <si>
    <t>https://opac.libnet.pref.okayama.jp/licsxp-opac/WOpacMsgNewListToTifTilDetailAction.do?tilcod=2002222300553</t>
  </si>
  <si>
    <t>https://opac.libnet.pref.okayama.jp/licsxp-opac/WOpacMsgNewListToTifTilDetailAction.do?tilcod=2002222280271</t>
  </si>
  <si>
    <t>https://opac.libnet.pref.okayama.jp/licsxp-opac/WOpacMsgNewListToTifTilDetailAction.do?tilcod=2002222300029</t>
  </si>
  <si>
    <t>https://opac.libnet.pref.okayama.jp/licsxp-opac/WOpacMsgNewListToTifTilDetailAction.do?tilcod=2002222294841</t>
  </si>
  <si>
    <t>https://opac.libnet.pref.okayama.jp/licsxp-opac/WOpacMsgNewListToTifTilDetailAction.do?tilcod=2002222281861</t>
  </si>
  <si>
    <t>https://opac.libnet.pref.okayama.jp/licsxp-opac/WOpacMsgNewListToTifTilDetailAction.do?tilcod=2002222301380</t>
  </si>
  <si>
    <t>https://opac.libnet.pref.okayama.jp/licsxp-opac/WOpacMsgNewListToTifTilDetailAction.do?tilcod=2002222336653</t>
  </si>
  <si>
    <t>https://opac.libnet.pref.okayama.jp/licsxp-opac/WOpacMsgNewListToTifTilDetailAction.do?tilcod=2002222289593</t>
  </si>
  <si>
    <t>https://opac.libnet.pref.okayama.jp/licsxp-opac/WOpacMsgNewListToTifTilDetailAction.do?tilcod=2002222336652</t>
  </si>
  <si>
    <t>https://opac.libnet.pref.okayama.jp/licsxp-opac/WOpacMsgNewListToTifTilDetailAction.do?tilcod=2002222293881</t>
  </si>
  <si>
    <t>https://opac.libnet.pref.okayama.jp/licsxp-opac/WOpacMsgNewListToTifTilDetailAction.do?tilcod=2002222289933</t>
  </si>
  <si>
    <t>https://opac.libnet.pref.okayama.jp/licsxp-opac/WOpacMsgNewListToTifTilDetailAction.do?tilcod=2002222293781</t>
  </si>
  <si>
    <t>https://opac.libnet.pref.okayama.jp/licsxp-opac/WOpacMsgNewListToTifTilDetailAction.do?tilcod=2002222336656</t>
  </si>
  <si>
    <t>https://opac.libnet.pref.okayama.jp/licsxp-opac/WOpacMsgNewListToTifTilDetailAction.do?tilcod=2002222336655</t>
  </si>
  <si>
    <t>https://opac.libnet.pref.okayama.jp/licsxp-opac/WOpacMsgNewListToTifTilDetailAction.do?tilcod=2002222316827</t>
  </si>
  <si>
    <t>https://opac.libnet.pref.okayama.jp/licsxp-opac/WOpacMsgNewListToTifTilDetailAction.do?tilcod=2002222336654</t>
  </si>
  <si>
    <t>https://opac.libnet.pref.okayama.jp/licsxp-opac/WOpacMsgNewListToTifTilDetailAction.do?tilcod=2002222335646</t>
  </si>
  <si>
    <t>https://opac.libnet.pref.okayama.jp/licsxp-opac/WOpacMsgNewListToTifTilDetailAction.do?tilcod=2002222301990</t>
  </si>
  <si>
    <t>https://opac.libnet.pref.okayama.jp/licsxp-opac/WOpacMsgNewListToTifTilDetailAction.do?tilcod=2002222288521</t>
  </si>
  <si>
    <t>https://opac.libnet.pref.okayama.jp/licsxp-opac/WOpacMsgNewListToTifTilDetailAction.do?tilcod=2002222307769</t>
  </si>
  <si>
    <t>https://opac.libnet.pref.okayama.jp/licsxp-opac/WOpacMsgNewListToTifTilDetailAction.do?tilcod=2002222291171</t>
  </si>
  <si>
    <t>https://opac.libnet.pref.okayama.jp/licsxp-opac/WOpacMsgNewListToTifTilDetailAction.do?tilcod=2002222302384</t>
  </si>
  <si>
    <t>https://opac.libnet.pref.okayama.jp/licsxp-opac/WOpacMsgNewListToTifTilDetailAction.do?tilcod=2002222301658</t>
  </si>
  <si>
    <t>https://opac.libnet.pref.okayama.jp/licsxp-opac/WOpacMsgNewListToTifTilDetailAction.do?tilcod=2002222301435</t>
  </si>
  <si>
    <t>https://opac.libnet.pref.okayama.jp/licsxp-opac/WOpacMsgNewListToTifTilDetailAction.do?tilcod=2002222284691</t>
  </si>
  <si>
    <t>https://opac.libnet.pref.okayama.jp/licsxp-opac/WOpacMsgNewListToTifTilDetailAction.do?tilcod=2002222335647</t>
  </si>
  <si>
    <t>https://opac.libnet.pref.okayama.jp/licsxp-opac/WOpacMsgNewListToTifTilDetailAction.do?tilcod=2002222282043</t>
  </si>
  <si>
    <t>https://opac.libnet.pref.okayama.jp/licsxp-opac/WOpacMsgNewListToTifTilDetailAction.do?tilcod=2002222282053</t>
  </si>
  <si>
    <t>https://opac.libnet.pref.okayama.jp/licsxp-opac/WOpacMsgNewListToTifTilDetailAction.do?tilcod=2002222301937</t>
  </si>
  <si>
    <t>https://opac.libnet.pref.okayama.jp/licsxp-opac/WOpacMsgNewListToTifTilDetailAction.do?tilcod=2002222301196</t>
  </si>
  <si>
    <t>https://opac.libnet.pref.okayama.jp/licsxp-opac/WOpacMsgNewListToTifTilDetailAction.do?tilcod=2002222300536</t>
  </si>
  <si>
    <t>https://opac.libnet.pref.okayama.jp/licsxp-opac/WOpacMsgNewListToTifTilDetailAction.do?tilcod=2002222301656</t>
  </si>
  <si>
    <t>https://opac.libnet.pref.okayama.jp/licsxp-opac/WOpacMsgNewListToTifTilDetailAction.do?tilcod=2002222341770</t>
  </si>
  <si>
    <t>https://opac.libnet.pref.okayama.jp/licsxp-opac/WOpacMsgNewListToTifTilDetailAction.do?tilcod=2002222281111</t>
  </si>
  <si>
    <t>https://opac.libnet.pref.okayama.jp/licsxp-opac/WOpacMsgNewListToTifTilDetailAction.do?tilcod=2002222329748</t>
  </si>
  <si>
    <t>https://opac.libnet.pref.okayama.jp/licsxp-opac/WOpacMsgNewListToTifTilDetailAction.do?tilcod=2002222282063</t>
  </si>
  <si>
    <t>https://opac.libnet.pref.okayama.jp/licsxp-opac/WOpacMsgNewListToTifTilDetailAction.do?tilcod=2002222301875</t>
  </si>
  <si>
    <t>https://opac.libnet.pref.okayama.jp/licsxp-opac/WOpacMsgNewListToTifTilDetailAction.do?tilcod=2002222287873</t>
  </si>
  <si>
    <t>https://opac.libnet.pref.okayama.jp/licsxp-opac/WOpacMsgNewListToTifTilDetailAction.do?tilcod=2002222307207</t>
  </si>
  <si>
    <t>https://opac.libnet.pref.okayama.jp/licsxp-opac/WOpacMsgNewListToTifTilDetailAction.do?tilcod=2002222307275</t>
  </si>
  <si>
    <t>https://opac.libnet.pref.okayama.jp/licsxp-opac/WOpacMsgNewListToTifTilDetailAction.do?tilcod=2002222301005</t>
  </si>
  <si>
    <t>https://opac.libnet.pref.okayama.jp/licsxp-opac/WOpacMsgNewListToTifTilDetailAction.do?tilcod=2002222287691</t>
  </si>
  <si>
    <t>https://opac.libnet.pref.okayama.jp/licsxp-opac/WOpacMsgNewListToTifTilDetailAction.do?tilcod=2002222289923</t>
  </si>
  <si>
    <t>https://opac.libnet.pref.okayama.jp/licsxp-opac/WOpacMsgNewListToTifTilDetailAction.do?tilcod=2002222282073</t>
  </si>
  <si>
    <t>https://opac.libnet.pref.okayama.jp/licsxp-opac/WOpacMsgNewListToTifTilDetailAction.do?tilcod=2002222336968</t>
  </si>
  <si>
    <t>https://opac.libnet.pref.okayama.jp/licsxp-opac/WOpacMsgNewListToTifTilDetailAction.do?tilcod=2002222300398</t>
  </si>
  <si>
    <t>https://opac.libnet.pref.okayama.jp/licsxp-opac/WOpacMsgNewListToTifTilDetailAction.do?tilcod=2002222285601</t>
  </si>
  <si>
    <t>https://opac.libnet.pref.okayama.jp/licsxp-opac/WOpacMsgNewListToTifTilDetailAction.do?tilcod=2002222282083</t>
  </si>
  <si>
    <t>https://opac.libnet.pref.okayama.jp/licsxp-opac/WOpacMsgNewListToTifTilDetailAction.do?tilcod=2002222306698</t>
  </si>
  <si>
    <t>https://opac.libnet.pref.okayama.jp/licsxp-opac/WOpacMsgNewListToTifTilDetailAction.do?tilcod=2002222301874</t>
  </si>
  <si>
    <t>https://opac.libnet.pref.okayama.jp/licsxp-opac/WOpacMsgNewListToTifTilDetailAction.do?tilcod=2002222301285</t>
  </si>
  <si>
    <t>https://opac.libnet.pref.okayama.jp/licsxp-opac/WOpacMsgNewListToTifTilDetailAction.do?tilcod=2002222300602</t>
  </si>
  <si>
    <t>https://opac.libnet.pref.okayama.jp/licsxp-opac/WOpacMsgNewListToTifTilDetailAction.do?tilcod=2002222301870</t>
  </si>
  <si>
    <t>https://opac.libnet.pref.okayama.jp/licsxp-opac/WOpacMsgNewListToTifTilDetailAction.do?tilcod=2002222301876</t>
  </si>
  <si>
    <t>https://opac.libnet.pref.okayama.jp/licsxp-opac/WOpacMsgNewListToTifTilDetailAction.do?tilcod=2002222335009</t>
  </si>
  <si>
    <t>https://opac.libnet.pref.okayama.jp/licsxp-opac/WOpacMsgNewListToTifTilDetailAction.do?tilcod=2002222302323</t>
  </si>
  <si>
    <t>https://opac.libnet.pref.okayama.jp/licsxp-opac/WOpacMsgNewListToTifTilDetailAction.do?tilcod=2002222284861</t>
  </si>
  <si>
    <t>https://opac.libnet.pref.okayama.jp/licsxp-opac/WOpacMsgNewListToTifTilDetailAction.do?tilcod=2002222344013</t>
  </si>
  <si>
    <t>https://opac.libnet.pref.okayama.jp/licsxp-opac/WOpacMsgNewListToTifTilDetailAction.do?tilcod=2002222282093</t>
  </si>
  <si>
    <t>https://opac.libnet.pref.okayama.jp/licsxp-opac/WOpacMsgNewListToTifTilDetailAction.do?tilcod=2002222302360</t>
  </si>
  <si>
    <t>https://opac.libnet.pref.okayama.jp/licsxp-opac/WOpacMsgNewListToTifTilDetailAction.do?tilcod=2002222302418</t>
  </si>
  <si>
    <t>https://opac.libnet.pref.okayama.jp/licsxp-opac/WOpacMsgNewListToTifTilDetailAction.do?tilcod=2002222341231</t>
  </si>
  <si>
    <t>https://opac.libnet.pref.okayama.jp/licsxp-opac/WOpacMsgNewListToTifTilDetailAction.do?tilcod=2002222284791</t>
  </si>
  <si>
    <t>https://opac.libnet.pref.okayama.jp/licsxp-opac/WOpacMsgNewListToTifTilDetailAction.do?tilcod=2002222306983</t>
  </si>
  <si>
    <t>https://opac.libnet.pref.okayama.jp/licsxp-opac/WOpacMsgNewListToTifTilDetailAction.do?tilcod=2002222336907</t>
  </si>
  <si>
    <t>https://opac.libnet.pref.okayama.jp/licsxp-opac/WOpacMsgNewListToTifTilDetailAction.do?tilcod=2002222282103</t>
  </si>
  <si>
    <t>https://opac.libnet.pref.okayama.jp/licsxp-opac/WOpacMsgNewListToTifTilDetailAction.do?tilcod=2002222302399</t>
  </si>
  <si>
    <t>https://opac.libnet.pref.okayama.jp/licsxp-opac/WOpacMsgNewListToTifTilDetailAction.do?tilcod=2002222314886</t>
  </si>
  <si>
    <t>https://opac.libnet.pref.okayama.jp/licsxp-opac/WOpacMsgNewListToTifTilDetailAction.do?tilcod=2002222282113</t>
  </si>
  <si>
    <t>https://opac.libnet.pref.okayama.jp/licsxp-opac/WOpacMsgNewListToTifTilDetailAction.do?tilcod=2002222331937</t>
  </si>
  <si>
    <t>https://opac.libnet.pref.okayama.jp/licsxp-opac/WOpacMsgNewListToTifTilDetailAction.do?tilcod=2002222310126</t>
  </si>
  <si>
    <t>https://opac.libnet.pref.okayama.jp/licsxp-opac/WOpacMsgNewListToTifTilDetailAction.do?tilcod=2002222294891</t>
  </si>
  <si>
    <t>https://opac.libnet.pref.okayama.jp/licsxp-opac/WOpacMsgNewListToTifTilDetailAction.do?tilcod=2002222282123</t>
  </si>
  <si>
    <t>https://opac.libnet.pref.okayama.jp/licsxp-opac/WOpacMsgNewListToTifTilDetailAction.do?tilcod=2002222282133</t>
  </si>
  <si>
    <t>https://opac.libnet.pref.okayama.jp/licsxp-opac/WOpacMsgNewListToTifTilDetailAction.do?tilcod=2002222282143</t>
  </si>
  <si>
    <t>https://opac.libnet.pref.okayama.jp/licsxp-opac/WOpacMsgNewListToTifTilDetailAction.do?tilcod=2002222332348</t>
  </si>
  <si>
    <t>https://opac.libnet.pref.okayama.jp/licsxp-opac/WOpacMsgNewListToTifTilDetailAction.do?tilcod=2002222341271</t>
  </si>
  <si>
    <t>https://opac.libnet.pref.okayama.jp/licsxp-opac/WOpacMsgNewListToTifTilDetailAction.do?tilcod=2002222335746</t>
  </si>
  <si>
    <t>https://opac.libnet.pref.okayama.jp/licsxp-opac/WOpacMsgNewListToTifTilDetailAction.do?tilcod=2002222334590</t>
  </si>
  <si>
    <t>https://opac.libnet.pref.okayama.jp/licsxp-opac/WOpacMsgNewListToTifTilDetailAction.do?tilcod=2002222334589</t>
  </si>
  <si>
    <t>https://opac.libnet.pref.okayama.jp/licsxp-opac/WOpacMsgNewListToTifTilDetailAction.do?tilcod=2002222334592</t>
  </si>
  <si>
    <t>https://opac.libnet.pref.okayama.jp/licsxp-opac/WOpacMsgNewListToTifTilDetailAction.do?tilcod=2002222334586</t>
  </si>
  <si>
    <t>https://opac.libnet.pref.okayama.jp/licsxp-opac/WOpacMsgNewListToTifTilDetailAction.do?tilcod=2002222334587</t>
  </si>
  <si>
    <t>https://opac.libnet.pref.okayama.jp/licsxp-opac/WOpacMsgNewListToTifTilDetailAction.do?tilcod=2002222334588</t>
  </si>
  <si>
    <t>https://opac.libnet.pref.okayama.jp/licsxp-opac/WOpacMsgNewListToTifTilDetailAction.do?tilcod=2002222334392</t>
  </si>
  <si>
    <t>https://opac.libnet.pref.okayama.jp/licsxp-opac/WOpacMsgNewListToTifTilDetailAction.do?tilcod=2002222334391</t>
  </si>
  <si>
    <t>https://opac.libnet.pref.okayama.jp/licsxp-opac/WOpacMsgNewListToTifTilDetailAction.do?tilcod=2002222334390</t>
  </si>
  <si>
    <t>https://opac.libnet.pref.okayama.jp/licsxp-opac/WOpacMsgNewListToTifTilDetailAction.do?tilcod=2002222332349</t>
  </si>
  <si>
    <t>https://opac.libnet.pref.okayama.jp/licsxp-opac/WOpacMsgNewListToTifTilDetailAction.do?tilcod=2002222342711</t>
  </si>
  <si>
    <t>https://opac.libnet.pref.okayama.jp/licsxp-opac/WOpacMsgNewListToTifTilDetailAction.do?tilcod=2002222301745</t>
  </si>
  <si>
    <t>https://opac.libnet.pref.okayama.jp/licsxp-opac/WOpacMsgNewListToTifTilDetailAction.do?tilcod=2002222301149</t>
  </si>
  <si>
    <t>https://opac.libnet.pref.okayama.jp/licsxp-opac/WOpacMsgNewListToTifTilDetailAction.do?tilcod=2002222332726</t>
  </si>
  <si>
    <t>https://opac.libnet.pref.okayama.jp/licsxp-opac/WOpacMsgNewListToTifTilDetailAction.do?tilcod=2002222282173</t>
  </si>
  <si>
    <t>https://opac.libnet.pref.okayama.jp/licsxp-opac/WOpacMsgNewListToTifTilDetailAction.do?tilcod=2002222282163</t>
  </si>
  <si>
    <t>https://opac.libnet.pref.okayama.jp/licsxp-opac/WOpacMsgNewListToTifTilDetailAction.do?tilcod=2002222326926</t>
  </si>
  <si>
    <t>https://opac.libnet.pref.okayama.jp/licsxp-opac/WOpacMsgNewListToTifTilDetailAction.do?tilcod=2002222292291</t>
  </si>
  <si>
    <t>https://opac.libnet.pref.okayama.jp/licsxp-opac/WOpacMsgNewListToTifTilDetailAction.do?tilcod=2002222282183</t>
  </si>
  <si>
    <t>https://opac.libnet.pref.okayama.jp/licsxp-opac/WOpacMsgNewListToTifTilDetailAction.do?tilcod=2002222300854</t>
  </si>
  <si>
    <t>https://opac.libnet.pref.okayama.jp/licsxp-opac/WOpacMsgNewListToTifTilDetailAction.do?tilcod=2002222282583</t>
  </si>
  <si>
    <t>https://opac.libnet.pref.okayama.jp/licsxp-opac/WOpacMsgNewListToTifTilDetailAction.do?tilcod=2002222292301</t>
  </si>
  <si>
    <t>https://opac.libnet.pref.okayama.jp/licsxp-opac/WOpacMsgNewListToTifTilDetailAction.do?tilcod=2002222300309</t>
  </si>
  <si>
    <t>https://opac.libnet.pref.okayama.jp/licsxp-opac/WOpacMsgNewListToTifTilDetailAction.do?tilcod=2002222307706</t>
  </si>
  <si>
    <t>https://opac.libnet.pref.okayama.jp/licsxp-opac/WOpacMsgNewListToTifTilDetailAction.do?tilcod=2002222322391</t>
  </si>
  <si>
    <t>https://opac.libnet.pref.okayama.jp/licsxp-opac/WOpacMsgNewListToTifTilDetailAction.do?tilcod=2002222282193</t>
  </si>
  <si>
    <t>https://opac.libnet.pref.okayama.jp/licsxp-opac/WOpacMsgNewListToTifTilDetailAction.do?tilcod=2002222292311</t>
  </si>
  <si>
    <t>https://opac.libnet.pref.okayama.jp/licsxp-opac/WOpacMsgNewListToTifTilDetailAction.do?tilcod=2002222282203</t>
  </si>
  <si>
    <t>https://opac.libnet.pref.okayama.jp/licsxp-opac/WOpacMsgNewListToTifTilDetailAction.do?tilcod=2002222302317</t>
  </si>
  <si>
    <t>https://opac.libnet.pref.okayama.jp/licsxp-opac/WOpacMsgNewListToTifTilDetailAction.do?tilcod=2002222319406</t>
  </si>
  <si>
    <t>https://opac.libnet.pref.okayama.jp/licsxp-opac/WOpacMsgNewListToTifTilDetailAction.do?tilcod=2002222289083</t>
  </si>
  <si>
    <t>https://opac.libnet.pref.okayama.jp/licsxp-opac/WOpacMsgNewListToTifTilDetailAction.do?tilcod=2002222282213</t>
  </si>
  <si>
    <t>https://opac.libnet.pref.okayama.jp/licsxp-opac/WOpacMsgNewListToTifTilDetailAction.do?tilcod=2002222301425</t>
  </si>
  <si>
    <t>https://opac.libnet.pref.okayama.jp/licsxp-opac/WOpacMsgNewListToTifTilDetailAction.do?tilcod=2002222300737</t>
  </si>
  <si>
    <t>https://opac.libnet.pref.okayama.jp/licsxp-opac/WOpacMsgNewListToTifTilDetailAction.do?tilcod=2002222343450</t>
  </si>
  <si>
    <t>https://opac.libnet.pref.okayama.jp/licsxp-opac/WOpacMsgNewListToTifTilDetailAction.do?tilcod=2002222320587</t>
  </si>
  <si>
    <t>https://opac.libnet.pref.okayama.jp/licsxp-opac/WOpacMsgNewListToTifTilDetailAction.do?tilcod=2002222322086</t>
  </si>
  <si>
    <t>https://opac.libnet.pref.okayama.jp/licsxp-opac/WOpacMsgNewListToTifTilDetailAction.do?tilcod=2002222281054</t>
  </si>
  <si>
    <t>https://opac.libnet.pref.okayama.jp/licsxp-opac/WOpacMsgNewListToTifTilDetailAction.do?tilcod=2002222281074</t>
  </si>
  <si>
    <t>https://opac.libnet.pref.okayama.jp/licsxp-opac/WOpacMsgNewListToTifTilDetailAction.do?tilcod=2002222338075</t>
  </si>
  <si>
    <t>https://opac.libnet.pref.okayama.jp/licsxp-opac/WOpacMsgNewListToTifTilDetailAction.do?tilcod=2002222308466</t>
  </si>
  <si>
    <t>https://opac.libnet.pref.okayama.jp/licsxp-opac/WOpacMsgNewListToTifTilDetailAction.do?tilcod=2002222282223</t>
  </si>
  <si>
    <t>https://opac.libnet.pref.okayama.jp/licsxp-opac/WOpacMsgNewListToTifTilDetailAction.do?tilcod=2002222281771</t>
  </si>
  <si>
    <t>https://opac.libnet.pref.okayama.jp/licsxp-opac/WOpacMsgNewListToTifTilDetailAction.do?tilcod=2002222282233</t>
  </si>
  <si>
    <t>https://opac.libnet.pref.okayama.jp/licsxp-opac/WOpacMsgNewListToTifTilDetailAction.do?tilcod=2002222281841</t>
  </si>
  <si>
    <t>https://opac.libnet.pref.okayama.jp/licsxp-opac/WOpacMsgNewListToTifTilDetailAction.do?tilcod=2002222292321</t>
  </si>
  <si>
    <t>https://opac.libnet.pref.okayama.jp/licsxp-opac/WOpacMsgNewListToTifTilDetailAction.do?tilcod=2002222301687</t>
  </si>
  <si>
    <t>https://opac.libnet.pref.okayama.jp/licsxp-opac/WOpacMsgNewListToTifTilDetailAction.do?tilcod=2002222329626</t>
  </si>
  <si>
    <t>https://opac.libnet.pref.okayama.jp/licsxp-opac/WOpacMsgNewListToTifTilDetailAction.do?tilcod=2002222282243</t>
  </si>
  <si>
    <t>https://opac.libnet.pref.okayama.jp/licsxp-opac/WOpacMsgNewListToTifTilDetailAction.do?tilcod=2002222289863</t>
  </si>
  <si>
    <t>https://opac.libnet.pref.okayama.jp/licsxp-opac/WOpacMsgNewListToTifTilDetailAction.do?tilcod=2002222331423</t>
  </si>
  <si>
    <t>https://opac.libnet.pref.okayama.jp/licsxp-opac/WOpacMsgNewListToTifTilDetailAction.do?tilcod=2002222282253</t>
  </si>
  <si>
    <t>https://opac.libnet.pref.okayama.jp/licsxp-opac/WOpacMsgNewListToTifTilDetailAction.do?tilcod=2002222282263</t>
  </si>
  <si>
    <t>https://opac.libnet.pref.okayama.jp/licsxp-opac/WOpacMsgNewListToTifTilDetailAction.do?tilcod=2002222334387</t>
  </si>
  <si>
    <t>https://opac.libnet.pref.okayama.jp/licsxp-opac/WOpacMsgNewListToTifTilDetailAction.do?tilcod=2002222293631</t>
  </si>
  <si>
    <t>https://opac.libnet.pref.okayama.jp/licsxp-opac/WOpacMsgNewListToTifTilDetailAction.do?tilcod=2002222281031</t>
  </si>
  <si>
    <t>https://opac.libnet.pref.okayama.jp/licsxp-opac/WOpacMsgNewListToTifTilDetailAction.do?tilcod=2002222294901</t>
  </si>
  <si>
    <t>https://opac.libnet.pref.okayama.jp/licsxp-opac/WOpacMsgNewListToTifTilDetailAction.do?tilcod=2002222281391</t>
  </si>
  <si>
    <t>https://opac.libnet.pref.okayama.jp/licsxp-opac/WOpacMsgNewListToTifTilDetailAction.do?tilcod=2002222342110</t>
  </si>
  <si>
    <t>https://opac.libnet.pref.okayama.jp/licsxp-opac/WOpacMsgNewListToTifTilDetailAction.do?tilcod=2002222293641</t>
  </si>
  <si>
    <t>https://opac.libnet.pref.okayama.jp/licsxp-opac/WOpacMsgNewListToTifTilDetailAction.do?tilcod=2002222281874</t>
  </si>
  <si>
    <t>https://opac.libnet.pref.okayama.jp/licsxp-opac/WOpacMsgNewListToTifTilDetailAction.do?tilcod=2002222336686</t>
  </si>
  <si>
    <t>https://opac.libnet.pref.okayama.jp/licsxp-opac/WOpacMsgNewListToTifTilDetailAction.do?tilcod=2002222282273</t>
  </si>
  <si>
    <t>https://opac.libnet.pref.okayama.jp/licsxp-opac/WOpacMsgNewListToTifTilDetailAction.do?tilcod=2002222282283</t>
  </si>
  <si>
    <t>https://opac.libnet.pref.okayama.jp/licsxp-opac/WOpacMsgNewListToTifTilDetailAction.do?tilcod=2002222331426</t>
  </si>
  <si>
    <t>https://opac.libnet.pref.okayama.jp/licsxp-opac/WOpacMsgNewListToTifTilDetailAction.do?tilcod=2002222342950</t>
  </si>
  <si>
    <t>https://opac.libnet.pref.okayama.jp/licsxp-opac/WOpacMsgNewListToTifTilDetailAction.do?tilcod=2002222334856</t>
  </si>
  <si>
    <t>https://opac.libnet.pref.okayama.jp/licsxp-opac/WOpacMsgNewListToTifTilDetailAction.do?tilcod=2002222292331</t>
  </si>
  <si>
    <t>https://opac.libnet.pref.okayama.jp/licsxp-opac/WOpacMsgNewListToTifTilDetailAction.do?tilcod=2002222281824</t>
  </si>
  <si>
    <t>https://opac.libnet.pref.okayama.jp/licsxp-opac/WOpacMsgNewListToTifTilDetailAction.do?tilcod=2002222282943</t>
  </si>
  <si>
    <t>https://opac.libnet.pref.okayama.jp/licsxp-opac/WOpacMsgNewListToTifTilDetailAction.do?tilcod=2002222282293</t>
  </si>
  <si>
    <t>https://opac.libnet.pref.okayama.jp/licsxp-opac/WOpacMsgNewListToTifTilDetailAction.do?tilcod=2002222314707</t>
  </si>
  <si>
    <t>https://opac.libnet.pref.okayama.jp/licsxp-opac/WOpacMsgNewListToTifTilDetailAction.do?tilcod=2002222282303</t>
  </si>
  <si>
    <t>https://opac.libnet.pref.okayama.jp/licsxp-opac/WOpacMsgNewListToTifTilDetailAction.do?tilcod=2002222301732</t>
  </si>
  <si>
    <t>https://opac.libnet.pref.okayama.jp/licsxp-opac/WOpacMsgNewListToTifTilDetailAction.do?tilcod=2002222282313</t>
  </si>
  <si>
    <t>https://opac.libnet.pref.okayama.jp/licsxp-opac/WOpacMsgNewListToTifTilDetailAction.do?tilcod=2002222294911</t>
  </si>
  <si>
    <t>https://opac.libnet.pref.okayama.jp/licsxp-opac/WOpacMsgNewListToTifTilDetailAction.do?tilcod=2002222282323</t>
  </si>
  <si>
    <t>https://opac.libnet.pref.okayama.jp/licsxp-opac/WOpacMsgNewListToTifTilDetailAction.do?tilcod=2002222282333</t>
  </si>
  <si>
    <t>https://opac.libnet.pref.okayama.jp/licsxp-opac/WOpacMsgNewListToTifTilDetailAction.do?tilcod=2002222282343</t>
  </si>
  <si>
    <t>https://opac.libnet.pref.okayama.jp/licsxp-opac/WOpacMsgNewListToTifTilDetailAction.do?tilcod=2002222302289</t>
  </si>
  <si>
    <t>https://opac.libnet.pref.okayama.jp/licsxp-opac/WOpacMsgNewListToTifTilDetailAction.do?tilcod=2002222285141</t>
  </si>
  <si>
    <t>https://opac.libnet.pref.okayama.jp/licsxp-opac/WOpacMsgNewListToTifTilDetailAction.do?tilcod=2002222302291</t>
  </si>
  <si>
    <t>https://opac.libnet.pref.okayama.jp/licsxp-opac/WOpacMsgNewListToTifTilDetailAction.do?tilcod=2002222282241</t>
  </si>
  <si>
    <t>https://opac.libnet.pref.okayama.jp/licsxp-opac/WOpacMsgNewListToTifTilDetailAction.do?tilcod=2002222294161</t>
  </si>
  <si>
    <t>https://opac.libnet.pref.okayama.jp/licsxp-opac/WOpacMsgNewListToTifTilDetailAction.do?tilcod=2002222333367</t>
  </si>
  <si>
    <t>https://opac.libnet.pref.okayama.jp/licsxp-opac/WOpacMsgNewListToTifTilDetailAction.do?tilcod=2002222282363</t>
  </si>
  <si>
    <t>https://opac.libnet.pref.okayama.jp/licsxp-opac/WOpacMsgNewListToTifTilDetailAction.do?tilcod=2002222282353</t>
  </si>
  <si>
    <t>https://opac.libnet.pref.okayama.jp/licsxp-opac/WOpacMsgNewListToTifTilDetailAction.do?tilcod=2002222341110</t>
  </si>
  <si>
    <t>https://opac.libnet.pref.okayama.jp/licsxp-opac/WOpacMsgNewListToTifTilDetailAction.do?tilcod=2002222300899</t>
  </si>
  <si>
    <t>https://opac.libnet.pref.okayama.jp/licsxp-opac/WOpacMsgNewListToTifTilDetailAction.do?tilcod=2002222282373</t>
  </si>
  <si>
    <t>https://opac.libnet.pref.okayama.jp/licsxp-opac/WOpacMsgNewListToTifTilDetailAction.do?tilcod=2002222340471</t>
  </si>
  <si>
    <t>https://opac.libnet.pref.okayama.jp/licsxp-opac/WOpacMsgNewListToTifTilDetailAction.do?tilcod=2002222331166</t>
  </si>
  <si>
    <t>https://opac.libnet.pref.okayama.jp/licsxp-opac/WOpacMsgNewListToTifTilDetailAction.do?tilcod=2002222282383</t>
  </si>
  <si>
    <t>https://opac.libnet.pref.okayama.jp/licsxp-opac/WOpacMsgNewListToTifTilDetailAction.do?tilcod=2002222301244</t>
  </si>
  <si>
    <t>https://opac.libnet.pref.okayama.jp/licsxp-opac/WOpacMsgNewListToTifTilDetailAction.do?tilcod=2002222300517</t>
  </si>
  <si>
    <t>https://opac.libnet.pref.okayama.jp/licsxp-opac/WOpacMsgNewListToTifTilDetailAction.do?tilcod=2002222301963</t>
  </si>
  <si>
    <t>https://opac.libnet.pref.okayama.jp/licsxp-opac/WOpacMsgNewListToTifTilDetailAction.do?tilcod=2002222301964</t>
  </si>
  <si>
    <t>https://opac.libnet.pref.okayama.jp/licsxp-opac/WOpacMsgNewListToTifTilDetailAction.do?tilcod=2002222301962</t>
  </si>
  <si>
    <t>https://opac.libnet.pref.okayama.jp/licsxp-opac/WOpacMsgNewListToTifTilDetailAction.do?tilcod=2002222300729</t>
  </si>
  <si>
    <t>https://opac.libnet.pref.okayama.jp/licsxp-opac/WOpacMsgNewListToTifTilDetailAction.do?tilcod=2002222301256</t>
  </si>
  <si>
    <t>https://opac.libnet.pref.okayama.jp/licsxp-opac/WOpacMsgNewListToTifTilDetailAction.do?tilcod=2002222300516</t>
  </si>
  <si>
    <t>https://opac.libnet.pref.okayama.jp/licsxp-opac/WOpacMsgNewListToTifTilDetailAction.do?tilcod=2002222288723</t>
  </si>
  <si>
    <t>https://opac.libnet.pref.okayama.jp/licsxp-opac/WOpacMsgNewListToTifTilDetailAction.do?tilcod=2002222301920</t>
  </si>
  <si>
    <t>https://opac.libnet.pref.okayama.jp/licsxp-opac/WOpacMsgNewListToTifTilDetailAction.do?tilcod=2002222319766</t>
  </si>
  <si>
    <t>https://opac.libnet.pref.okayama.jp/licsxp-opac/WOpacMsgNewListToTifTilDetailAction.do?tilcod=2002222281051</t>
  </si>
  <si>
    <t>https://opac.libnet.pref.okayama.jp/licsxp-opac/WOpacMsgNewListToTifTilDetailAction.do?tilcod=2002222301589</t>
  </si>
  <si>
    <t>https://opac.libnet.pref.okayama.jp/licsxp-opac/WOpacMsgNewListToTifTilDetailAction.do?tilcod=2002222282413</t>
  </si>
  <si>
    <t>https://opac.libnet.pref.okayama.jp/licsxp-opac/WOpacMsgNewListToTifTilDetailAction.do?tilcod=2002222301257</t>
  </si>
  <si>
    <t>https://opac.libnet.pref.okayama.jp/licsxp-opac/WOpacMsgNewListToTifTilDetailAction.do?tilcod=2002222300518</t>
  </si>
  <si>
    <t>https://opac.libnet.pref.okayama.jp/licsxp-opac/WOpacMsgNewListToTifTilDetailAction.do?tilcod=2002222301878</t>
  </si>
  <si>
    <t>https://opac.libnet.pref.okayama.jp/licsxp-opac/WOpacMsgNewListToTifTilDetailAction.do?tilcod=2002222292341</t>
  </si>
  <si>
    <t>https://opac.libnet.pref.okayama.jp/licsxp-opac/WOpacMsgNewListToTifTilDetailAction.do?tilcod=2002222300855</t>
  </si>
  <si>
    <t>https://opac.libnet.pref.okayama.jp/licsxp-opac/WOpacMsgNewListToTifTilDetailAction.do?tilcod=2002222300856</t>
  </si>
  <si>
    <t>https://opac.libnet.pref.okayama.jp/licsxp-opac/WOpacMsgNewListToTifTilDetailAction.do?tilcod=2002222328426</t>
  </si>
  <si>
    <t>https://opac.libnet.pref.okayama.jp/licsxp-opac/WOpacMsgNewListToTifTilDetailAction.do?tilcod=2002222282403</t>
  </si>
  <si>
    <t>https://opac.libnet.pref.okayama.jp/licsxp-opac/WOpacMsgNewListToTifTilDetailAction.do?tilcod=2002222282393</t>
  </si>
  <si>
    <t>https://opac.libnet.pref.okayama.jp/licsxp-opac/WOpacMsgNewListToTifTilDetailAction.do?tilcod=2002222282423</t>
  </si>
  <si>
    <t>https://opac.libnet.pref.okayama.jp/licsxp-opac/WOpacMsgNewListToTifTilDetailAction.do?tilcod=2002222294921</t>
  </si>
  <si>
    <t>https://opac.libnet.pref.okayama.jp/licsxp-opac/WOpacMsgNewListToTifTilDetailAction.do?tilcod=2002222282433</t>
  </si>
  <si>
    <t>https://opac.libnet.pref.okayama.jp/licsxp-opac/WOpacMsgNewListToTifTilDetailAction.do?tilcod=2002222289943</t>
  </si>
  <si>
    <t>https://opac.libnet.pref.okayama.jp/licsxp-opac/WOpacMsgNewListToTifTilDetailAction.do?tilcod=2002222319733</t>
  </si>
  <si>
    <t>https://opac.libnet.pref.okayama.jp/licsxp-opac/WOpacMsgNewListToTifTilDetailAction.do?tilcod=2002222282443</t>
  </si>
  <si>
    <t>https://opac.libnet.pref.okayama.jp/licsxp-opac/WOpacMsgNewListToTifTilDetailAction.do?tilcod=2002222282453</t>
  </si>
  <si>
    <t>https://opac.libnet.pref.okayama.jp/licsxp-opac/WOpacMsgNewListToTifTilDetailAction.do?tilcod=2002222332770</t>
  </si>
  <si>
    <t>https://opac.libnet.pref.okayama.jp/licsxp-opac/WOpacMsgNewListToTifTilDetailAction.do?tilcod=2002222282463</t>
  </si>
  <si>
    <t>https://opac.libnet.pref.okayama.jp/licsxp-opac/WOpacMsgNewListToTifTilDetailAction.do?tilcod=2002222282473</t>
  </si>
  <si>
    <t>https://opac.libnet.pref.okayama.jp/licsxp-opac/WOpacMsgNewListToTifTilDetailAction.do?tilcod=2002222302340</t>
  </si>
  <si>
    <t>https://opac.libnet.pref.okayama.jp/licsxp-opac/WOpacMsgNewListToTifTilDetailAction.do?tilcod=2002222330587</t>
  </si>
  <si>
    <t>https://opac.libnet.pref.okayama.jp/licsxp-opac/WOpacMsgNewListToTifTilDetailAction.do?tilcod=2002222293051</t>
  </si>
  <si>
    <t>https://opac.libnet.pref.okayama.jp/licsxp-opac/WOpacMsgNewListToTifTilDetailAction.do?tilcod=2002222327006</t>
  </si>
  <si>
    <t>https://opac.libnet.pref.okayama.jp/licsxp-opac/WOpacMsgNewListToTifTilDetailAction.do?tilcod=2002222285741</t>
  </si>
  <si>
    <t>https://opac.libnet.pref.okayama.jp/licsxp-opac/WOpacMsgNewListToTifTilDetailAction.do?tilcod=2002222319875</t>
  </si>
  <si>
    <t>https://opac.libnet.pref.okayama.jp/licsxp-opac/WOpacMsgNewListToTifTilDetailAction.do?tilcod=2002222328386</t>
  </si>
  <si>
    <t>https://opac.libnet.pref.okayama.jp/licsxp-opac/WOpacMsgNewListToTifTilDetailAction.do?tilcod=2002222294931</t>
  </si>
  <si>
    <t>https://opac.libnet.pref.okayama.jp/licsxp-opac/WOpacMsgNewListToTifTilDetailAction.do?tilcod=2002222284581</t>
  </si>
  <si>
    <t>https://opac.libnet.pref.okayama.jp/licsxp-opac/WOpacMsgNewListToTifTilDetailAction.do?tilcod=2002222336967</t>
  </si>
  <si>
    <t>https://opac.libnet.pref.okayama.jp/licsxp-opac/WOpacMsgNewListToTifTilDetailAction.do?tilcod=2002222322408</t>
  </si>
  <si>
    <t>https://opac.libnet.pref.okayama.jp/licsxp-opac/WOpacMsgNewListToTifTilDetailAction.do?tilcod=2002222282483</t>
  </si>
  <si>
    <t>https://opac.libnet.pref.okayama.jp/licsxp-opac/WOpacMsgNewListToTifTilDetailAction.do?tilcod=2002222282911</t>
  </si>
  <si>
    <t>https://opac.libnet.pref.okayama.jp/licsxp-opac/WOpacMsgNewListToTifTilDetailAction.do?tilcod=2002222338110</t>
  </si>
  <si>
    <t>https://opac.libnet.pref.okayama.jp/licsxp-opac/WOpacMsgNewListToTifTilDetailAction.do?tilcod=2002222282041</t>
  </si>
  <si>
    <t>https://opac.libnet.pref.okayama.jp/licsxp-opac/WOpacMsgNewListToTifTilDetailAction.do?tilcod=2002222300422</t>
  </si>
  <si>
    <t>https://opac.libnet.pref.okayama.jp/licsxp-opac/WOpacMsgNewListToTifTilDetailAction.do?tilcod=2002222282493</t>
  </si>
  <si>
    <t>https://opac.libnet.pref.okayama.jp/licsxp-opac/WOpacMsgNewListToTifTilDetailAction.do?tilcod=2002222282503</t>
  </si>
  <si>
    <t>https://opac.libnet.pref.okayama.jp/licsxp-opac/WOpacMsgNewListToTifTilDetailAction.do?tilcod=2002222289833</t>
  </si>
  <si>
    <t>https://opac.libnet.pref.okayama.jp/licsxp-opac/WOpacMsgNewListToTifTilDetailAction.do?tilcod=2002222344014</t>
  </si>
  <si>
    <t>https://opac.libnet.pref.okayama.jp/licsxp-opac/WOpacMsgNewListToTifTilDetailAction.do?tilcod=2002222301797</t>
  </si>
  <si>
    <t>https://opac.libnet.pref.okayama.jp/licsxp-opac/WOpacMsgNewListToTifTilDetailAction.do?tilcod=2002222301384</t>
  </si>
  <si>
    <t>https://opac.libnet.pref.okayama.jp/licsxp-opac/WOpacMsgNewListToTifTilDetailAction.do?tilcod=2002222286663</t>
  </si>
  <si>
    <t>https://opac.libnet.pref.okayama.jp/licsxp-opac/WOpacMsgNewListToTifTilDetailAction.do?tilcod=2002222284601</t>
  </si>
  <si>
    <t>https://opac.libnet.pref.okayama.jp/licsxp-opac/WOpacMsgNewListToTifTilDetailAction.do?tilcod=2002222300191</t>
  </si>
  <si>
    <t>https://opac.libnet.pref.okayama.jp/licsxp-opac/WOpacMsgNewListToTifTilDetailAction.do?tilcod=2002222343630</t>
  </si>
  <si>
    <t>https://opac.libnet.pref.okayama.jp/licsxp-opac/WOpacMsgNewListToTifTilDetailAction.do?tilcod=2002222301583</t>
  </si>
  <si>
    <t>https://opac.libnet.pref.okayama.jp/licsxp-opac/WOpacMsgNewListToTifTilDetailAction.do?tilcod=2002222301873</t>
  </si>
  <si>
    <t>https://opac.libnet.pref.okayama.jp/licsxp-opac/WOpacMsgNewListToTifTilDetailAction.do?tilcod=2002222301288</t>
  </si>
  <si>
    <t>https://opac.libnet.pref.okayama.jp/licsxp-opac/WOpacMsgNewListToTifTilDetailAction.do?tilcod=2002222300546</t>
  </si>
  <si>
    <t>https://opac.libnet.pref.okayama.jp/licsxp-opac/WOpacMsgNewListToTifTilDetailAction.do?tilcod=2002222335906</t>
  </si>
  <si>
    <t>https://opac.libnet.pref.okayama.jp/licsxp-opac/WOpacMsgNewListToTifTilDetailAction.do?tilcod=2002222301973</t>
  </si>
  <si>
    <t>https://opac.libnet.pref.okayama.jp/licsxp-opac/WOpacMsgNewListToTifTilDetailAction.do?tilcod=2002222301162</t>
  </si>
  <si>
    <t>https://opac.libnet.pref.okayama.jp/licsxp-opac/WOpacMsgNewListToTifTilDetailAction.do?tilcod=2002222282513</t>
  </si>
  <si>
    <t>https://opac.libnet.pref.okayama.jp/licsxp-opac/WOpacMsgNewListToTifTilDetailAction.do?tilcod=2002222301283</t>
  </si>
  <si>
    <t>https://opac.libnet.pref.okayama.jp/licsxp-opac/WOpacMsgNewListToTifTilDetailAction.do?tilcod=2002222311966</t>
  </si>
  <si>
    <t>https://opac.libnet.pref.okayama.jp/licsxp-opac/WOpacMsgNewListToTifTilDetailAction.do?tilcod=2002222300543</t>
  </si>
  <si>
    <t>https://opac.libnet.pref.okayama.jp/licsxp-opac/WOpacMsgNewListToTifTilDetailAction.do?tilcod=2002222315846</t>
  </si>
  <si>
    <t>https://opac.libnet.pref.okayama.jp/licsxp-opac/WOpacMsgNewListToTifTilDetailAction.do?tilcod=2002222315847</t>
  </si>
  <si>
    <t>https://opac.libnet.pref.okayama.jp/licsxp-opac/WOpacMsgNewListToTifTilDetailAction.do?tilcod=2002222301800</t>
  </si>
  <si>
    <t>https://opac.libnet.pref.okayama.jp/licsxp-opac/WOpacMsgNewListToTifTilDetailAction.do?tilcod=2002222334071</t>
  </si>
  <si>
    <t>https://opac.libnet.pref.okayama.jp/licsxp-opac/WOpacMsgNewListToTifTilDetailAction.do?tilcod=2002222281894</t>
  </si>
  <si>
    <t>https://opac.libnet.pref.okayama.jp/licsxp-opac/WOpacMsgNewListToTifTilDetailAction.do?tilcod=2002222334648</t>
  </si>
  <si>
    <t>https://opac.libnet.pref.okayama.jp/licsxp-opac/WOpacMsgNewListToTifTilDetailAction.do?tilcod=2002222282801</t>
  </si>
  <si>
    <t>https://opac.libnet.pref.okayama.jp/licsxp-opac/WOpacMsgNewListToTifTilDetailAction.do?tilcod=2002222282523</t>
  </si>
  <si>
    <t>https://opac.libnet.pref.okayama.jp/licsxp-opac/WOpacMsgNewListToTifTilDetailAction.do?tilcod=2002222301828</t>
  </si>
  <si>
    <t>https://opac.libnet.pref.okayama.jp/licsxp-opac/WOpacMsgNewListToTifTilDetailAction.do?tilcod=2002222302324</t>
  </si>
  <si>
    <t>https://opac.libnet.pref.okayama.jp/licsxp-opac/WOpacMsgNewListToTifTilDetailAction.do?tilcod=2002222301187</t>
  </si>
  <si>
    <t>https://opac.libnet.pref.okayama.jp/licsxp-opac/WOpacMsgNewListToTifTilDetailAction.do?tilcod=2002222300533</t>
  </si>
  <si>
    <t>https://opac.libnet.pref.okayama.jp/licsxp-opac/WOpacMsgNewListToTifTilDetailAction.do?tilcod=2002222301975</t>
  </si>
  <si>
    <t>https://opac.libnet.pref.okayama.jp/licsxp-opac/WOpacMsgNewListToTifTilDetailAction.do?tilcod=2002222336668</t>
  </si>
  <si>
    <t>https://opac.libnet.pref.okayama.jp/licsxp-opac/WOpacMsgNewListToTifTilDetailAction.do?tilcod=2002222333566</t>
  </si>
  <si>
    <t>https://opac.libnet.pref.okayama.jp/licsxp-opac/WOpacMsgNewListToTifTilDetailAction.do?tilcod=2002222289893</t>
  </si>
  <si>
    <t>https://opac.libnet.pref.okayama.jp/licsxp-opac/WOpacMsgNewListToTifTilDetailAction.do?tilcod=2002222282533</t>
  </si>
  <si>
    <t>https://opac.libnet.pref.okayama.jp/licsxp-opac/WOpacMsgNewListToTifTilDetailAction.do?tilcod=2002222339990</t>
  </si>
  <si>
    <t>https://opac.libnet.pref.okayama.jp/licsxp-opac/WOpacMsgNewListToTifTilDetailAction.do?tilcod=2002222300743</t>
  </si>
  <si>
    <t>https://opac.libnet.pref.okayama.jp/licsxp-opac/WOpacMsgNewListToTifTilDetailAction.do?tilcod=2002222284963</t>
  </si>
  <si>
    <t>https://opac.libnet.pref.okayama.jp/licsxp-opac/WOpacMsgNewListToTifTilDetailAction.do?tilcod=2002222291211</t>
  </si>
  <si>
    <t>https://opac.libnet.pref.okayama.jp/licsxp-opac/WOpacMsgNewListToTifTilDetailAction.do?tilcod=2002222282553</t>
  </si>
  <si>
    <t>https://opac.libnet.pref.okayama.jp/licsxp-opac/WOpacMsgNewListToTifTilDetailAction.do?tilcod=2002222284491</t>
  </si>
  <si>
    <t>https://opac.libnet.pref.okayama.jp/licsxp-opac/WOpacMsgNewListToTifTilDetailAction.do?tilcod=2002222285271</t>
  </si>
  <si>
    <t>https://opac.libnet.pref.okayama.jp/licsxp-opac/WOpacMsgNewListToTifTilDetailAction.do?tilcod=2002222280921</t>
  </si>
  <si>
    <t>https://opac.libnet.pref.okayama.jp/licsxp-opac/WOpacMsgNewListToTifTilDetailAction.do?tilcod=2002222293581</t>
  </si>
  <si>
    <t>https://opac.libnet.pref.okayama.jp/licsxp-opac/WOpacMsgNewListToTifTilDetailAction.do?tilcod=2002222301261</t>
  </si>
  <si>
    <t>https://opac.libnet.pref.okayama.jp/licsxp-opac/WOpacMsgNewListToTifTilDetailAction.do?tilcod=2002222300537</t>
  </si>
  <si>
    <t>https://opac.libnet.pref.okayama.jp/licsxp-opac/WOpacMsgNewListToTifTilDetailAction.do?tilcod=2002222301885</t>
  </si>
  <si>
    <t>https://opac.libnet.pref.okayama.jp/licsxp-opac/WOpacMsgNewListToTifTilDetailAction.do?tilcod=2002222301858</t>
  </si>
  <si>
    <t>https://opac.libnet.pref.okayama.jp/licsxp-opac/WOpacMsgNewListToTifTilDetailAction.do?tilcod=2002222301935</t>
  </si>
  <si>
    <t>https://opac.libnet.pref.okayama.jp/licsxp-opac/WOpacMsgNewListToTifTilDetailAction.do?tilcod=2002222301842</t>
  </si>
  <si>
    <t>https://opac.libnet.pref.okayama.jp/licsxp-opac/WOpacMsgNewListToTifTilDetailAction.do?tilcod=2002222322367</t>
  </si>
  <si>
    <t>https://opac.libnet.pref.okayama.jp/licsxp-opac/WOpacMsgNewListToTifTilDetailAction.do?tilcod=2002222302257</t>
  </si>
  <si>
    <t>https://opac.libnet.pref.okayama.jp/licsxp-opac/WOpacMsgNewListToTifTilDetailAction.do?tilcod=2002222281251</t>
  </si>
  <si>
    <t>https://opac.libnet.pref.okayama.jp/licsxp-opac/WOpacMsgNewListToTifTilDetailAction.do?tilcod=2002222281261</t>
  </si>
  <si>
    <t>https://opac.libnet.pref.okayama.jp/licsxp-opac/WOpacMsgNewListToTifTilDetailAction.do?tilcod=2002222322368</t>
  </si>
  <si>
    <t>https://opac.libnet.pref.okayama.jp/licsxp-opac/WOpacMsgNewListToTifTilDetailAction.do?tilcod=2002222281321</t>
  </si>
  <si>
    <t>https://opac.libnet.pref.okayama.jp/licsxp-opac/WOpacMsgNewListToTifTilDetailAction.do?tilcod=2002222301470</t>
  </si>
  <si>
    <t>https://opac.libnet.pref.okayama.jp/licsxp-opac/WOpacMsgNewListToTifTilDetailAction.do?tilcod=2002222301913</t>
  </si>
  <si>
    <t>https://opac.libnet.pref.okayama.jp/licsxp-opac/WOpacMsgNewListToTifTilDetailAction.do?tilcod=2002222282563</t>
  </si>
  <si>
    <t>https://opac.libnet.pref.okayama.jp/licsxp-opac/WOpacMsgNewListToTifTilDetailAction.do?tilcod=2002222301916</t>
  </si>
  <si>
    <t>https://opac.libnet.pref.okayama.jp/licsxp-opac/WOpacMsgNewListToTifTilDetailAction.do?tilcod=2002222334074</t>
  </si>
  <si>
    <t>https://opac.libnet.pref.okayama.jp/licsxp-opac/WOpacMsgNewListToTifTilDetailAction.do?tilcod=2002222292351</t>
  </si>
  <si>
    <t>https://opac.libnet.pref.okayama.jp/licsxp-opac/WOpacMsgNewListToTifTilDetailAction.do?tilcod=2002222282573</t>
  </si>
  <si>
    <t>https://opac.libnet.pref.okayama.jp/licsxp-opac/WOpacMsgNewListToTifTilDetailAction.do?tilcod=2002222302064</t>
  </si>
  <si>
    <t>https://opac.libnet.pref.okayama.jp/licsxp-opac/WOpacMsgNewListToTifTilDetailAction.do?tilcod=2002222289843</t>
  </si>
  <si>
    <t>https://opac.libnet.pref.okayama.jp/licsxp-opac/WOpacMsgNewListToTifTilDetailAction.do?tilcod=2002222282593</t>
  </si>
  <si>
    <t>https://opac.libnet.pref.okayama.jp/licsxp-opac/WOpacMsgNewListToTifTilDetailAction.do?tilcod=2002222335126</t>
  </si>
  <si>
    <t>https://opac.libnet.pref.okayama.jp/licsxp-opac/WOpacMsgNewListToTifTilDetailAction.do?tilcod=2002222326966</t>
  </si>
  <si>
    <t>https://opac.libnet.pref.okayama.jp/licsxp-opac/WOpacMsgNewListToTifTilDetailAction.do?tilcod=2002222300800</t>
  </si>
  <si>
    <t>https://opac.libnet.pref.okayama.jp/licsxp-opac/WOpacMsgNewListToTifTilDetailAction.do?tilcod=2002222332347</t>
  </si>
  <si>
    <t>https://opac.libnet.pref.okayama.jp/licsxp-opac/WOpacMsgNewListToTifTilDetailAction.do?tilcod=2002222282603</t>
  </si>
  <si>
    <t>https://opac.libnet.pref.okayama.jp/licsxp-opac/WOpacMsgNewListToTifTilDetailAction.do?tilcod=2002222282613</t>
  </si>
  <si>
    <t>https://opac.libnet.pref.okayama.jp/licsxp-opac/WOpacMsgNewListToTifTilDetailAction.do?tilcod=2002222282623</t>
  </si>
  <si>
    <t>https://opac.libnet.pref.okayama.jp/licsxp-opac/WOpacMsgNewListToTifTilDetailAction.do?tilcod=2002222282643</t>
  </si>
  <si>
    <t>https://opac.libnet.pref.okayama.jp/licsxp-opac/WOpacMsgNewListToTifTilDetailAction.do?tilcod=2002222282653</t>
  </si>
  <si>
    <t>https://opac.libnet.pref.okayama.jp/licsxp-opac/WOpacMsgNewListToTifTilDetailAction.do?tilcod=2002222301226</t>
  </si>
  <si>
    <t>https://opac.libnet.pref.okayama.jp/licsxp-opac/WOpacMsgNewListToTifTilDetailAction.do?tilcod=2002222300542</t>
  </si>
  <si>
    <t>https://opac.libnet.pref.okayama.jp/licsxp-opac/WOpacMsgNewListToTifTilDetailAction.do?tilcod=2002222282633</t>
  </si>
  <si>
    <t>https://opac.libnet.pref.okayama.jp/licsxp-opac/WOpacMsgNewListToTifTilDetailAction.do?tilcod=2002222339670</t>
  </si>
  <si>
    <t>https://opac.libnet.pref.okayama.jp/licsxp-opac/WOpacMsgNewListToTifTilDetailAction.do?tilcod=2002222302355</t>
  </si>
  <si>
    <t>https://opac.libnet.pref.okayama.jp/licsxp-opac/WOpacMsgNewListToTifTilDetailAction.do?tilcod=2002222302357</t>
  </si>
  <si>
    <t>https://opac.libnet.pref.okayama.jp/licsxp-opac/WOpacMsgNewListToTifTilDetailAction.do?tilcod=2002222302356</t>
  </si>
  <si>
    <t>https://opac.libnet.pref.okayama.jp/licsxp-opac/WOpacMsgNewListToTifTilDetailAction.do?tilcod=2002222281394</t>
  </si>
  <si>
    <t>https://opac.libnet.pref.okayama.jp/licsxp-opac/WOpacMsgNewListToTifTilDetailAction.do?tilcod=2002222301272</t>
  </si>
  <si>
    <t>https://opac.libnet.pref.okayama.jp/licsxp-opac/WOpacMsgNewListToTifTilDetailAction.do?tilcod=2002222300578</t>
  </si>
  <si>
    <t>https://opac.libnet.pref.okayama.jp/licsxp-opac/WOpacMsgNewListToTifTilDetailAction.do?tilcod=2002222311911</t>
  </si>
  <si>
    <t>https://opac.libnet.pref.okayama.jp/licsxp-opac/WOpacMsgNewListToTifTilDetailAction.do?tilcod=2002222288283</t>
  </si>
  <si>
    <t>https://opac.libnet.pref.okayama.jp/licsxp-opac/WOpacMsgNewListToTifTilDetailAction.do?tilcod=2002222281404</t>
  </si>
  <si>
    <t>https://opac.libnet.pref.okayama.jp/licsxp-opac/WOpacMsgNewListToTifTilDetailAction.do?tilcod=2002222289683</t>
  </si>
  <si>
    <t>https://opac.libnet.pref.okayama.jp/licsxp-opac/WOpacMsgNewListToTifTilDetailAction.do?tilcod=2002222294941</t>
  </si>
  <si>
    <t>https://opac.libnet.pref.okayama.jp/licsxp-opac/WOpacMsgNewListToTifTilDetailAction.do?tilcod=2002222328387</t>
  </si>
  <si>
    <t>https://opac.libnet.pref.okayama.jp/licsxp-opac/WOpacMsgNewListToTifTilDetailAction.do?tilcod=2002222307526</t>
  </si>
  <si>
    <t>https://opac.libnet.pref.okayama.jp/licsxp-opac/WOpacMsgNewListToTifTilDetailAction.do?tilcod=2002222281131</t>
  </si>
  <si>
    <t>https://opac.libnet.pref.okayama.jp/licsxp-opac/WOpacMsgNewListToTifTilDetailAction.do?tilcod=2002222282663</t>
  </si>
  <si>
    <t>https://opac.libnet.pref.okayama.jp/licsxp-opac/WOpacMsgNewListToTifTilDetailAction.do?tilcod=2002222301063</t>
  </si>
  <si>
    <t>https://opac.libnet.pref.okayama.jp/licsxp-opac/WOpacMsgNewListToTifTilDetailAction.do?tilcod=2002222343172</t>
  </si>
  <si>
    <t>https://opac.libnet.pref.okayama.jp/licsxp-opac/WOpacMsgNewListToTifTilDetailAction.do?tilcod=2002222282673</t>
  </si>
  <si>
    <t>https://opac.libnet.pref.okayama.jp/licsxp-opac/WOpacMsgNewListToTifTilDetailAction.do?tilcod=2002222282683</t>
  </si>
  <si>
    <t>https://opac.libnet.pref.okayama.jp/licsxp-opac/WOpacMsgNewListToTifTilDetailAction.do?tilcod=2002222294091</t>
  </si>
  <si>
    <t>https://opac.libnet.pref.okayama.jp/licsxp-opac/WOpacMsgNewListToTifTilDetailAction.do?tilcod=2002222281464</t>
  </si>
  <si>
    <t>https://opac.libnet.pref.okayama.jp/licsxp-opac/WOpacMsgNewListToTifTilDetailAction.do?tilcod=2002222325346</t>
  </si>
  <si>
    <t>https://opac.libnet.pref.okayama.jp/licsxp-opac/WOpacMsgNewListToTifTilDetailAction.do?tilcod=2002222300448</t>
  </si>
  <si>
    <t>https://opac.libnet.pref.okayama.jp/licsxp-opac/WOpacMsgNewListToTifTilDetailAction.do?tilcod=2002222282693</t>
  </si>
  <si>
    <t>https://opac.libnet.pref.okayama.jp/licsxp-opac/WOpacMsgNewListToTifTilDetailAction.do?tilcod=2002222300857</t>
  </si>
  <si>
    <t>https://opac.libnet.pref.okayama.jp/licsxp-opac/WOpacMsgNewListToTifTilDetailAction.do?tilcod=2002222317186</t>
  </si>
  <si>
    <t>https://opac.libnet.pref.okayama.jp/licsxp-opac/WOpacMsgNewListToTifTilDetailAction.do?tilcod=2002222282703</t>
  </si>
  <si>
    <t>https://opac.libnet.pref.okayama.jp/licsxp-opac/WOpacMsgNewListToTifTilDetailAction.do?tilcod=2002222336977</t>
  </si>
  <si>
    <t>https://opac.libnet.pref.okayama.jp/licsxp-opac/WOpacMsgNewListToTifTilDetailAction.do?tilcod=2002222292381</t>
  </si>
  <si>
    <t>https://opac.libnet.pref.okayama.jp/licsxp-opac/WOpacMsgNewListToTifTilDetailAction.do?tilcod=2002222302404</t>
  </si>
  <si>
    <t>https://opac.libnet.pref.okayama.jp/licsxp-opac/WOpacMsgNewListToTifTilDetailAction.do?tilcod=2002222300858</t>
  </si>
  <si>
    <t>https://opac.libnet.pref.okayama.jp/licsxp-opac/WOpacMsgNewListToTifTilDetailAction.do?tilcod=2002222302326</t>
  </si>
  <si>
    <t>https://opac.libnet.pref.okayama.jp/licsxp-opac/WOpacMsgNewListToTifTilDetailAction.do?tilcod=2002222282411</t>
  </si>
  <si>
    <t>https://opac.libnet.pref.okayama.jp/licsxp-opac/WOpacMsgNewListToTifTilDetailAction.do?tilcod=2002222282713</t>
  </si>
  <si>
    <t>https://opac.libnet.pref.okayama.jp/licsxp-opac/WOpacMsgNewListToTifTilDetailAction.do?tilcod=2002222282723</t>
  </si>
  <si>
    <t>https://opac.libnet.pref.okayama.jp/licsxp-opac/WOpacMsgNewListToTifTilDetailAction.do?tilcod=2002222282743</t>
  </si>
  <si>
    <t>https://opac.libnet.pref.okayama.jp/licsxp-opac/WOpacMsgNewListToTifTilDetailAction.do?tilcod=2002222307273</t>
  </si>
  <si>
    <t>https://opac.libnet.pref.okayama.jp/licsxp-opac/WOpacMsgNewListToTifTilDetailAction.do?tilcod=2002222307127</t>
  </si>
  <si>
    <t>https://opac.libnet.pref.okayama.jp/licsxp-opac/WOpacMsgNewListToTifTilDetailAction.do?tilcod=2002222280491</t>
  </si>
  <si>
    <t>https://opac.libnet.pref.okayama.jp/licsxp-opac/WOpacMsgNewListToTifTilDetailAction.do?tilcod=2002222282753</t>
  </si>
  <si>
    <t>https://opac.libnet.pref.okayama.jp/licsxp-opac/WOpacMsgNewListToTifTilDetailAction.do?tilcod=2002222282763</t>
  </si>
  <si>
    <t>https://opac.libnet.pref.okayama.jp/licsxp-opac/WOpacMsgNewListToTifTilDetailAction.do?tilcod=2002222282773</t>
  </si>
  <si>
    <t>https://opac.libnet.pref.okayama.jp/licsxp-opac/WOpacMsgNewListToTifTilDetailAction.do?tilcod=2002222327286</t>
  </si>
  <si>
    <t>https://opac.libnet.pref.okayama.jp/licsxp-opac/WOpacMsgNewListToTifTilDetailAction.do?tilcod=2002222302429</t>
  </si>
  <si>
    <t>https://opac.libnet.pref.okayama.jp/licsxp-opac/WOpacMsgNewListToTifTilDetailAction.do?tilcod=2002222302081</t>
  </si>
  <si>
    <t>https://opac.libnet.pref.okayama.jp/licsxp-opac/WOpacMsgNewListToTifTilDetailAction.do?tilcod=2002222282783</t>
  </si>
  <si>
    <t>https://opac.libnet.pref.okayama.jp/licsxp-opac/WOpacMsgNewListToTifTilDetailAction.do?tilcod=2002222292361</t>
  </si>
  <si>
    <t>https://opac.libnet.pref.okayama.jp/licsxp-opac/WOpacMsgNewListToTifTilDetailAction.do?tilcod=2002222333369</t>
  </si>
  <si>
    <t>https://opac.libnet.pref.okayama.jp/licsxp-opac/WOpacMsgNewListToTifTilDetailAction.do?tilcod=2002222301163</t>
  </si>
  <si>
    <t>https://opac.libnet.pref.okayama.jp/licsxp-opac/WOpacMsgNewListToTifTilDetailAction.do?tilcod=2002222282833</t>
  </si>
  <si>
    <t>https://opac.libnet.pref.okayama.jp/licsxp-opac/WOpacMsgNewListToTifTilDetailAction.do?tilcod=2002222300859</t>
  </si>
  <si>
    <t>https://opac.libnet.pref.okayama.jp/licsxp-opac/WOpacMsgNewListToTifTilDetailAction.do?tilcod=2002222282793</t>
  </si>
  <si>
    <t>https://opac.libnet.pref.okayama.jp/licsxp-opac/WOpacMsgNewListToTifTilDetailAction.do?tilcod=2002222306723</t>
  </si>
  <si>
    <t>https://opac.libnet.pref.okayama.jp/licsxp-opac/WOpacMsgNewListToTifTilDetailAction.do?tilcod=2002222301205</t>
  </si>
  <si>
    <t>https://opac.libnet.pref.okayama.jp/licsxp-opac/WOpacMsgNewListToTifTilDetailAction.do?tilcod=2002222300569</t>
  </si>
  <si>
    <t>https://opac.libnet.pref.okayama.jp/licsxp-opac/WOpacMsgNewListToTifTilDetailAction.do?tilcod=2002222328462</t>
  </si>
  <si>
    <t>https://opac.libnet.pref.okayama.jp/licsxp-opac/WOpacMsgNewListToTifTilDetailAction.do?tilcod=2002222302025</t>
  </si>
  <si>
    <t>https://opac.libnet.pref.okayama.jp/licsxp-opac/WOpacMsgNewListToTifTilDetailAction.do?tilcod=2002222287473</t>
  </si>
  <si>
    <t>https://opac.libnet.pref.okayama.jp/licsxp-opac/WOpacMsgNewListToTifTilDetailAction.do?tilcod=2002222282843</t>
  </si>
  <si>
    <t>https://opac.libnet.pref.okayama.jp/licsxp-opac/WOpacMsgNewListToTifTilDetailAction.do?tilcod=2002222282823</t>
  </si>
  <si>
    <t>https://opac.libnet.pref.okayama.jp/licsxp-opac/WOpacMsgNewListToTifTilDetailAction.do?tilcod=2002222282813</t>
  </si>
  <si>
    <t>https://opac.libnet.pref.okayama.jp/licsxp-opac/WOpacMsgNewListToTifTilDetailAction.do?tilcod=2002222282803</t>
  </si>
  <si>
    <t>https://opac.libnet.pref.okayama.jp/licsxp-opac/WOpacMsgNewListToTifTilDetailAction.do?tilcod=2002222301769</t>
  </si>
  <si>
    <t>https://opac.libnet.pref.okayama.jp/licsxp-opac/WOpacMsgNewListToTifTilDetailAction.do?tilcod=2002222301912</t>
  </si>
  <si>
    <t>https://opac.libnet.pref.okayama.jp/licsxp-opac/WOpacMsgNewListToTifTilDetailAction.do?tilcod=2002222309766</t>
  </si>
  <si>
    <t>https://opac.libnet.pref.okayama.jp/licsxp-opac/WOpacMsgNewListToTifTilDetailAction.do?tilcod=2002222334051</t>
  </si>
  <si>
    <t>https://opac.libnet.pref.okayama.jp/licsxp-opac/WOpacMsgNewListToTifTilDetailAction.do?tilcod=2002222301101</t>
  </si>
  <si>
    <t>https://opac.libnet.pref.okayama.jp/licsxp-opac/WOpacMsgNewListToTifTilDetailAction.do?tilcod=2002222284591</t>
  </si>
  <si>
    <t>https://opac.libnet.pref.okayama.jp/licsxp-opac/WOpacMsgNewListToTifTilDetailAction.do?tilcod=2002222319872</t>
  </si>
  <si>
    <t>https://opac.libnet.pref.okayama.jp/licsxp-opac/WOpacMsgNewListToTifTilDetailAction.do?tilcod=2002222289301</t>
  </si>
  <si>
    <t>https://opac.libnet.pref.okayama.jp/licsxp-opac/WOpacMsgNewListToTifTilDetailAction.do?tilcod=2002222289241</t>
  </si>
  <si>
    <t>https://opac.libnet.pref.okayama.jp/licsxp-opac/WOpacMsgNewListToTifTilDetailAction.do?tilcod=2002222287063</t>
  </si>
  <si>
    <t>https://opac.libnet.pref.okayama.jp/licsxp-opac/WOpacMsgNewListToTifTilDetailAction.do?tilcod=2002222344072</t>
  </si>
  <si>
    <t>https://opac.libnet.pref.okayama.jp/licsxp-opac/WOpacMsgNewListToTifTilDetailAction.do?tilcod=2002222289251</t>
  </si>
  <si>
    <t>https://opac.libnet.pref.okayama.jp/licsxp-opac/WOpacMsgNewListToTifTilDetailAction.do?tilcod=2002222292371</t>
  </si>
  <si>
    <t>https://opac.libnet.pref.okayama.jp/licsxp-opac/WOpacMsgNewListToTifTilDetailAction.do?tilcod=2002222289261</t>
  </si>
  <si>
    <t>https://opac.libnet.pref.okayama.jp/licsxp-opac/WOpacMsgNewListToTifTilDetailAction.do?tilcod=2002222289271</t>
  </si>
  <si>
    <t>https://opac.libnet.pref.okayama.jp/licsxp-opac/WOpacMsgNewListToTifTilDetailAction.do?tilcod=2002222289291</t>
  </si>
  <si>
    <t>https://opac.libnet.pref.okayama.jp/licsxp-opac/WOpacMsgNewListToTifTilDetailAction.do?tilcod=2002222289281</t>
  </si>
  <si>
    <t>https://opac.libnet.pref.okayama.jp/licsxp-opac/WOpacMsgNewListToTifTilDetailAction.do?tilcod=2002222340931</t>
  </si>
  <si>
    <t>https://opac.libnet.pref.okayama.jp/licsxp-opac/WOpacMsgNewListToTifTilDetailAction.do?tilcod=2002222285941</t>
  </si>
  <si>
    <t>https://opac.libnet.pref.okayama.jp/licsxp-opac/WOpacMsgNewListToTifTilDetailAction.do?tilcod=2002222311989</t>
  </si>
  <si>
    <t>https://opac.libnet.pref.okayama.jp/licsxp-opac/WOpacMsgNewListToTifTilDetailAction.do?tilcod=2002222341372</t>
  </si>
  <si>
    <t>https://opac.libnet.pref.okayama.jp/licsxp-opac/WOpacMsgNewListToTifTilDetailAction.do?tilcod=2002222344050</t>
  </si>
  <si>
    <t>https://opac.libnet.pref.okayama.jp/licsxp-opac/WOpacMsgNewListToTifTilDetailAction.do?tilcod=2002222334566</t>
  </si>
  <si>
    <t>https://opac.libnet.pref.okayama.jp/licsxp-opac/WOpacMsgNewListToTifTilDetailAction.do?tilcod=2002222321867</t>
  </si>
  <si>
    <t>https://opac.libnet.pref.okayama.jp/licsxp-opac/WOpacMsgNewListToTifTilDetailAction.do?tilcod=2002222324786</t>
  </si>
  <si>
    <t>https://opac.libnet.pref.okayama.jp/licsxp-opac/WOpacMsgNewListToTifTilDetailAction.do?tilcod=2002222285953</t>
  </si>
  <si>
    <t>https://opac.libnet.pref.okayama.jp/licsxp-opac/WOpacMsgNewListToTifTilDetailAction.do?tilcod=2002222289311</t>
  </si>
  <si>
    <t>https://opac.libnet.pref.okayama.jp/licsxp-opac/WOpacMsgNewListToTifTilDetailAction.do?tilcod=2002222291221</t>
  </si>
  <si>
    <t>https://opac.libnet.pref.okayama.jp/licsxp-opac/WOpacMsgNewListToTifTilDetailAction.do?tilcod=2002222281044</t>
  </si>
  <si>
    <t>https://opac.libnet.pref.okayama.jp/licsxp-opac/WOpacMsgNewListToTifTilDetailAction.do?tilcod=2002222289321</t>
  </si>
  <si>
    <t>https://opac.libnet.pref.okayama.jp/licsxp-opac/WOpacMsgNewListToTifTilDetailAction.do?tilcod=2002222301416</t>
  </si>
  <si>
    <t>https://opac.libnet.pref.okayama.jp/licsxp-opac/WOpacMsgNewListToTifTilDetailAction.do?tilcod=2002222317947</t>
  </si>
  <si>
    <t>https://opac.libnet.pref.okayama.jp/licsxp-opac/WOpacMsgNewListToTifTilDetailAction.do?tilcod=2002222318086</t>
  </si>
  <si>
    <t>https://opac.libnet.pref.okayama.jp/licsxp-opac/WOpacMsgNewListToTifTilDetailAction.do?tilcod=2002222337086</t>
  </si>
  <si>
    <t>https://opac.libnet.pref.okayama.jp/licsxp-opac/WOpacMsgNewListToTifTilDetailAction.do?tilcod=2002222331428</t>
  </si>
  <si>
    <t>https://opac.libnet.pref.okayama.jp/licsxp-opac/WOpacMsgNewListToTifTilDetailAction.do?tilcod=2002222289331</t>
  </si>
  <si>
    <t>https://opac.libnet.pref.okayama.jp/licsxp-opac/WOpacMsgNewListToTifTilDetailAction.do?tilcod=2002222289341</t>
  </si>
  <si>
    <t>https://opac.libnet.pref.okayama.jp/licsxp-opac/WOpacMsgNewListToTifTilDetailAction.do?tilcod=2002222329447</t>
  </si>
  <si>
    <t>https://opac.libnet.pref.okayama.jp/licsxp-opac/WOpacMsgNewListToTifTilDetailAction.do?tilcod=2002222289351</t>
  </si>
  <si>
    <t>https://opac.libnet.pref.okayama.jp/licsxp-opac/WOpacMsgNewListToTifTilDetailAction.do?tilcod=2002222289371</t>
  </si>
  <si>
    <t>https://opac.libnet.pref.okayama.jp/licsxp-opac/WOpacMsgNewListToTifTilDetailAction.do?tilcod=2002222289361</t>
  </si>
  <si>
    <t>https://opac.libnet.pref.okayama.jp/licsxp-opac/WOpacMsgNewListToTifTilDetailAction.do?tilcod=2002222311188</t>
  </si>
  <si>
    <t>https://opac.libnet.pref.okayama.jp/licsxp-opac/WOpacMsgNewListToTifTilDetailAction.do?tilcod=2002222291231</t>
  </si>
  <si>
    <t>https://opac.libnet.pref.okayama.jp/licsxp-opac/WOpacMsgNewListToTifTilDetailAction.do?tilcod=2002222301821</t>
  </si>
  <si>
    <t>https://opac.libnet.pref.okayama.jp/licsxp-opac/WOpacMsgNewListToTifTilDetailAction.do?tilcod=2002222283141</t>
  </si>
  <si>
    <t>https://opac.libnet.pref.okayama.jp/licsxp-opac/WOpacMsgNewListToTifTilDetailAction.do?tilcod=2002222285531</t>
  </si>
  <si>
    <t>https://opac.libnet.pref.okayama.jp/licsxp-opac/WOpacMsgNewListToTifTilDetailAction.do?tilcod=2002222289401</t>
  </si>
  <si>
    <t>https://opac.libnet.pref.okayama.jp/licsxp-opac/WOpacMsgNewListToTifTilDetailAction.do?tilcod=2002222289391</t>
  </si>
  <si>
    <t>https://opac.libnet.pref.okayama.jp/licsxp-opac/WOpacMsgNewListToTifTilDetailAction.do?tilcod=2002222336671</t>
  </si>
  <si>
    <t>https://opac.libnet.pref.okayama.jp/licsxp-opac/WOpacMsgNewListToTifTilDetailAction.do?tilcod=2002222336670</t>
  </si>
  <si>
    <t>https://opac.libnet.pref.okayama.jp/licsxp-opac/WOpacMsgNewListToTifTilDetailAction.do?tilcod=2002222287753</t>
  </si>
  <si>
    <t>https://opac.libnet.pref.okayama.jp/licsxp-opac/WOpacMsgNewListToTifTilDetailAction.do?tilcod=2002222288583</t>
  </si>
  <si>
    <t>https://opac.libnet.pref.okayama.jp/licsxp-opac/WOpacMsgNewListToTifTilDetailAction.do?tilcod=2002222302261</t>
  </si>
  <si>
    <t>https://opac.libnet.pref.okayama.jp/licsxp-opac/WOpacMsgNewListToTifTilDetailAction.do?tilcod=2002222302259</t>
  </si>
  <si>
    <t>https://opac.libnet.pref.okayama.jp/licsxp-opac/WOpacMsgNewListToTifTilDetailAction.do?tilcod=2002222302260</t>
  </si>
  <si>
    <t>https://opac.libnet.pref.okayama.jp/licsxp-opac/WOpacMsgNewListToTifTilDetailAction.do?tilcod=2002222314586</t>
  </si>
  <si>
    <t>https://opac.libnet.pref.okayama.jp/licsxp-opac/WOpacMsgNewListToTifTilDetailAction.do?tilcod=2002222302262</t>
  </si>
  <si>
    <t>https://opac.libnet.pref.okayama.jp/licsxp-opac/WOpacMsgNewListToTifTilDetailAction.do?tilcod=2002222294491</t>
  </si>
  <si>
    <t>https://opac.libnet.pref.okayama.jp/licsxp-opac/WOpacMsgNewListToTifTilDetailAction.do?tilcod=2002222300435</t>
  </si>
  <si>
    <t>https://opac.libnet.pref.okayama.jp/licsxp-opac/WOpacMsgNewListToTifTilDetailAction.do?tilcod=2002222281224</t>
  </si>
  <si>
    <t>https://opac.libnet.pref.okayama.jp/licsxp-opac/WOpacMsgNewListToTifTilDetailAction.do?tilcod=2002222287743</t>
  </si>
  <si>
    <t>https://opac.libnet.pref.okayama.jp/licsxp-opac/WOpacMsgNewListToTifTilDetailAction.do?tilcod=2002222300916</t>
  </si>
  <si>
    <t>https://opac.libnet.pref.okayama.jp/licsxp-opac/WOpacMsgNewListToTifTilDetailAction.do?tilcod=2002222289431</t>
  </si>
  <si>
    <t>https://opac.libnet.pref.okayama.jp/licsxp-opac/WOpacMsgNewListToTifTilDetailAction.do?tilcod=2002222301355</t>
  </si>
  <si>
    <t>https://opac.libnet.pref.okayama.jp/licsxp-opac/WOpacMsgNewListToTifTilDetailAction.do?tilcod=2002222289421</t>
  </si>
  <si>
    <t>https://opac.libnet.pref.okayama.jp/licsxp-opac/WOpacMsgNewListToTifTilDetailAction.do?tilcod=2002222289441</t>
  </si>
  <si>
    <t>https://opac.libnet.pref.okayama.jp/licsxp-opac/WOpacMsgNewListToTifTilDetailAction.do?tilcod=2002222310046</t>
  </si>
  <si>
    <t>https://opac.libnet.pref.okayama.jp/licsxp-opac/WOpacMsgNewListToTifTilDetailAction.do?tilcod=2002222301136</t>
  </si>
  <si>
    <t>https://opac.libnet.pref.okayama.jp/licsxp-opac/WOpacMsgNewListToTifTilDetailAction.do?tilcod=2002222300860</t>
  </si>
  <si>
    <t>https://opac.libnet.pref.okayama.jp/licsxp-opac/WOpacMsgNewListToTifTilDetailAction.do?tilcod=2002222289451</t>
  </si>
  <si>
    <t>https://opac.libnet.pref.okayama.jp/licsxp-opac/WOpacMsgNewListToTifTilDetailAction.do?tilcod=2002222294551</t>
  </si>
  <si>
    <t>https://opac.libnet.pref.okayama.jp/licsxp-opac/WOpacMsgNewListToTifTilDetailAction.do?tilcod=2002222289471</t>
  </si>
  <si>
    <t>https://opac.libnet.pref.okayama.jp/licsxp-opac/WOpacMsgNewListToTifTilDetailAction.do?tilcod=2002222289461</t>
  </si>
  <si>
    <t>https://opac.libnet.pref.okayama.jp/licsxp-opac/WOpacMsgNewListToTifTilDetailAction.do?tilcod=2002222300988</t>
  </si>
  <si>
    <t>https://opac.libnet.pref.okayama.jp/licsxp-opac/WOpacMsgNewListToTifTilDetailAction.do?tilcod=2002222289511</t>
  </si>
  <si>
    <t>https://opac.libnet.pref.okayama.jp/licsxp-opac/WOpacMsgNewListToTifTilDetailAction.do?tilcod=2002222287883</t>
  </si>
  <si>
    <t>https://opac.libnet.pref.okayama.jp/licsxp-opac/WOpacMsgNewListToTifTilDetailAction.do?tilcod=2002222289521</t>
  </si>
  <si>
    <t>https://opac.libnet.pref.okayama.jp/licsxp-opac/WOpacMsgNewListToTifTilDetailAction.do?tilcod=2002222289531</t>
  </si>
  <si>
    <t>https://opac.libnet.pref.okayama.jp/licsxp-opac/WOpacMsgNewListToTifTilDetailAction.do?tilcod=2002222331429</t>
  </si>
  <si>
    <t>https://opac.libnet.pref.okayama.jp/licsxp-opac/WOpacMsgNewListToTifTilDetailAction.do?tilcod=2002222289541</t>
  </si>
  <si>
    <t>https://opac.libnet.pref.okayama.jp/licsxp-opac/WOpacMsgNewListToTifTilDetailAction.do?tilcod=2002222287333</t>
  </si>
  <si>
    <t>https://opac.libnet.pref.okayama.jp/licsxp-opac/WOpacMsgNewListToTifTilDetailAction.do?tilcod=2002222330906</t>
  </si>
  <si>
    <t>https://opac.libnet.pref.okayama.jp/licsxp-opac/WOpacMsgNewListToTifTilDetailAction.do?tilcod=2002222289411</t>
  </si>
  <si>
    <t>https://opac.libnet.pref.okayama.jp/licsxp-opac/WOpacMsgNewListToTifTilDetailAction.do?tilcod=2002222289551</t>
  </si>
  <si>
    <t>https://opac.libnet.pref.okayama.jp/licsxp-opac/WOpacMsgNewListToTifTilDetailAction.do?tilcod=2002222301277</t>
  </si>
  <si>
    <t>https://opac.libnet.pref.okayama.jp/licsxp-opac/WOpacMsgNewListToTifTilDetailAction.do?tilcod=2002222300540</t>
  </si>
  <si>
    <t>https://opac.libnet.pref.okayama.jp/licsxp-opac/WOpacMsgNewListToTifTilDetailAction.do?tilcod=2002222283083</t>
  </si>
  <si>
    <t>https://opac.libnet.pref.okayama.jp/licsxp-opac/WOpacMsgNewListToTifTilDetailAction.do?tilcod=2002222289571</t>
  </si>
  <si>
    <t>https://opac.libnet.pref.okayama.jp/licsxp-opac/WOpacMsgNewListToTifTilDetailAction.do?tilcod=2002222289381</t>
  </si>
  <si>
    <t>https://opac.libnet.pref.okayama.jp/licsxp-opac/WOpacMsgNewListToTifTilDetailAction.do?tilcod=2002222328530</t>
  </si>
  <si>
    <t>https://opac.libnet.pref.okayama.jp/licsxp-opac/WOpacMsgNewListToTifTilDetailAction.do?tilcod=2002222301234</t>
  </si>
  <si>
    <t>https://opac.libnet.pref.okayama.jp/licsxp-opac/WOpacMsgNewListToTifTilDetailAction.do?tilcod=2002222326927</t>
  </si>
  <si>
    <t>https://opac.libnet.pref.okayama.jp/licsxp-opac/WOpacMsgNewListToTifTilDetailAction.do?tilcod=2002222294051</t>
  </si>
  <si>
    <t>https://opac.libnet.pref.okayama.jp/licsxp-opac/WOpacMsgNewListToTifTilDetailAction.do?tilcod=2002222282641</t>
  </si>
  <si>
    <t>https://opac.libnet.pref.okayama.jp/licsxp-opac/WOpacMsgNewListToTifTilDetailAction.do?tilcod=2002222319687</t>
  </si>
  <si>
    <t>https://opac.libnet.pref.okayama.jp/licsxp-opac/WOpacMsgNewListToTifTilDetailAction.do?tilcod=2002222292391</t>
  </si>
  <si>
    <t>https://opac.libnet.pref.okayama.jp/licsxp-opac/WOpacMsgNewListToTifTilDetailAction.do?tilcod=2002222301417</t>
  </si>
  <si>
    <t>https://opac.libnet.pref.okayama.jp/licsxp-opac/WOpacMsgNewListToTifTilDetailAction.do?tilcod=2002222301350</t>
  </si>
  <si>
    <t>https://opac.libnet.pref.okayama.jp/licsxp-opac/WOpacMsgNewListToTifTilDetailAction.do?tilcod=2002222322008</t>
  </si>
  <si>
    <t>https://opac.libnet.pref.okayama.jp/licsxp-opac/WOpacMsgNewListToTifTilDetailAction.do?tilcod=2002222289583</t>
  </si>
  <si>
    <t>https://opac.libnet.pref.okayama.jp/licsxp-opac/WOpacMsgNewListToTifTilDetailAction.do?tilcod=2002222281141</t>
  </si>
  <si>
    <t>https://opac.libnet.pref.okayama.jp/licsxp-opac/WOpacMsgNewListToTifTilDetailAction.do?tilcod=2002222289481</t>
  </si>
  <si>
    <t>https://opac.libnet.pref.okayama.jp/licsxp-opac/WOpacMsgNewListToTifTilDetailAction.do?tilcod=2002222289491</t>
  </si>
  <si>
    <t>https://opac.libnet.pref.okayama.jp/licsxp-opac/WOpacMsgNewListToTifTilDetailAction.do?tilcod=2002222322587</t>
  </si>
  <si>
    <t>https://opac.libnet.pref.okayama.jp/licsxp-opac/WOpacMsgNewListToTifTilDetailAction.do?tilcod=2002222323806</t>
  </si>
  <si>
    <t>https://opac.libnet.pref.okayama.jp/licsxp-opac/WOpacMsgNewListToTifTilDetailAction.do?tilcod=2002222291251</t>
  </si>
  <si>
    <t>https://opac.libnet.pref.okayama.jp/licsxp-opac/WOpacMsgNewListToTifTilDetailAction.do?tilcod=2002222319428</t>
  </si>
  <si>
    <t>https://opac.libnet.pref.okayama.jp/licsxp-opac/WOpacMsgNewListToTifTilDetailAction.do?tilcod=2002222341610</t>
  </si>
  <si>
    <t>https://opac.libnet.pref.okayama.jp/licsxp-opac/WOpacMsgNewListToTifTilDetailAction.do?tilcod=2002222291241</t>
  </si>
  <si>
    <t>https://opac.libnet.pref.okayama.jp/licsxp-opac/WOpacMsgNewListToTifTilDetailAction.do?tilcod=2002222301377</t>
  </si>
  <si>
    <t>https://opac.libnet.pref.okayama.jp/licsxp-opac/WOpacMsgNewListToTifTilDetailAction.do?tilcod=2002222289561</t>
  </si>
  <si>
    <t>https://opac.libnet.pref.okayama.jp/licsxp-opac/WOpacMsgNewListToTifTilDetailAction.do?tilcod=2002222289581</t>
  </si>
  <si>
    <t>https://opac.libnet.pref.okayama.jp/licsxp-opac/WOpacMsgNewListToTifTilDetailAction.do?tilcod=2002222302394</t>
  </si>
  <si>
    <t>https://opac.libnet.pref.okayama.jp/licsxp-opac/WOpacMsgNewListToTifTilDetailAction.do?tilcod=2002222334753</t>
  </si>
  <si>
    <t>https://opac.libnet.pref.okayama.jp/licsxp-opac/WOpacMsgNewListToTifTilDetailAction.do?tilcod=2002222319686</t>
  </si>
  <si>
    <t>https://opac.libnet.pref.okayama.jp/licsxp-opac/WOpacMsgNewListToTifTilDetailAction.do?tilcod=2002222301302</t>
  </si>
  <si>
    <t>https://opac.libnet.pref.okayama.jp/licsxp-opac/WOpacMsgNewListToTifTilDetailAction.do?tilcod=2002222289591</t>
  </si>
  <si>
    <t>https://opac.libnet.pref.okayama.jp/licsxp-opac/WOpacMsgNewListToTifTilDetailAction.do?tilcod=2002222291261</t>
  </si>
  <si>
    <t>https://opac.libnet.pref.okayama.jp/licsxp-opac/WOpacMsgNewListToTifTilDetailAction.do?tilcod=2002222341930</t>
  </si>
  <si>
    <t>https://opac.libnet.pref.okayama.jp/licsxp-opac/WOpacMsgNewListToTifTilDetailAction.do?tilcod=2002222281521</t>
  </si>
  <si>
    <t>https://opac.libnet.pref.okayama.jp/licsxp-opac/WOpacMsgNewListToTifTilDetailAction.do?tilcod=2002222316186</t>
  </si>
  <si>
    <t>https://opac.libnet.pref.okayama.jp/licsxp-opac/WOpacMsgNewListToTifTilDetailAction.do?tilcod=2002222302224</t>
  </si>
  <si>
    <t>https://opac.libnet.pref.okayama.jp/licsxp-opac/WOpacMsgNewListToTifTilDetailAction.do?tilcod=2002222301594</t>
  </si>
  <si>
    <t>https://opac.libnet.pref.okayama.jp/licsxp-opac/WOpacMsgNewListToTifTilDetailAction.do?tilcod=2002222300231</t>
  </si>
  <si>
    <t>https://opac.libnet.pref.okayama.jp/licsxp-opac/WOpacMsgNewListToTifTilDetailAction.do?tilcod=2002222302162</t>
  </si>
  <si>
    <t>https://opac.libnet.pref.okayama.jp/licsxp-opac/WOpacMsgNewListToTifTilDetailAction.do?tilcod=2002222281514</t>
  </si>
  <si>
    <t>https://opac.libnet.pref.okayama.jp/licsxp-opac/WOpacMsgNewListToTifTilDetailAction.do?tilcod=2002222328427</t>
  </si>
  <si>
    <t>https://opac.libnet.pref.okayama.jp/licsxp-opac/WOpacMsgNewListToTifTilDetailAction.do?tilcod=2002222291741</t>
  </si>
  <si>
    <t>https://opac.libnet.pref.okayama.jp/licsxp-opac/WOpacMsgNewListToTifTilDetailAction.do?tilcod=2002222289611</t>
  </si>
  <si>
    <t>https://opac.libnet.pref.okayama.jp/licsxp-opac/WOpacMsgNewListToTifTilDetailAction.do?tilcod=2002222289641</t>
  </si>
  <si>
    <t>https://opac.libnet.pref.okayama.jp/licsxp-opac/WOpacMsgNewListToTifTilDetailAction.do?tilcod=2002222289631</t>
  </si>
  <si>
    <t>https://opac.libnet.pref.okayama.jp/licsxp-opac/WOpacMsgNewListToTifTilDetailAction.do?tilcod=2002222289621</t>
  </si>
  <si>
    <t>https://opac.libnet.pref.okayama.jp/licsxp-opac/WOpacMsgNewListToTifTilDetailAction.do?tilcod=2002222301139</t>
  </si>
  <si>
    <t>https://opac.libnet.pref.okayama.jp/licsxp-opac/WOpacMsgNewListToTifTilDetailAction.do?tilcod=2002222289661</t>
  </si>
  <si>
    <t>https://opac.libnet.pref.okayama.jp/licsxp-opac/WOpacMsgNewListToTifTilDetailAction.do?tilcod=2002222289671</t>
  </si>
  <si>
    <t>https://opac.libnet.pref.okayama.jp/licsxp-opac/WOpacMsgNewListToTifTilDetailAction.do?tilcod=2002222289711</t>
  </si>
  <si>
    <t>https://opac.libnet.pref.okayama.jp/licsxp-opac/WOpacMsgNewListToTifTilDetailAction.do?tilcod=2002222289681</t>
  </si>
  <si>
    <t>https://opac.libnet.pref.okayama.jp/licsxp-opac/WOpacMsgNewListToTifTilDetailAction.do?tilcod=2002222289691</t>
  </si>
  <si>
    <t>https://opac.libnet.pref.okayama.jp/licsxp-opac/WOpacMsgNewListToTifTilDetailAction.do?tilcod=2002222294951</t>
  </si>
  <si>
    <t>https://opac.libnet.pref.okayama.jp/licsxp-opac/WOpacMsgNewListToTifTilDetailAction.do?tilcod=2002222289701</t>
  </si>
  <si>
    <t>https://opac.libnet.pref.okayama.jp/licsxp-opac/WOpacMsgNewListToTifTilDetailAction.do?tilcod=2002222282841</t>
  </si>
  <si>
    <t>https://opac.libnet.pref.okayama.jp/licsxp-opac/WOpacMsgNewListToTifTilDetailAction.do?tilcod=2002222291271</t>
  </si>
  <si>
    <t>https://opac.libnet.pref.okayama.jp/licsxp-opac/WOpacMsgNewListToTifTilDetailAction.do?tilcod=2002222281591</t>
  </si>
  <si>
    <t>https://opac.libnet.pref.okayama.jp/licsxp-opac/WOpacMsgNewListToTifTilDetailAction.do?tilcod=2002222330148</t>
  </si>
  <si>
    <t>https://opac.libnet.pref.okayama.jp/licsxp-opac/WOpacMsgNewListToTifTilDetailAction.do?tilcod=2002222300993</t>
  </si>
  <si>
    <t>https://opac.libnet.pref.okayama.jp/licsxp-opac/WOpacMsgNewListToTifTilDetailAction.do?tilcod=2002222312329</t>
  </si>
  <si>
    <t>https://opac.libnet.pref.okayama.jp/licsxp-opac/WOpacMsgNewListToTifTilDetailAction.do?tilcod=2002222342551</t>
  </si>
  <si>
    <t>https://opac.libnet.pref.okayama.jp/licsxp-opac/WOpacMsgNewListToTifTilDetailAction.do?tilcod=2002222289721</t>
  </si>
  <si>
    <t>https://opac.libnet.pref.okayama.jp/licsxp-opac/WOpacMsgNewListToTifTilDetailAction.do?tilcod=2002222284631</t>
  </si>
  <si>
    <t>https://opac.libnet.pref.okayama.jp/licsxp-opac/WOpacMsgNewListToTifTilDetailAction.do?tilcod=2002222283003</t>
  </si>
  <si>
    <t>https://opac.libnet.pref.okayama.jp/licsxp-opac/WOpacMsgNewListToTifTilDetailAction.do?tilcod=2002222289731</t>
  </si>
  <si>
    <t>https://opac.libnet.pref.okayama.jp/licsxp-opac/WOpacMsgNewListToTifTilDetailAction.do?tilcod=2002222289741</t>
  </si>
  <si>
    <t>https://opac.libnet.pref.okayama.jp/licsxp-opac/WOpacMsgNewListToTifTilDetailAction.do?tilcod=2002222343850</t>
  </si>
  <si>
    <t>https://opac.libnet.pref.okayama.jp/licsxp-opac/WOpacMsgNewListToTifTilDetailAction.do?tilcod=2002222289771</t>
  </si>
  <si>
    <t>https://opac.libnet.pref.okayama.jp/licsxp-opac/WOpacMsgNewListToTifTilDetailAction.do?tilcod=2002222289781</t>
  </si>
  <si>
    <t>https://opac.libnet.pref.okayama.jp/licsxp-opac/WOpacMsgNewListToTifTilDetailAction.do?tilcod=2002222289811</t>
  </si>
  <si>
    <t>https://opac.libnet.pref.okayama.jp/licsxp-opac/WOpacMsgNewListToTifTilDetailAction.do?tilcod=2002222300616</t>
  </si>
  <si>
    <t>https://opac.libnet.pref.okayama.jp/licsxp-opac/WOpacMsgNewListToTifTilDetailAction.do?tilcod=2002222289761</t>
  </si>
  <si>
    <t>https://opac.libnet.pref.okayama.jp/licsxp-opac/WOpacMsgNewListToTifTilDetailAction.do?tilcod=2002222289751</t>
  </si>
  <si>
    <t>https://opac.libnet.pref.okayama.jp/licsxp-opac/WOpacMsgNewListToTifTilDetailAction.do?tilcod=2002222332986</t>
  </si>
  <si>
    <t>https://opac.libnet.pref.okayama.jp/licsxp-opac/WOpacMsgNewListToTifTilDetailAction.do?tilcod=2002222289791</t>
  </si>
  <si>
    <t>https://opac.libnet.pref.okayama.jp/licsxp-opac/WOpacMsgNewListToTifTilDetailAction.do?tilcod=2002222292971</t>
  </si>
  <si>
    <t>https://opac.libnet.pref.okayama.jp/licsxp-opac/WOpacMsgNewListToTifTilDetailAction.do?tilcod=2002222289821</t>
  </si>
  <si>
    <t>https://opac.libnet.pref.okayama.jp/licsxp-opac/WOpacMsgNewListToTifTilDetailAction.do?tilcod=2002222289831</t>
  </si>
  <si>
    <t>https://opac.libnet.pref.okayama.jp/licsxp-opac/WOpacMsgNewListToTifTilDetailAction.do?tilcod=2002222289841</t>
  </si>
  <si>
    <t>https://opac.libnet.pref.okayama.jp/licsxp-opac/WOpacMsgNewListToTifTilDetailAction.do?tilcod=2002222341386</t>
  </si>
  <si>
    <t>https://opac.libnet.pref.okayama.jp/licsxp-opac/WOpacMsgNewListToTifTilDetailAction.do?tilcod=2002222341387</t>
  </si>
  <si>
    <t>https://opac.libnet.pref.okayama.jp/licsxp-opac/WOpacMsgNewListToTifTilDetailAction.do?tilcod=2002222289851</t>
  </si>
  <si>
    <t>https://opac.libnet.pref.okayama.jp/licsxp-opac/WOpacMsgNewListToTifTilDetailAction.do?tilcod=2002222289861</t>
  </si>
  <si>
    <t>https://opac.libnet.pref.okayama.jp/licsxp-opac/WOpacMsgNewListToTifTilDetailAction.do?tilcod=2002222291281</t>
  </si>
  <si>
    <t>https://opac.libnet.pref.okayama.jp/licsxp-opac/WOpacMsgNewListToTifTilDetailAction.do?tilcod=2002222289871</t>
  </si>
  <si>
    <t>https://opac.libnet.pref.okayama.jp/licsxp-opac/WOpacMsgNewListToTifTilDetailAction.do?tilcod=2002222300994</t>
  </si>
  <si>
    <t>https://opac.libnet.pref.okayama.jp/licsxp-opac/WOpacMsgNewListToTifTilDetailAction.do?tilcod=2002222300995</t>
  </si>
  <si>
    <t>https://opac.libnet.pref.okayama.jp/licsxp-opac/WOpacMsgNewListToTifTilDetailAction.do?tilcod=2002222306703</t>
  </si>
  <si>
    <t>https://opac.libnet.pref.okayama.jp/licsxp-opac/WOpacMsgNewListToTifTilDetailAction.do?tilcod=2002222300864</t>
  </si>
  <si>
    <t>https://opac.libnet.pref.okayama.jp/licsxp-opac/WOpacMsgNewListToTifTilDetailAction.do?tilcod=2002222343050</t>
  </si>
  <si>
    <t>https://opac.libnet.pref.okayama.jp/licsxp-opac/WOpacMsgNewListToTifTilDetailAction.do?tilcod=2002222341090</t>
  </si>
  <si>
    <t>https://opac.libnet.pref.okayama.jp/licsxp-opac/WOpacMsgNewListToTifTilDetailAction.do?tilcod=2002222307208</t>
  </si>
  <si>
    <t>https://opac.libnet.pref.okayama.jp/licsxp-opac/WOpacMsgNewListToTifTilDetailAction.do?tilcod=2002222301692</t>
  </si>
  <si>
    <t>https://opac.libnet.pref.okayama.jp/licsxp-opac/WOpacMsgNewListToTifTilDetailAction.do?tilcod=2002222334752</t>
  </si>
  <si>
    <t>https://opac.libnet.pref.okayama.jp/licsxp-opac/WOpacMsgNewListToTifTilDetailAction.do?tilcod=2002222289881</t>
  </si>
  <si>
    <t>https://opac.libnet.pref.okayama.jp/licsxp-opac/WOpacMsgNewListToTifTilDetailAction.do?tilcod=2002222320489</t>
  </si>
  <si>
    <t>https://opac.libnet.pref.okayama.jp/licsxp-opac/WOpacMsgNewListToTifTilDetailAction.do?tilcod=2002222289891</t>
  </si>
  <si>
    <t>https://opac.libnet.pref.okayama.jp/licsxp-opac/WOpacMsgNewListToTifTilDetailAction.do?tilcod=2002222344212</t>
  </si>
  <si>
    <t>https://opac.libnet.pref.okayama.jp/licsxp-opac/WOpacMsgNewListToTifTilDetailAction.do?tilcod=2002222328428</t>
  </si>
  <si>
    <t>https://opac.libnet.pref.okayama.jp/licsxp-opac/WOpacMsgNewListToTifTilDetailAction.do?tilcod=2002222289901</t>
  </si>
  <si>
    <t>https://opac.libnet.pref.okayama.jp/licsxp-opac/WOpacMsgNewListToTifTilDetailAction.do?tilcod=2002222289911</t>
  </si>
  <si>
    <t>https://opac.libnet.pref.okayama.jp/licsxp-opac/WOpacMsgNewListToTifTilDetailAction.do?tilcod=2002222336706</t>
  </si>
  <si>
    <t>https://opac.libnet.pref.okayama.jp/licsxp-opac/WOpacMsgNewListToTifTilDetailAction.do?tilcod=2002222301367</t>
  </si>
  <si>
    <t>https://opac.libnet.pref.okayama.jp/licsxp-opac/WOpacMsgNewListToTifTilDetailAction.do?tilcod=2002222302084</t>
  </si>
  <si>
    <t>https://opac.libnet.pref.okayama.jp/licsxp-opac/WOpacMsgNewListToTifTilDetailAction.do?tilcod=2002222289921</t>
  </si>
  <si>
    <t>https://opac.libnet.pref.okayama.jp/licsxp-opac/WOpacMsgNewListToTifTilDetailAction.do?tilcod=2002222289931</t>
  </si>
  <si>
    <t>https://opac.libnet.pref.okayama.jp/licsxp-opac/WOpacMsgNewListToTifTilDetailAction.do?tilcod=2002222315126</t>
  </si>
  <si>
    <t>https://opac.libnet.pref.okayama.jp/licsxp-opac/WOpacMsgNewListToTifTilDetailAction.do?tilcod=2002222289941</t>
  </si>
  <si>
    <t>https://opac.libnet.pref.okayama.jp/licsxp-opac/WOpacMsgNewListToTifTilDetailAction.do?tilcod=2002222325646</t>
  </si>
  <si>
    <t>https://opac.libnet.pref.okayama.jp/licsxp-opac/WOpacMsgNewListToTifTilDetailAction.do?tilcod=2002222287081</t>
  </si>
  <si>
    <t>https://opac.libnet.pref.okayama.jp/licsxp-opac/WOpacMsgNewListToTifTilDetailAction.do?tilcod=2002222287151</t>
  </si>
  <si>
    <t>https://opac.libnet.pref.okayama.jp/licsxp-opac/WOpacMsgNewListToTifTilDetailAction.do?tilcod=2002222289951</t>
  </si>
  <si>
    <t>https://opac.libnet.pref.okayama.jp/licsxp-opac/WOpacMsgNewListToTifTilDetailAction.do?tilcod=2002222280371</t>
  </si>
  <si>
    <t>https://opac.libnet.pref.okayama.jp/licsxp-opac/WOpacMsgNewListToTifTilDetailAction.do?tilcod=2002222289961</t>
  </si>
  <si>
    <t>https://opac.libnet.pref.okayama.jp/licsxp-opac/WOpacMsgNewListToTifTilDetailAction.do?tilcod=2002222289971</t>
  </si>
  <si>
    <t>https://opac.libnet.pref.okayama.jp/licsxp-opac/WOpacMsgNewListToTifTilDetailAction.do?tilcod=2002222301286</t>
  </si>
  <si>
    <t>https://opac.libnet.pref.okayama.jp/licsxp-opac/WOpacMsgNewListToTifTilDetailAction.do?tilcod=2002222300544</t>
  </si>
  <si>
    <t>https://opac.libnet.pref.okayama.jp/licsxp-opac/WOpacMsgNewListToTifTilDetailAction.do?tilcod=2002222301981</t>
  </si>
  <si>
    <t>https://opac.libnet.pref.okayama.jp/licsxp-opac/WOpacMsgNewListToTifTilDetailAction.do?tilcod=2002222301819</t>
  </si>
  <si>
    <t>https://opac.libnet.pref.okayama.jp/licsxp-opac/WOpacMsgNewListToTifTilDetailAction.do?tilcod=2002222289981</t>
  </si>
  <si>
    <t>https://opac.libnet.pref.okayama.jp/licsxp-opac/WOpacMsgNewListToTifTilDetailAction.do?tilcod=2002222289991</t>
  </si>
  <si>
    <t>https://opac.libnet.pref.okayama.jp/licsxp-opac/WOpacMsgNewListToTifTilDetailAction.do?tilcod=2002222281974</t>
  </si>
  <si>
    <t>https://opac.libnet.pref.okayama.jp/licsxp-opac/WOpacMsgNewListToTifTilDetailAction.do?tilcod=2002222308506</t>
  </si>
  <si>
    <t>https://opac.libnet.pref.okayama.jp/licsxp-opac/WOpacMsgNewListToTifTilDetailAction.do?tilcod=2002222286031</t>
  </si>
  <si>
    <t>https://opac.libnet.pref.okayama.jp/licsxp-opac/WOpacMsgNewListToTifTilDetailAction.do?tilcod=2002222291291</t>
  </si>
  <si>
    <t>https://opac.libnet.pref.okayama.jp/licsxp-opac/WOpacMsgNewListToTifTilDetailAction.do?tilcod=2002222280003</t>
  </si>
  <si>
    <t>https://opac.libnet.pref.okayama.jp/licsxp-opac/WOpacMsgNewListToTifTilDetailAction.do?tilcod=2002222280013</t>
  </si>
  <si>
    <t>https://opac.libnet.pref.okayama.jp/licsxp-opac/WOpacMsgNewListToTifTilDetailAction.do?tilcod=2002222294961</t>
  </si>
  <si>
    <t>https://opac.libnet.pref.okayama.jp/licsxp-opac/WOpacMsgNewListToTifTilDetailAction.do?tilcod=2002222280023</t>
  </si>
  <si>
    <t>https://opac.libnet.pref.okayama.jp/licsxp-opac/WOpacMsgNewListToTifTilDetailAction.do?tilcod=2002222329606</t>
  </si>
  <si>
    <t>https://opac.libnet.pref.okayama.jp/licsxp-opac/WOpacMsgNewListToTifTilDetailAction.do?tilcod=2002222285791</t>
  </si>
  <si>
    <t>https://opac.libnet.pref.okayama.jp/licsxp-opac/WOpacMsgNewListToTifTilDetailAction.do?tilcod=2002222300190</t>
  </si>
  <si>
    <t>https://opac.libnet.pref.okayama.jp/licsxp-opac/WOpacMsgNewListToTifTilDetailAction.do?tilcod=2002222284421</t>
  </si>
  <si>
    <t>https://opac.libnet.pref.okayama.jp/licsxp-opac/WOpacMsgNewListToTifTilDetailAction.do?tilcod=2002222336267</t>
  </si>
  <si>
    <t>https://opac.libnet.pref.okayama.jp/licsxp-opac/WOpacMsgNewListToTifTilDetailAction.do?tilcod=2002222280043</t>
  </si>
  <si>
    <t>https://opac.libnet.pref.okayama.jp/licsxp-opac/WOpacMsgNewListToTifTilDetailAction.do?tilcod=2002222301811</t>
  </si>
  <si>
    <t>https://opac.libnet.pref.okayama.jp/licsxp-opac/WOpacMsgNewListToTifTilDetailAction.do?tilcod=2002222280173</t>
  </si>
  <si>
    <t>https://opac.libnet.pref.okayama.jp/licsxp-opac/WOpacMsgNewListToTifTilDetailAction.do?tilcod=2002222301986</t>
  </si>
  <si>
    <t>https://opac.libnet.pref.okayama.jp/licsxp-opac/WOpacMsgNewListToTifTilDetailAction.do?tilcod=2002222328246</t>
  </si>
  <si>
    <t>https://opac.libnet.pref.okayama.jp/licsxp-opac/WOpacMsgNewListToTifTilDetailAction.do?tilcod=2002222301795</t>
  </si>
  <si>
    <t>https://opac.libnet.pref.okayama.jp/licsxp-opac/WOpacMsgNewListToTifTilDetailAction.do?tilcod=2002222292401</t>
  </si>
  <si>
    <t>https://opac.libnet.pref.okayama.jp/licsxp-opac/WOpacMsgNewListToTifTilDetailAction.do?tilcod=2002222292461</t>
  </si>
  <si>
    <t>https://opac.libnet.pref.okayama.jp/licsxp-opac/WOpacMsgNewListToTifTilDetailAction.do?tilcod=2002222300887</t>
  </si>
  <si>
    <t>https://opac.libnet.pref.okayama.jp/licsxp-opac/WOpacMsgNewListToTifTilDetailAction.do?tilcod=2002222289983</t>
  </si>
  <si>
    <t>https://opac.libnet.pref.okayama.jp/licsxp-opac/WOpacMsgNewListToTifTilDetailAction.do?tilcod=2002222281401</t>
  </si>
  <si>
    <t>https://opac.libnet.pref.okayama.jp/licsxp-opac/WOpacMsgNewListToTifTilDetailAction.do?tilcod=2002222280143</t>
  </si>
  <si>
    <t>https://opac.libnet.pref.okayama.jp/licsxp-opac/WOpacMsgNewListToTifTilDetailAction.do?tilcod=2002222280153</t>
  </si>
  <si>
    <t>https://opac.libnet.pref.okayama.jp/licsxp-opac/WOpacMsgNewListToTifTilDetailAction.do?tilcod=2002222331846</t>
  </si>
  <si>
    <t>https://opac.libnet.pref.okayama.jp/licsxp-opac/WOpacMsgNewListToTifTilDetailAction.do?tilcod=2002222343010</t>
  </si>
  <si>
    <t>https://opac.libnet.pref.okayama.jp/licsxp-opac/WOpacMsgNewListToTifTilDetailAction.do?tilcod=2002222332629</t>
  </si>
  <si>
    <t>https://opac.libnet.pref.okayama.jp/licsxp-opac/WOpacMsgNewListToTifTilDetailAction.do?tilcod=2002222292411</t>
  </si>
  <si>
    <t>https://opac.libnet.pref.okayama.jp/licsxp-opac/WOpacMsgNewListToTifTilDetailAction.do?tilcod=2002222301081</t>
  </si>
  <si>
    <t>https://opac.libnet.pref.okayama.jp/licsxp-opac/WOpacMsgNewListToTifTilDetailAction.do?tilcod=2002222301164</t>
  </si>
  <si>
    <t>https://opac.libnet.pref.okayama.jp/licsxp-opac/WOpacMsgNewListToTifTilDetailAction.do?tilcod=2002222319567</t>
  </si>
  <si>
    <t>https://opac.libnet.pref.okayama.jp/licsxp-opac/WOpacMsgNewListToTifTilDetailAction.do?tilcod=2002222301238</t>
  </si>
  <si>
    <t>https://opac.libnet.pref.okayama.jp/licsxp-opac/WOpacMsgNewListToTifTilDetailAction.do?tilcod=2002222300495</t>
  </si>
  <si>
    <t>https://opac.libnet.pref.okayama.jp/licsxp-opac/WOpacMsgNewListToTifTilDetailAction.do?tilcod=2002222301882</t>
  </si>
  <si>
    <t>https://opac.libnet.pref.okayama.jp/licsxp-opac/WOpacMsgNewListToTifTilDetailAction.do?tilcod=2002222301523</t>
  </si>
  <si>
    <t>https://opac.libnet.pref.okayama.jp/licsxp-opac/WOpacMsgNewListToTifTilDetailAction.do?tilcod=2002222301796</t>
  </si>
  <si>
    <t>https://opac.libnet.pref.okayama.jp/licsxp-opac/WOpacMsgNewListToTifTilDetailAction.do?tilcod=2002222330568</t>
  </si>
  <si>
    <t>https://opac.libnet.pref.okayama.jp/licsxp-opac/WOpacMsgNewListToTifTilDetailAction.do?tilcod=2002222307467</t>
  </si>
  <si>
    <t>https://opac.libnet.pref.okayama.jp/licsxp-opac/WOpacMsgNewListToTifTilDetailAction.do?tilcod=2002222329108</t>
  </si>
  <si>
    <t>https://opac.libnet.pref.okayama.jp/licsxp-opac/WOpacMsgNewListToTifTilDetailAction.do?tilcod=2002222280053</t>
  </si>
  <si>
    <t>https://opac.libnet.pref.okayama.jp/licsxp-opac/WOpacMsgNewListToTifTilDetailAction.do?tilcod=2002222301349</t>
  </si>
  <si>
    <t>https://opac.libnet.pref.okayama.jp/licsxp-opac/WOpacMsgNewListToTifTilDetailAction.do?tilcod=2002222319569</t>
  </si>
  <si>
    <t>https://opac.libnet.pref.okayama.jp/licsxp-opac/WOpacMsgNewListToTifTilDetailAction.do?tilcod=2002222280063</t>
  </si>
  <si>
    <t>https://opac.libnet.pref.okayama.jp/licsxp-opac/WOpacMsgNewListToTifTilDetailAction.do?tilcod=2002222294531</t>
  </si>
  <si>
    <t>https://opac.libnet.pref.okayama.jp/licsxp-opac/WOpacMsgNewListToTifTilDetailAction.do?tilcod=2002222283031</t>
  </si>
  <si>
    <t>https://opac.libnet.pref.okayama.jp/licsxp-opac/WOpacMsgNewListToTifTilDetailAction.do?tilcod=2002222316987</t>
  </si>
  <si>
    <t>https://opac.libnet.pref.okayama.jp/licsxp-opac/WOpacMsgNewListToTifTilDetailAction.do?tilcod=2002222317786</t>
  </si>
  <si>
    <t>https://opac.libnet.pref.okayama.jp/licsxp-opac/WOpacMsgNewListToTifTilDetailAction.do?tilcod=2002222338351</t>
  </si>
  <si>
    <t>https://opac.libnet.pref.okayama.jp/licsxp-opac/WOpacMsgNewListToTifTilDetailAction.do?tilcod=2002222301249</t>
  </si>
  <si>
    <t>https://opac.libnet.pref.okayama.jp/licsxp-opac/WOpacMsgNewListToTifTilDetailAction.do?tilcod=2002222300503</t>
  </si>
  <si>
    <t>https://opac.libnet.pref.okayama.jp/licsxp-opac/WOpacMsgNewListToTifTilDetailAction.do?tilcod=2002222301820</t>
  </si>
  <si>
    <t>https://opac.libnet.pref.okayama.jp/licsxp-opac/WOpacMsgNewListToTifTilDetailAction.do?tilcod=2002222301827</t>
  </si>
  <si>
    <t>https://opac.libnet.pref.okayama.jp/licsxp-opac/WOpacMsgNewListToTifTilDetailAction.do?tilcod=2002222334669</t>
  </si>
  <si>
    <t>https://opac.libnet.pref.okayama.jp/licsxp-opac/WOpacMsgNewListToTifTilDetailAction.do?tilcod=2002222280073</t>
  </si>
  <si>
    <t>https://opac.libnet.pref.okayama.jp/licsxp-opac/WOpacMsgNewListToTifTilDetailAction.do?tilcod=2002222301269</t>
  </si>
  <si>
    <t>https://opac.libnet.pref.okayama.jp/licsxp-opac/WOpacMsgNewListToTifTilDetailAction.do?tilcod=2002222300581</t>
  </si>
  <si>
    <t>https://opac.libnet.pref.okayama.jp/licsxp-opac/WOpacMsgNewListToTifTilDetailAction.do?tilcod=2002222310266</t>
  </si>
  <si>
    <t>https://opac.libnet.pref.okayama.jp/licsxp-opac/WOpacMsgNewListToTifTilDetailAction.do?tilcod=2002222301241</t>
  </si>
  <si>
    <t>https://opac.libnet.pref.okayama.jp/licsxp-opac/WOpacMsgNewListToTifTilDetailAction.do?tilcod=2002222300603</t>
  </si>
  <si>
    <t>https://opac.libnet.pref.okayama.jp/licsxp-opac/WOpacMsgNewListToTifTilDetailAction.do?tilcod=2002222326968</t>
  </si>
  <si>
    <t>https://opac.libnet.pref.okayama.jp/licsxp-opac/WOpacMsgNewListToTifTilDetailAction.do?tilcod=2002222326967</t>
  </si>
  <si>
    <t>https://opac.libnet.pref.okayama.jp/licsxp-opac/WOpacMsgNewListToTifTilDetailAction.do?tilcod=2002222284721</t>
  </si>
  <si>
    <t>https://opac.libnet.pref.okayama.jp/licsxp-opac/WOpacMsgNewListToTifTilDetailAction.do?tilcod=2002222301947</t>
  </si>
  <si>
    <t>https://opac.libnet.pref.okayama.jp/licsxp-opac/WOpacMsgNewListToTifTilDetailAction.do?tilcod=2002222339510</t>
  </si>
  <si>
    <t>https://opac.libnet.pref.okayama.jp/licsxp-opac/WOpacMsgNewListToTifTilDetailAction.do?tilcod=2002222282071</t>
  </si>
  <si>
    <t>https://opac.libnet.pref.okayama.jp/licsxp-opac/WOpacMsgNewListToTifTilDetailAction.do?tilcod=2002222302160</t>
  </si>
  <si>
    <t>https://opac.libnet.pref.okayama.jp/licsxp-opac/WOpacMsgNewListToTifTilDetailAction.do?tilcod=2002222293101</t>
  </si>
  <si>
    <t>https://opac.libnet.pref.okayama.jp/licsxp-opac/WOpacMsgNewListToTifTilDetailAction.do?tilcod=2002222292421</t>
  </si>
  <si>
    <t>https://opac.libnet.pref.okayama.jp/licsxp-opac/WOpacMsgNewListToTifTilDetailAction.do?tilcod=2002222280083</t>
  </si>
  <si>
    <t>https://opac.libnet.pref.okayama.jp/licsxp-opac/WOpacMsgNewListToTifTilDetailAction.do?tilcod=2002222293811</t>
  </si>
  <si>
    <t>https://opac.libnet.pref.okayama.jp/licsxp-opac/WOpacMsgNewListToTifTilDetailAction.do?tilcod=2002222280103</t>
  </si>
  <si>
    <t>https://opac.libnet.pref.okayama.jp/licsxp-opac/WOpacMsgNewListToTifTilDetailAction.do?tilcod=2002222300787</t>
  </si>
  <si>
    <t>https://opac.libnet.pref.okayama.jp/licsxp-opac/WOpacMsgNewListToTifTilDetailAction.do?tilcod=2002222301252</t>
  </si>
  <si>
    <t>https://opac.libnet.pref.okayama.jp/licsxp-opac/WOpacMsgNewListToTifTilDetailAction.do?tilcod=2002222300505</t>
  </si>
  <si>
    <t>https://opac.libnet.pref.okayama.jp/licsxp-opac/WOpacMsgNewListToTifTilDetailAction.do?tilcod=2002222282061</t>
  </si>
  <si>
    <t>https://opac.libnet.pref.okayama.jp/licsxp-opac/WOpacMsgNewListToTifTilDetailAction.do?tilcod=2002222310047</t>
  </si>
  <si>
    <t>https://opac.libnet.pref.okayama.jp/licsxp-opac/WOpacMsgNewListToTifTilDetailAction.do?tilcod=2002222302225</t>
  </si>
  <si>
    <t>https://opac.libnet.pref.okayama.jp/licsxp-opac/WOpacMsgNewListToTifTilDetailAction.do?tilcod=2002222339311</t>
  </si>
  <si>
    <t>https://opac.libnet.pref.okayama.jp/licsxp-opac/WOpacMsgNewListToTifTilDetailAction.do?tilcod=2002222294131</t>
  </si>
  <si>
    <t>https://opac.libnet.pref.okayama.jp/licsxp-opac/WOpacMsgNewListToTifTilDetailAction.do?tilcod=2002222292651</t>
  </si>
  <si>
    <t>https://opac.libnet.pref.okayama.jp/licsxp-opac/WOpacMsgNewListToTifTilDetailAction.do?tilcod=2002222300889</t>
  </si>
  <si>
    <t>https://opac.libnet.pref.okayama.jp/licsxp-opac/WOpacMsgNewListToTifTilDetailAction.do?tilcod=2002222300865</t>
  </si>
  <si>
    <t>https://opac.libnet.pref.okayama.jp/licsxp-opac/WOpacMsgNewListToTifTilDetailAction.do?tilcod=2002222301266</t>
  </si>
  <si>
    <t>https://opac.libnet.pref.okayama.jp/licsxp-opac/WOpacMsgNewListToTifTilDetailAction.do?tilcod=2002222300580</t>
  </si>
  <si>
    <t>https://opac.libnet.pref.okayama.jp/licsxp-opac/WOpacMsgNewListToTifTilDetailAction.do?tilcod=2002222301960</t>
  </si>
  <si>
    <t>https://opac.libnet.pref.okayama.jp/licsxp-opac/WOpacMsgNewListToTifTilDetailAction.do?tilcod=2002222301645</t>
  </si>
  <si>
    <t>https://opac.libnet.pref.okayama.jp/licsxp-opac/WOpacMsgNewListToTifTilDetailAction.do?tilcod=2002222340730</t>
  </si>
  <si>
    <t>https://opac.libnet.pref.okayama.jp/licsxp-opac/WOpacMsgNewListToTifTilDetailAction.do?tilcod=2002222323826</t>
  </si>
  <si>
    <t>https://opac.libnet.pref.okayama.jp/licsxp-opac/WOpacMsgNewListToTifTilDetailAction.do?tilcod=2002222301239</t>
  </si>
  <si>
    <t>https://opac.libnet.pref.okayama.jp/licsxp-opac/WOpacMsgNewListToTifTilDetailAction.do?tilcod=2002222300494</t>
  </si>
  <si>
    <t>https://opac.libnet.pref.okayama.jp/licsxp-opac/WOpacMsgNewListToTifTilDetailAction.do?tilcod=2002222300902</t>
  </si>
  <si>
    <t>https://opac.libnet.pref.okayama.jp/licsxp-opac/WOpacMsgNewListToTifTilDetailAction.do?tilcod=2002222301782</t>
  </si>
  <si>
    <t>https://opac.libnet.pref.okayama.jp/licsxp-opac/WOpacMsgNewListToTifTilDetailAction.do?tilcod=2002222309927</t>
  </si>
  <si>
    <t>https://opac.libnet.pref.okayama.jp/licsxp-opac/WOpacMsgNewListToTifTilDetailAction.do?tilcod=2002222281724</t>
  </si>
  <si>
    <t>https://opac.libnet.pref.okayama.jp/licsxp-opac/WOpacMsgNewListToTifTilDetailAction.do?tilcod=2002222301884</t>
  </si>
  <si>
    <t>https://opac.libnet.pref.okayama.jp/licsxp-opac/WOpacMsgNewListToTifTilDetailAction.do?tilcod=2002222301242</t>
  </si>
  <si>
    <t>https://opac.libnet.pref.okayama.jp/licsxp-opac/WOpacMsgNewListToTifTilDetailAction.do?tilcod=2002222300498</t>
  </si>
  <si>
    <t>https://opac.libnet.pref.okayama.jp/licsxp-opac/WOpacMsgNewListToTifTilDetailAction.do?tilcod=2002222301883</t>
  </si>
  <si>
    <t>https://opac.libnet.pref.okayama.jp/licsxp-opac/WOpacMsgNewListToTifTilDetailAction.do?tilcod=2002222301951</t>
  </si>
  <si>
    <t>https://opac.libnet.pref.okayama.jp/licsxp-opac/WOpacMsgNewListToTifTilDetailAction.do?tilcod=2002222294981</t>
  </si>
  <si>
    <t>https://opac.libnet.pref.okayama.jp/licsxp-opac/WOpacMsgNewListToTifTilDetailAction.do?tilcod=2002222280113</t>
  </si>
  <si>
    <t>https://opac.libnet.pref.okayama.jp/licsxp-opac/WOpacMsgNewListToTifTilDetailAction.do?tilcod=2002222331506</t>
  </si>
  <si>
    <t>https://opac.libnet.pref.okayama.jp/licsxp-opac/WOpacMsgNewListToTifTilDetailAction.do?tilcod=2002222291311</t>
  </si>
  <si>
    <t>https://opac.libnet.pref.okayama.jp/licsxp-opac/WOpacMsgNewListToTifTilDetailAction.do?tilcod=2002222291321</t>
  </si>
  <si>
    <t>https://opac.libnet.pref.okayama.jp/licsxp-opac/WOpacMsgNewListToTifTilDetailAction.do?tilcod=2002222329107</t>
  </si>
  <si>
    <t>https://opac.libnet.pref.okayama.jp/licsxp-opac/WOpacMsgNewListToTifTilDetailAction.do?tilcod=2002222302422</t>
  </si>
  <si>
    <t>https://opac.libnet.pref.okayama.jp/licsxp-opac/WOpacMsgNewListToTifTilDetailAction.do?tilcod=2002222281581</t>
  </si>
  <si>
    <t>https://opac.libnet.pref.okayama.jp/licsxp-opac/WOpacMsgNewListToTifTilDetailAction.do?tilcod=2002222301978</t>
  </si>
  <si>
    <t>https://opac.libnet.pref.okayama.jp/licsxp-opac/WOpacMsgNewListToTifTilDetailAction.do?tilcod=2002222301240</t>
  </si>
  <si>
    <t>https://opac.libnet.pref.okayama.jp/licsxp-opac/WOpacMsgNewListToTifTilDetailAction.do?tilcod=2002222300497</t>
  </si>
  <si>
    <t>https://opac.libnet.pref.okayama.jp/licsxp-opac/WOpacMsgNewListToTifTilDetailAction.do?tilcod=2002222301979</t>
  </si>
  <si>
    <t>https://opac.libnet.pref.okayama.jp/licsxp-opac/WOpacMsgNewListToTifTilDetailAction.do?tilcod=2002222301980</t>
  </si>
  <si>
    <t>https://opac.libnet.pref.okayama.jp/licsxp-opac/WOpacMsgNewListToTifTilDetailAction.do?tilcod=2002222280133</t>
  </si>
  <si>
    <t>https://opac.libnet.pref.okayama.jp/licsxp-opac/WOpacMsgNewListToTifTilDetailAction.do?tilcod=2002222322390</t>
  </si>
  <si>
    <t>https://opac.libnet.pref.okayama.jp/licsxp-opac/WOpacMsgNewListToTifTilDetailAction.do?tilcod=2002222300456</t>
  </si>
  <si>
    <t>https://opac.libnet.pref.okayama.jp/licsxp-opac/WOpacMsgNewListToTifTilDetailAction.do?tilcod=2002222309989</t>
  </si>
  <si>
    <t>https://opac.libnet.pref.okayama.jp/licsxp-opac/WOpacMsgNewListToTifTilDetailAction.do?tilcod=2002222301246</t>
  </si>
  <si>
    <t>https://opac.libnet.pref.okayama.jp/licsxp-opac/WOpacMsgNewListToTifTilDetailAction.do?tilcod=2002222300500</t>
  </si>
  <si>
    <t>https://opac.libnet.pref.okayama.jp/licsxp-opac/WOpacMsgNewListToTifTilDetailAction.do?tilcod=2002222302045</t>
  </si>
  <si>
    <t>https://opac.libnet.pref.okayama.jp/licsxp-opac/WOpacMsgNewListToTifTilDetailAction.do?tilcod=2002222302046</t>
  </si>
  <si>
    <t>https://opac.libnet.pref.okayama.jp/licsxp-opac/WOpacMsgNewListToTifTilDetailAction.do?tilcod=2002222301103</t>
  </si>
  <si>
    <t>https://opac.libnet.pref.okayama.jp/licsxp-opac/WOpacMsgNewListToTifTilDetailAction.do?tilcod=2002222291301</t>
  </si>
  <si>
    <t>https://opac.libnet.pref.okayama.jp/licsxp-opac/WOpacMsgNewListToTifTilDetailAction.do?tilcod=2002222336086</t>
  </si>
  <si>
    <t>https://opac.libnet.pref.okayama.jp/licsxp-opac/WOpacMsgNewListToTifTilDetailAction.do?tilcod=2002222320487</t>
  </si>
  <si>
    <t>https://opac.libnet.pref.okayama.jp/licsxp-opac/WOpacMsgNewListToTifTilDetailAction.do?tilcod=2002222326126</t>
  </si>
  <si>
    <t>https://opac.libnet.pref.okayama.jp/licsxp-opac/WOpacMsgNewListToTifTilDetailAction.do?tilcod=2002222336776</t>
  </si>
  <si>
    <t>https://opac.libnet.pref.okayama.jp/licsxp-opac/WOpacMsgNewListToTifTilDetailAction.do?tilcod=2002222280093</t>
  </si>
  <si>
    <t>https://opac.libnet.pref.okayama.jp/licsxp-opac/WOpacMsgNewListToTifTilDetailAction.do?tilcod=2002222300245</t>
  </si>
  <si>
    <t>https://opac.libnet.pref.okayama.jp/licsxp-opac/WOpacMsgNewListToTifTilDetailAction.do?tilcod=2002222284441</t>
  </si>
  <si>
    <t>https://opac.libnet.pref.okayama.jp/licsxp-opac/WOpacMsgNewListToTifTilDetailAction.do?tilcod=2002222292431</t>
  </si>
  <si>
    <t>https://opac.libnet.pref.okayama.jp/licsxp-opac/WOpacMsgNewListToTifTilDetailAction.do?tilcod=2002222300246</t>
  </si>
  <si>
    <t>https://opac.libnet.pref.okayama.jp/licsxp-opac/WOpacMsgNewListToTifTilDetailAction.do?tilcod=2002222281751</t>
  </si>
  <si>
    <t>https://opac.libnet.pref.okayama.jp/licsxp-opac/WOpacMsgNewListToTifTilDetailAction.do?tilcod=2002222333828</t>
  </si>
  <si>
    <t>https://opac.libnet.pref.okayama.jp/licsxp-opac/WOpacMsgNewListToTifTilDetailAction.do?tilcod=2002222289603</t>
  </si>
  <si>
    <t>https://opac.libnet.pref.okayama.jp/licsxp-opac/WOpacMsgNewListToTifTilDetailAction.do?tilcod=2002222301271</t>
  </si>
  <si>
    <t>https://opac.libnet.pref.okayama.jp/licsxp-opac/WOpacMsgNewListToTifTilDetailAction.do?tilcod=2002222300558</t>
  </si>
  <si>
    <t>https://opac.libnet.pref.okayama.jp/licsxp-opac/WOpacMsgNewListToTifTilDetailAction.do?tilcod=2002222300727</t>
  </si>
  <si>
    <t>https://opac.libnet.pref.okayama.jp/licsxp-opac/WOpacMsgNewListToTifTilDetailAction.do?tilcod=2002222301805</t>
  </si>
  <si>
    <t>https://opac.libnet.pref.okayama.jp/licsxp-opac/WOpacMsgNewListToTifTilDetailAction.do?tilcod=2002222301263</t>
  </si>
  <si>
    <t>https://opac.libnet.pref.okayama.jp/licsxp-opac/WOpacMsgNewListToTifTilDetailAction.do?tilcod=2002222300559</t>
  </si>
  <si>
    <t>https://opac.libnet.pref.okayama.jp/licsxp-opac/WOpacMsgNewListToTifTilDetailAction.do?tilcod=2002222300556</t>
  </si>
  <si>
    <t>https://opac.libnet.pref.okayama.jp/licsxp-opac/WOpacMsgNewListToTifTilDetailAction.do?tilcod=2002222300557</t>
  </si>
  <si>
    <t>https://opac.libnet.pref.okayama.jp/licsxp-opac/WOpacMsgNewListToTifTilDetailAction.do?tilcod=2002222319426</t>
  </si>
  <si>
    <t>https://opac.libnet.pref.okayama.jp/licsxp-opac/WOpacMsgNewListToTifTilDetailAction.do?tilcod=2002222289533</t>
  </si>
  <si>
    <t>https://opac.libnet.pref.okayama.jp/licsxp-opac/WOpacMsgNewListToTifTilDetailAction.do?tilcod=2002222285293</t>
  </si>
  <si>
    <t>https://opac.libnet.pref.okayama.jp/licsxp-opac/WOpacMsgNewListToTifTilDetailAction.do?tilcod=2002222332866</t>
  </si>
  <si>
    <t>https://opac.libnet.pref.okayama.jp/licsxp-opac/WOpacMsgNewListToTifTilDetailAction.do?tilcod=2002222294971</t>
  </si>
  <si>
    <t>https://opac.libnet.pref.okayama.jp/licsxp-opac/WOpacMsgNewListToTifTilDetailAction.do?tilcod=2002222292521</t>
  </si>
  <si>
    <t>https://opac.libnet.pref.okayama.jp/licsxp-opac/WOpacMsgNewListToTifTilDetailAction.do?tilcod=2002222329066</t>
  </si>
  <si>
    <t>https://opac.libnet.pref.okayama.jp/licsxp-opac/WOpacMsgNewListToTifTilDetailAction.do?tilcod=2002222322392</t>
  </si>
  <si>
    <t>https://opac.libnet.pref.okayama.jp/licsxp-opac/WOpacMsgNewListToTifTilDetailAction.do?tilcod=2002222301210</t>
  </si>
  <si>
    <t>https://opac.libnet.pref.okayama.jp/licsxp-opac/WOpacMsgNewListToTifTilDetailAction.do?tilcod=2002222301264</t>
  </si>
  <si>
    <t>https://opac.libnet.pref.okayama.jp/licsxp-opac/WOpacMsgNewListToTifTilDetailAction.do?tilcod=2002222300560</t>
  </si>
  <si>
    <t>https://opac.libnet.pref.okayama.jp/licsxp-opac/WOpacMsgNewListToTifTilDetailAction.do?tilcod=2002222280864</t>
  </si>
  <si>
    <t>https://opac.libnet.pref.okayama.jp/licsxp-opac/WOpacMsgNewListToTifTilDetailAction.do?tilcod=2002222301268</t>
  </si>
  <si>
    <t>https://opac.libnet.pref.okayama.jp/licsxp-opac/WOpacMsgNewListToTifTilDetailAction.do?tilcod=2002222300561</t>
  </si>
  <si>
    <t>https://opac.libnet.pref.okayama.jp/licsxp-opac/WOpacMsgNewListToTifTilDetailAction.do?tilcod=2002222302469</t>
  </si>
  <si>
    <t>https://opac.libnet.pref.okayama.jp/licsxp-opac/WOpacMsgNewListToTifTilDetailAction.do?tilcod=2002222294481</t>
  </si>
  <si>
    <t>https://opac.libnet.pref.okayama.jp/licsxp-opac/WOpacMsgNewListToTifTilDetailAction.do?tilcod=2002222289613</t>
  </si>
  <si>
    <t>https://opac.libnet.pref.okayama.jp/licsxp-opac/WOpacMsgNewListToTifTilDetailAction.do?tilcod=2002222327807</t>
  </si>
  <si>
    <t>https://opac.libnet.pref.okayama.jp/licsxp-opac/WOpacMsgNewListToTifTilDetailAction.do?tilcod=2002222327808</t>
  </si>
  <si>
    <t>https://opac.libnet.pref.okayama.jp/licsxp-opac/WOpacMsgNewListToTifTilDetailAction.do?tilcod=2002222332832</t>
  </si>
  <si>
    <t>https://opac.libnet.pref.okayama.jp/licsxp-opac/WOpacMsgNewListToTifTilDetailAction.do?tilcod=2002222320486</t>
  </si>
  <si>
    <t>https://opac.libnet.pref.okayama.jp/licsxp-opac/WOpacMsgNewListToTifTilDetailAction.do?tilcod=2002222289623</t>
  </si>
  <si>
    <t>https://opac.libnet.pref.okayama.jp/licsxp-opac/WOpacMsgNewListToTifTilDetailAction.do?tilcod=2002222289633</t>
  </si>
  <si>
    <t>https://opac.libnet.pref.okayama.jp/licsxp-opac/WOpacMsgNewListToTifTilDetailAction.do?tilcod=2002222287793</t>
  </si>
  <si>
    <t>https://opac.libnet.pref.okayama.jp/licsxp-opac/WOpacMsgNewListToTifTilDetailAction.do?tilcod=2002222284731</t>
  </si>
  <si>
    <t>https://opac.libnet.pref.okayama.jp/licsxp-opac/WOpacMsgNewListToTifTilDetailAction.do?tilcod=2002222302423</t>
  </si>
  <si>
    <t>https://opac.libnet.pref.okayama.jp/licsxp-opac/WOpacMsgNewListToTifTilDetailAction.do?tilcod=2002222320566</t>
  </si>
  <si>
    <t>https://opac.libnet.pref.okayama.jp/licsxp-opac/WOpacMsgNewListToTifTilDetailAction.do?tilcod=2002222342277</t>
  </si>
  <si>
    <t>https://opac.libnet.pref.okayama.jp/licsxp-opac/WOpacMsgNewListToTifTilDetailAction.do?tilcod=2002222300747</t>
  </si>
  <si>
    <t>https://opac.libnet.pref.okayama.jp/licsxp-opac/WOpacMsgNewListToTifTilDetailAction.do?tilcod=2002222291331</t>
  </si>
  <si>
    <t>https://opac.libnet.pref.okayama.jp/licsxp-opac/WOpacMsgNewListToTifTilDetailAction.do?tilcod=2002222281371</t>
  </si>
  <si>
    <t>https://opac.libnet.pref.okayama.jp/licsxp-opac/WOpacMsgNewListToTifTilDetailAction.do?tilcod=2002222314426</t>
  </si>
  <si>
    <t>https://opac.libnet.pref.okayama.jp/licsxp-opac/WOpacMsgNewListToTifTilDetailAction.do?tilcod=2002222280163</t>
  </si>
  <si>
    <t>https://opac.libnet.pref.okayama.jp/licsxp-opac/WOpacMsgNewListToTifTilDetailAction.do?tilcod=2002222321889</t>
  </si>
  <si>
    <t>https://opac.libnet.pref.okayama.jp/licsxp-opac/WOpacMsgNewListToTifTilDetailAction.do?tilcod=2002222322466</t>
  </si>
  <si>
    <t>https://opac.libnet.pref.okayama.jp/licsxp-opac/WOpacMsgNewListToTifTilDetailAction.do?tilcod=2002222330287</t>
  </si>
  <si>
    <t>https://opac.libnet.pref.okayama.jp/licsxp-opac/WOpacMsgNewListToTifTilDetailAction.do?tilcod=2002222310626</t>
  </si>
  <si>
    <t>https://opac.libnet.pref.okayama.jp/licsxp-opac/WOpacMsgNewListToTifTilDetailAction.do?tilcod=2002222302111</t>
  </si>
  <si>
    <t>https://opac.libnet.pref.okayama.jp/licsxp-opac/WOpacMsgNewListToTifTilDetailAction.do?tilcod=2002222301096</t>
  </si>
  <si>
    <t>https://opac.libnet.pref.okayama.jp/licsxp-opac/WOpacMsgNewListToTifTilDetailAction.do?tilcod=2002222307809</t>
  </si>
  <si>
    <t>https://opac.libnet.pref.okayama.jp/licsxp-opac/WOpacMsgNewListToTifTilDetailAction.do?tilcod=2002222301432</t>
  </si>
  <si>
    <t>https://opac.libnet.pref.okayama.jp/licsxp-opac/WOpacMsgNewListToTifTilDetailAction.do?tilcod=2002222334528</t>
  </si>
  <si>
    <t>https://opac.libnet.pref.okayama.jp/licsxp-opac/WOpacMsgNewListToTifTilDetailAction.do?tilcod=2002222308568</t>
  </si>
  <si>
    <t>https://opac.libnet.pref.okayama.jp/licsxp-opac/WOpacMsgNewListToTifTilDetailAction.do?tilcod=2002222280193</t>
  </si>
  <si>
    <t>https://opac.libnet.pref.okayama.jp/licsxp-opac/WOpacMsgNewListToTifTilDetailAction.do?tilcod=2002222280204</t>
  </si>
  <si>
    <t>https://opac.libnet.pref.okayama.jp/licsxp-opac/WOpacMsgNewListToTifTilDetailAction.do?tilcod=2002222280203</t>
  </si>
  <si>
    <t>https://opac.libnet.pref.okayama.jp/licsxp-opac/WOpacMsgNewListToTifTilDetailAction.do?tilcod=2002222302274</t>
  </si>
  <si>
    <t>https://opac.libnet.pref.okayama.jp/licsxp-opac/WOpacMsgNewListToTifTilDetailAction.do?tilcod=2002222325767</t>
  </si>
  <si>
    <t>https://opac.libnet.pref.okayama.jp/licsxp-opac/WOpacMsgNewListToTifTilDetailAction.do?tilcod=2002222286061</t>
  </si>
  <si>
    <t>https://opac.libnet.pref.okayama.jp/licsxp-opac/WOpacMsgNewListToTifTilDetailAction.do?tilcod=2002222331526</t>
  </si>
  <si>
    <t>https://opac.libnet.pref.okayama.jp/licsxp-opac/WOpacMsgNewListToTifTilDetailAction.do?tilcod=2002222302341</t>
  </si>
  <si>
    <t>https://opac.libnet.pref.okayama.jp/licsxp-opac/WOpacMsgNewListToTifTilDetailAction.do?tilcod=2002222300866</t>
  </si>
  <si>
    <t>https://opac.libnet.pref.okayama.jp/licsxp-opac/WOpacMsgNewListToTifTilDetailAction.do?tilcod=2002222334849</t>
  </si>
  <si>
    <t>https://opac.libnet.pref.okayama.jp/licsxp-opac/WOpacMsgNewListToTifTilDetailAction.do?tilcod=2002222301401</t>
  </si>
  <si>
    <t>https://opac.libnet.pref.okayama.jp/licsxp-opac/WOpacMsgNewListToTifTilDetailAction.do?tilcod=2002222328432</t>
  </si>
  <si>
    <t>https://opac.libnet.pref.okayama.jp/licsxp-opac/WOpacMsgNewListToTifTilDetailAction.do?tilcod=2002222302131</t>
  </si>
  <si>
    <t>https://opac.libnet.pref.okayama.jp/licsxp-opac/WOpacMsgNewListToTifTilDetailAction.do?tilcod=2002222301423</t>
  </si>
  <si>
    <t>https://opac.libnet.pref.okayama.jp/licsxp-opac/WOpacMsgNewListToTifTilDetailAction.do?tilcod=2002222285401</t>
  </si>
  <si>
    <t>https://opac.libnet.pref.okayama.jp/licsxp-opac/WOpacMsgNewListToTifTilDetailAction.do?tilcod=2002222283013</t>
  </si>
  <si>
    <t>https://opac.libnet.pref.okayama.jp/licsxp-opac/WOpacMsgNewListToTifTilDetailAction.do?tilcod=2002222300752</t>
  </si>
  <si>
    <t>https://opac.libnet.pref.okayama.jp/licsxp-opac/WOpacMsgNewListToTifTilDetailAction.do?tilcod=2002222281661</t>
  </si>
  <si>
    <t>https://opac.libnet.pref.okayama.jp/licsxp-opac/WOpacMsgNewListToTifTilDetailAction.do?tilcod=2002222322646</t>
  </si>
  <si>
    <t>https://opac.libnet.pref.okayama.jp/licsxp-opac/WOpacMsgNewListToTifTilDetailAction.do?tilcod=2002222307808</t>
  </si>
  <si>
    <t>https://opac.libnet.pref.okayama.jp/licsxp-opac/WOpacMsgNewListToTifTilDetailAction.do?tilcod=2002222301733</t>
  </si>
  <si>
    <t>https://opac.libnet.pref.okayama.jp/licsxp-opac/WOpacMsgNewListToTifTilDetailAction.do?tilcod=2002222300867</t>
  </si>
  <si>
    <t>https://opac.libnet.pref.okayama.jp/licsxp-opac/WOpacMsgNewListToTifTilDetailAction.do?tilcod=2002222280213</t>
  </si>
  <si>
    <t>https://opac.libnet.pref.okayama.jp/licsxp-opac/WOpacMsgNewListToTifTilDetailAction.do?tilcod=2002222280223</t>
  </si>
  <si>
    <t>https://opac.libnet.pref.okayama.jp/licsxp-opac/WOpacMsgNewListToTifTilDetailAction.do?tilcod=2002222280243</t>
  </si>
  <si>
    <t>https://opac.libnet.pref.okayama.jp/licsxp-opac/WOpacMsgNewListToTifTilDetailAction.do?tilcod=2002222280233</t>
  </si>
  <si>
    <t>https://opac.libnet.pref.okayama.jp/licsxp-opac/WOpacMsgNewListToTifTilDetailAction.do?tilcod=2002222327508</t>
  </si>
  <si>
    <t>https://opac.libnet.pref.okayama.jp/licsxp-opac/WOpacMsgNewListToTifTilDetailAction.do?tilcod=2002222280253</t>
  </si>
  <si>
    <t>https://opac.libnet.pref.okayama.jp/licsxp-opac/WOpacMsgNewListToTifTilDetailAction.do?tilcod=2002222315106</t>
  </si>
  <si>
    <t>https://opac.libnet.pref.okayama.jp/licsxp-opac/WOpacMsgNewListToTifTilDetailAction.do?tilcod=2002222280263</t>
  </si>
  <si>
    <t>https://opac.libnet.pref.okayama.jp/licsxp-opac/WOpacMsgNewListToTifTilDetailAction.do?tilcod=2002222280273</t>
  </si>
  <si>
    <t>https://opac.libnet.pref.okayama.jp/licsxp-opac/WOpacMsgNewListToTifTilDetailAction.do?tilcod=2002222336970</t>
  </si>
  <si>
    <t>https://opac.libnet.pref.okayama.jp/licsxp-opac/WOpacMsgNewListToTifTilDetailAction.do?tilcod=2002222302083</t>
  </si>
  <si>
    <t>https://opac.libnet.pref.okayama.jp/licsxp-opac/WOpacMsgNewListToTifTilDetailAction.do?tilcod=2002222280283</t>
  </si>
  <si>
    <t>https://opac.libnet.pref.okayama.jp/licsxp-opac/WOpacMsgNewListToTifTilDetailAction.do?tilcod=2002222302314</t>
  </si>
  <si>
    <t>https://opac.libnet.pref.okayama.jp/licsxp-opac/WOpacMsgNewListToTifTilDetailAction.do?tilcod=2002222309566</t>
  </si>
  <si>
    <t>https://opac.libnet.pref.okayama.jp/licsxp-opac/WOpacMsgNewListToTifTilDetailAction.do?tilcod=2002222323547</t>
  </si>
  <si>
    <t>https://opac.libnet.pref.okayama.jp/licsxp-opac/WOpacMsgNewListToTifTilDetailAction.do?tilcod=2002222286001</t>
  </si>
  <si>
    <t>https://opac.libnet.pref.okayama.jp/licsxp-opac/WOpacMsgNewListToTifTilDetailAction.do?tilcod=2002222289953</t>
  </si>
  <si>
    <t>https://opac.libnet.pref.okayama.jp/licsxp-opac/WOpacMsgNewListToTifTilDetailAction.do?tilcod=2002222283023</t>
  </si>
  <si>
    <t>https://opac.libnet.pref.okayama.jp/licsxp-opac/WOpacMsgNewListToTifTilDetailAction.do?tilcod=2002222291341</t>
  </si>
  <si>
    <t>https://opac.libnet.pref.okayama.jp/licsxp-opac/WOpacMsgNewListToTifTilDetailAction.do?tilcod=2002222300307</t>
  </si>
  <si>
    <t>https://opac.libnet.pref.okayama.jp/licsxp-opac/WOpacMsgNewListToTifTilDetailAction.do?tilcod=2002222291351</t>
  </si>
  <si>
    <t>https://opac.libnet.pref.okayama.jp/licsxp-opac/WOpacMsgNewListToTifTilDetailAction.do?tilcod=2002222280303</t>
  </si>
  <si>
    <t>https://opac.libnet.pref.okayama.jp/licsxp-opac/WOpacMsgNewListToTifTilDetailAction.do?tilcod=2002222280313</t>
  </si>
  <si>
    <t>https://opac.libnet.pref.okayama.jp/licsxp-opac/WOpacMsgNewListToTifTilDetailAction.do?tilcod=2002222289963</t>
  </si>
  <si>
    <t>https://opac.libnet.pref.okayama.jp/licsxp-opac/WOpacMsgNewListToTifTilDetailAction.do?tilcod=2002222343974</t>
  </si>
  <si>
    <t>https://opac.libnet.pref.okayama.jp/licsxp-opac/WOpacMsgNewListToTifTilDetailAction.do?tilcod=2002222343975</t>
  </si>
  <si>
    <t>https://opac.libnet.pref.okayama.jp/licsxp-opac/WOpacMsgNewListToTifTilDetailAction.do?tilcod=2002222301522</t>
  </si>
  <si>
    <t>https://opac.libnet.pref.okayama.jp/licsxp-opac/WOpacMsgNewListToTifTilDetailAction.do?tilcod=2002222280333</t>
  </si>
  <si>
    <t>https://opac.libnet.pref.okayama.jp/licsxp-opac/WOpacMsgNewListToTifTilDetailAction.do?tilcod=2002222338790</t>
  </si>
  <si>
    <t>https://opac.libnet.pref.okayama.jp/licsxp-opac/WOpacMsgNewListToTifTilDetailAction.do?tilcod=2002222302435</t>
  </si>
  <si>
    <t>https://opac.libnet.pref.okayama.jp/licsxp-opac/WOpacMsgNewListToTifTilDetailAction.do?tilcod=2002222317208</t>
  </si>
  <si>
    <t>https://opac.libnet.pref.okayama.jp/licsxp-opac/WOpacMsgNewListToTifTilDetailAction.do?tilcod=2002222280343</t>
  </si>
  <si>
    <t>https://opac.libnet.pref.okayama.jp/licsxp-opac/WOpacMsgNewListToTifTilDetailAction.do?tilcod=2002222334757</t>
  </si>
  <si>
    <t>https://opac.libnet.pref.okayama.jp/licsxp-opac/WOpacMsgNewListToTifTilDetailAction.do?tilcod=2002222328947</t>
  </si>
  <si>
    <t>https://opac.libnet.pref.okayama.jp/licsxp-opac/WOpacMsgNewListToTifTilDetailAction.do?tilcod=2002222282621</t>
  </si>
  <si>
    <t>https://opac.libnet.pref.okayama.jp/licsxp-opac/WOpacMsgNewListToTifTilDetailAction.do?tilcod=2002222280353</t>
  </si>
  <si>
    <t>https://opac.libnet.pref.okayama.jp/licsxp-opac/WOpacMsgNewListToTifTilDetailAction.do?tilcod=2002222292481</t>
  </si>
  <si>
    <t>https://opac.libnet.pref.okayama.jp/licsxp-opac/WOpacMsgNewListToTifTilDetailAction.do?tilcod=2002222291641</t>
  </si>
  <si>
    <t>https://opac.libnet.pref.okayama.jp/licsxp-opac/WOpacMsgNewListToTifTilDetailAction.do?tilcod=2002222334286</t>
  </si>
  <si>
    <t>https://opac.libnet.pref.okayama.jp/licsxp-opac/WOpacMsgNewListToTifTilDetailAction.do?tilcod=2002222307446</t>
  </si>
  <si>
    <t>https://opac.libnet.pref.okayama.jp/licsxp-opac/WOpacMsgNewListToTifTilDetailAction.do?tilcod=2002222287251</t>
  </si>
  <si>
    <t>https://opac.libnet.pref.okayama.jp/licsxp-opac/WOpacMsgNewListToTifTilDetailAction.do?tilcod=2002222300320</t>
  </si>
  <si>
    <t>https://opac.libnet.pref.okayama.jp/licsxp-opac/WOpacMsgNewListToTifTilDetailAction.do?tilcod=2002222280363</t>
  </si>
  <si>
    <t>https://opac.libnet.pref.okayama.jp/licsxp-opac/WOpacMsgNewListToTifTilDetailAction.do?tilcod=2002222280373</t>
  </si>
  <si>
    <t>https://opac.libnet.pref.okayama.jp/licsxp-opac/WOpacMsgNewListToTifTilDetailAction.do?tilcod=2002222322370</t>
  </si>
  <si>
    <t>https://opac.libnet.pref.okayama.jp/licsxp-opac/WOpacMsgNewListToTifTilDetailAction.do?tilcod=2002222302395</t>
  </si>
  <si>
    <t>https://opac.libnet.pref.okayama.jp/licsxp-opac/WOpacMsgNewListToTifTilDetailAction.do?tilcod=2002222302362</t>
  </si>
  <si>
    <t>https://opac.libnet.pref.okayama.jp/licsxp-opac/WOpacMsgNewListToTifTilDetailAction.do?tilcod=2002222340490</t>
  </si>
  <si>
    <t>https://opac.libnet.pref.okayama.jp/licsxp-opac/WOpacMsgNewListToTifTilDetailAction.do?tilcod=2002222285511</t>
  </si>
  <si>
    <t>https://opac.libnet.pref.okayama.jp/licsxp-opac/WOpacMsgNewListToTifTilDetailAction.do?tilcod=2002222291361</t>
  </si>
  <si>
    <t>https://opac.libnet.pref.okayama.jp/licsxp-opac/WOpacMsgNewListToTifTilDetailAction.do?tilcod=2002222302168</t>
  </si>
  <si>
    <t>https://opac.libnet.pref.okayama.jp/licsxp-opac/WOpacMsgNewListToTifTilDetailAction.do?tilcod=2002222284831</t>
  </si>
  <si>
    <t>https://opac.libnet.pref.okayama.jp/licsxp-opac/WOpacMsgNewListToTifTilDetailAction.do?tilcod=2002222341710</t>
  </si>
  <si>
    <t>https://opac.libnet.pref.okayama.jp/licsxp-opac/WOpacMsgNewListToTifTilDetailAction.do?tilcod=2002222282201</t>
  </si>
  <si>
    <t>https://opac.libnet.pref.okayama.jp/licsxp-opac/WOpacMsgNewListToTifTilDetailAction.do?tilcod=2002222280383</t>
  </si>
  <si>
    <t>https://opac.libnet.pref.okayama.jp/licsxp-opac/WOpacMsgNewListToTifTilDetailAction.do?tilcod=2002222300868</t>
  </si>
  <si>
    <t>https://opac.libnet.pref.okayama.jp/licsxp-opac/WOpacMsgNewListToTifTilDetailAction.do?tilcod=2002222282301</t>
  </si>
  <si>
    <t>https://opac.libnet.pref.okayama.jp/licsxp-opac/WOpacMsgNewListToTifTilDetailAction.do?tilcod=2002222331933</t>
  </si>
  <si>
    <t>https://opac.libnet.pref.okayama.jp/licsxp-opac/WOpacMsgNewListToTifTilDetailAction.do?tilcod=2002222300870</t>
  </si>
  <si>
    <t>https://opac.libnet.pref.okayama.jp/licsxp-opac/WOpacMsgNewListToTifTilDetailAction.do?tilcod=2002222280393</t>
  </si>
  <si>
    <t>https://opac.libnet.pref.okayama.jp/licsxp-opac/WOpacMsgNewListToTifTilDetailAction.do?tilcod=2002222280403</t>
  </si>
  <si>
    <t>https://opac.libnet.pref.okayama.jp/licsxp-opac/WOpacMsgNewListToTifTilDetailAction.do?tilcod=2002222292501</t>
  </si>
  <si>
    <t>https://opac.libnet.pref.okayama.jp/licsxp-opac/WOpacMsgNewListToTifTilDetailAction.do?tilcod=2002222329727</t>
  </si>
  <si>
    <t>https://opac.libnet.pref.okayama.jp/licsxp-opac/WOpacMsgNewListToTifTilDetailAction.do?tilcod=2002222281911</t>
  </si>
  <si>
    <t>https://opac.libnet.pref.okayama.jp/licsxp-opac/WOpacMsgNewListToTifTilDetailAction.do?tilcod=2002222300871</t>
  </si>
  <si>
    <t>https://opac.libnet.pref.okayama.jp/licsxp-opac/WOpacMsgNewListToTifTilDetailAction.do?tilcod=2002222280423</t>
  </si>
  <si>
    <t>https://opac.libnet.pref.okayama.jp/licsxp-opac/WOpacMsgNewListToTifTilDetailAction.do?tilcod=2002222280433</t>
  </si>
  <si>
    <t>https://opac.libnet.pref.okayama.jp/licsxp-opac/WOpacMsgNewListToTifTilDetailAction.do?tilcod=2002222283191</t>
  </si>
  <si>
    <t>https://opac.libnet.pref.okayama.jp/licsxp-opac/WOpacMsgNewListToTifTilDetailAction.do?tilcod=2002222285031</t>
  </si>
  <si>
    <t>https://opac.libnet.pref.okayama.jp/licsxp-opac/WOpacMsgNewListToTifTilDetailAction.do?tilcod=2002222281741</t>
  </si>
  <si>
    <t>https://opac.libnet.pref.okayama.jp/licsxp-opac/WOpacMsgNewListToTifTilDetailAction.do?tilcod=2002222300872</t>
  </si>
  <si>
    <t>https://opac.libnet.pref.okayama.jp/licsxp-opac/WOpacMsgNewListToTifTilDetailAction.do?tilcod=2002222280443</t>
  </si>
  <si>
    <t>https://opac.libnet.pref.okayama.jp/licsxp-opac/WOpacMsgNewListToTifTilDetailAction.do?tilcod=2002222280453</t>
  </si>
  <si>
    <t>https://opac.libnet.pref.okayama.jp/licsxp-opac/WOpacMsgNewListToTifTilDetailAction.do?tilcod=2002222293501</t>
  </si>
  <si>
    <t>https://opac.libnet.pref.okayama.jp/licsxp-opac/WOpacMsgNewListToTifTilDetailAction.do?tilcod=2002222300221</t>
  </si>
  <si>
    <t>https://opac.libnet.pref.okayama.jp/licsxp-opac/WOpacMsgNewListToTifTilDetailAction.do?tilcod=2002222280463</t>
  </si>
  <si>
    <t>https://opac.libnet.pref.okayama.jp/licsxp-opac/WOpacMsgNewListToTifTilDetailAction.do?tilcod=2002222336775</t>
  </si>
  <si>
    <t>https://opac.libnet.pref.okayama.jp/licsxp-opac/WOpacMsgNewListToTifTilDetailAction.do?tilcod=2002222280473</t>
  </si>
  <si>
    <t>https://opac.libnet.pref.okayama.jp/licsxp-opac/WOpacMsgNewListToTifTilDetailAction.do?tilcod=2002222300874</t>
  </si>
  <si>
    <t>https://opac.libnet.pref.okayama.jp/licsxp-opac/WOpacMsgNewListToTifTilDetailAction.do?tilcod=2002222280483</t>
  </si>
  <si>
    <t>https://opac.libnet.pref.okayama.jp/licsxp-opac/WOpacMsgNewListToTifTilDetailAction.do?tilcod=2002222300886</t>
  </si>
  <si>
    <t>https://opac.libnet.pref.okayama.jp/licsxp-opac/WOpacMsgNewListToTifTilDetailAction.do?tilcod=2002222289601</t>
  </si>
  <si>
    <t>https://opac.libnet.pref.okayama.jp/licsxp-opac/WOpacMsgNewListToTifTilDetailAction.do?tilcod=2002222280493</t>
  </si>
  <si>
    <t>https://opac.libnet.pref.okayama.jp/licsxp-opac/WOpacMsgNewListToTifTilDetailAction.do?tilcod=2002222302375</t>
  </si>
  <si>
    <t>https://opac.libnet.pref.okayama.jp/licsxp-opac/WOpacMsgNewListToTifTilDetailAction.do?tilcod=2002222280503</t>
  </si>
  <si>
    <t>https://opac.libnet.pref.okayama.jp/licsxp-opac/WOpacMsgNewListToTifTilDetailAction.do?tilcod=2002222334569</t>
  </si>
  <si>
    <t>https://opac.libnet.pref.okayama.jp/licsxp-opac/WOpacMsgNewListToTifTilDetailAction.do?tilcod=2002222301305</t>
  </si>
  <si>
    <t>https://opac.libnet.pref.okayama.jp/licsxp-opac/WOpacMsgNewListToTifTilDetailAction.do?tilcod=2002222302082</t>
  </si>
  <si>
    <t>https://opac.libnet.pref.okayama.jp/licsxp-opac/WOpacMsgNewListToTifTilDetailAction.do?tilcod=2002222280513</t>
  </si>
  <si>
    <t>https://opac.libnet.pref.okayama.jp/licsxp-opac/WOpacMsgNewListToTifTilDetailAction.do?tilcod=2002222301639</t>
  </si>
  <si>
    <t>https://opac.libnet.pref.okayama.jp/licsxp-opac/WOpacMsgNewListToTifTilDetailAction.do?tilcod=2002222313587</t>
  </si>
  <si>
    <t>https://opac.libnet.pref.okayama.jp/licsxp-opac/WOpacMsgNewListToTifTilDetailAction.do?tilcod=2002222336974</t>
  </si>
  <si>
    <t>https://opac.libnet.pref.okayama.jp/licsxp-opac/WOpacMsgNewListToTifTilDetailAction.do?tilcod=2002222334750</t>
  </si>
  <si>
    <t>https://opac.libnet.pref.okayama.jp/licsxp-opac/WOpacMsgNewListToTifTilDetailAction.do?tilcod=2002222334049</t>
  </si>
  <si>
    <t>https://opac.libnet.pref.okayama.jp/licsxp-opac/WOpacMsgNewListToTifTilDetailAction.do?tilcod=2002222294191</t>
  </si>
  <si>
    <t>https://opac.libnet.pref.okayama.jp/licsxp-opac/WOpacMsgNewListToTifTilDetailAction.do?tilcod=2002222319568</t>
  </si>
  <si>
    <t>https://opac.libnet.pref.okayama.jp/licsxp-opac/WOpacMsgNewListToTifTilDetailAction.do?tilcod=2002222331028</t>
  </si>
  <si>
    <t>https://opac.libnet.pref.okayama.jp/licsxp-opac/WOpacMsgNewListToTifTilDetailAction.do?tilcod=2002222282451</t>
  </si>
  <si>
    <t>https://opac.libnet.pref.okayama.jp/licsxp-opac/WOpacMsgNewListToTifTilDetailAction.do?tilcod=2002222317207</t>
  </si>
  <si>
    <t>https://opac.libnet.pref.okayama.jp/licsxp-opac/WOpacMsgNewListToTifTilDetailAction.do?tilcod=2002222280523</t>
  </si>
  <si>
    <t>https://opac.libnet.pref.okayama.jp/licsxp-opac/WOpacMsgNewListToTifTilDetailAction.do?tilcod=2002222291371</t>
  </si>
  <si>
    <t>https://opac.libnet.pref.okayama.jp/licsxp-opac/WOpacMsgNewListToTifTilDetailAction.do?tilcod=2002222339590</t>
  </si>
  <si>
    <t>https://opac.libnet.pref.okayama.jp/licsxp-opac/WOpacMsgNewListToTifTilDetailAction.do?tilcod=2002222284361</t>
  </si>
  <si>
    <t>https://opac.libnet.pref.okayama.jp/licsxp-opac/WOpacMsgNewListToTifTilDetailAction.do?tilcod=2002222281891</t>
  </si>
  <si>
    <t>https://opac.libnet.pref.okayama.jp/licsxp-opac/WOpacMsgNewListToTifTilDetailAction.do?tilcod=2002222342692</t>
  </si>
  <si>
    <t>https://opac.libnet.pref.okayama.jp/licsxp-opac/WOpacMsgNewListToTifTilDetailAction.do?tilcod=2002222288253</t>
  </si>
  <si>
    <t>https://opac.libnet.pref.okayama.jp/licsxp-opac/WOpacMsgNewListToTifTilDetailAction.do?tilcod=2002222283101</t>
  </si>
  <si>
    <t>https://opac.libnet.pref.okayama.jp/licsxp-opac/WOpacMsgNewListToTifTilDetailAction.do?tilcod=2002222302426</t>
  </si>
  <si>
    <t>https://opac.libnet.pref.okayama.jp/licsxp-opac/WOpacMsgNewListToTifTilDetailAction.do?tilcod=2002222341377</t>
  </si>
  <si>
    <t>https://opac.libnet.pref.okayama.jp/licsxp-opac/WOpacMsgNewListToTifTilDetailAction.do?tilcod=2002222301379</t>
  </si>
  <si>
    <t>https://opac.libnet.pref.okayama.jp/licsxp-opac/WOpacMsgNewListToTifTilDetailAction.do?tilcod=2002222301846</t>
  </si>
  <si>
    <t>https://opac.libnet.pref.okayama.jp/licsxp-opac/WOpacMsgNewListToTifTilDetailAction.do?tilcod=2002222301193</t>
  </si>
  <si>
    <t>https://opac.libnet.pref.okayama.jp/licsxp-opac/WOpacMsgNewListToTifTilDetailAction.do?tilcod=2002222300585</t>
  </si>
  <si>
    <t>https://opac.libnet.pref.okayama.jp/licsxp-opac/WOpacMsgNewListToTifTilDetailAction.do?tilcod=2002222329747</t>
  </si>
  <si>
    <t>https://opac.libnet.pref.okayama.jp/licsxp-opac/WOpacMsgNewListToTifTilDetailAction.do?tilcod=2002222289553</t>
  </si>
  <si>
    <t>https://opac.libnet.pref.okayama.jp/licsxp-opac/WOpacMsgNewListToTifTilDetailAction.do?tilcod=2002222301930</t>
  </si>
  <si>
    <t>https://opac.libnet.pref.okayama.jp/licsxp-opac/WOpacMsgNewListToTifTilDetailAction.do?tilcod=2002222309990</t>
  </si>
  <si>
    <t>https://opac.libnet.pref.okayama.jp/licsxp-opac/WOpacMsgNewListToTifTilDetailAction.do?tilcod=2002222289543</t>
  </si>
  <si>
    <t>https://opac.libnet.pref.okayama.jp/licsxp-opac/WOpacMsgNewListToTifTilDetailAction.do?tilcod=2002222280543</t>
  </si>
  <si>
    <t>https://opac.libnet.pref.okayama.jp/licsxp-opac/WOpacMsgNewListToTifTilDetailAction.do?tilcod=2002222280553</t>
  </si>
  <si>
    <t>https://opac.libnet.pref.okayama.jp/licsxp-opac/WOpacMsgNewListToTifTilDetailAction.do?tilcod=2002222331472</t>
  </si>
  <si>
    <t>https://opac.libnet.pref.okayama.jp/licsxp-opac/WOpacMsgNewListToTifTilDetailAction.do?tilcod=2002222280533</t>
  </si>
  <si>
    <t>https://opac.libnet.pref.okayama.jp/licsxp-opac/WOpacMsgNewListToTifTilDetailAction.do?tilcod=2002222342771</t>
  </si>
  <si>
    <t>https://opac.libnet.pref.okayama.jp/licsxp-opac/WOpacMsgNewListToTifTilDetailAction.do?tilcod=2002222280563</t>
  </si>
  <si>
    <t>https://opac.libnet.pref.okayama.jp/licsxp-opac/WOpacMsgNewListToTifTilDetailAction.do?tilcod=2002222322029</t>
  </si>
  <si>
    <t>https://opac.libnet.pref.okayama.jp/licsxp-opac/WOpacMsgNewListToTifTilDetailAction.do?tilcod=2002222302033</t>
  </si>
  <si>
    <t>https://opac.libnet.pref.okayama.jp/licsxp-opac/WOpacMsgNewListToTifTilDetailAction.do?tilcod=2002222280573</t>
  </si>
  <si>
    <t>https://opac.libnet.pref.okayama.jp/licsxp-opac/WOpacMsgNewListToTifTilDetailAction.do?tilcod=2002222300418</t>
  </si>
  <si>
    <t>https://opac.libnet.pref.okayama.jp/licsxp-opac/WOpacMsgNewListToTifTilDetailAction.do?tilcod=2002222330046</t>
  </si>
  <si>
    <t>https://opac.libnet.pref.okayama.jp/licsxp-opac/WOpacMsgNewListToTifTilDetailAction.do?tilcod=2002222280583</t>
  </si>
  <si>
    <t>https://opac.libnet.pref.okayama.jp/licsxp-opac/WOpacMsgNewListToTifTilDetailAction.do?tilcod=2002222327809</t>
  </si>
  <si>
    <t>https://opac.libnet.pref.okayama.jp/licsxp-opac/WOpacMsgNewListToTifTilDetailAction.do?tilcod=2002222280593</t>
  </si>
  <si>
    <t>https://opac.libnet.pref.okayama.jp/licsxp-opac/WOpacMsgNewListToTifTilDetailAction.do?tilcod=2002222280603</t>
  </si>
  <si>
    <t>https://opac.libnet.pref.okayama.jp/licsxp-opac/WOpacMsgNewListToTifTilDetailAction.do?tilcod=2002222341491</t>
  </si>
  <si>
    <t>https://opac.libnet.pref.okayama.jp/licsxp-opac/WOpacMsgNewListToTifTilDetailAction.do?tilcod=2002222334247</t>
  </si>
  <si>
    <t>https://opac.libnet.pref.okayama.jp/licsxp-opac/WOpacMsgNewListToTifTilDetailAction.do?tilcod=2002222301150</t>
  </si>
  <si>
    <t>https://opac.libnet.pref.okayama.jp/licsxp-opac/WOpacMsgNewListToTifTilDetailAction.do?tilcod=2002222335966</t>
  </si>
  <si>
    <t>https://opac.libnet.pref.okayama.jp/licsxp-opac/WOpacMsgNewListToTifTilDetailAction.do?tilcod=2002222280613</t>
  </si>
  <si>
    <t>https://opac.libnet.pref.okayama.jp/licsxp-opac/WOpacMsgNewListToTifTilDetailAction.do?tilcod=2002222330247</t>
  </si>
  <si>
    <t>https://opac.libnet.pref.okayama.jp/licsxp-opac/WOpacMsgNewListToTifTilDetailAction.do?tilcod=2002222301354</t>
  </si>
  <si>
    <t>https://opac.libnet.pref.okayama.jp/licsxp-opac/WOpacMsgNewListToTifTilDetailAction.do?tilcod=2002222294541</t>
  </si>
  <si>
    <t>https://opac.libnet.pref.okayama.jp/licsxp-opac/WOpacMsgNewListToTifTilDetailAction.do?tilcod=2002222280623</t>
  </si>
  <si>
    <t>https://opac.libnet.pref.okayama.jp/licsxp-opac/WOpacMsgNewListToTifTilDetailAction.do?tilcod=2002222301631</t>
  </si>
  <si>
    <t>https://opac.libnet.pref.okayama.jp/licsxp-opac/WOpacMsgNewListToTifTilDetailAction.do?tilcod=2002222301560</t>
  </si>
  <si>
    <t>https://opac.libnet.pref.okayama.jp/licsxp-opac/WOpacMsgNewListToTifTilDetailAction.do?tilcod=2002222301598</t>
  </si>
  <si>
    <t>https://opac.libnet.pref.okayama.jp/licsxp-opac/WOpacMsgNewListToTifTilDetailAction.do?tilcod=2002222301599</t>
  </si>
  <si>
    <t>https://opac.libnet.pref.okayama.jp/licsxp-opac/WOpacMsgNewListToTifTilDetailAction.do?tilcod=2002222301648</t>
  </si>
  <si>
    <t>https://opac.libnet.pref.okayama.jp/licsxp-opac/WOpacMsgNewListToTifTilDetailAction.do?tilcod=2002222301674</t>
  </si>
  <si>
    <t>https://opac.libnet.pref.okayama.jp/licsxp-opac/WOpacMsgNewListToTifTilDetailAction.do?tilcod=2002222301582</t>
  </si>
  <si>
    <t>https://opac.libnet.pref.okayama.jp/licsxp-opac/WOpacMsgNewListToTifTilDetailAction.do?tilcod=2002222301612</t>
  </si>
  <si>
    <t>https://opac.libnet.pref.okayama.jp/licsxp-opac/WOpacMsgNewListToTifTilDetailAction.do?tilcod=2002222301342</t>
  </si>
  <si>
    <t>https://opac.libnet.pref.okayama.jp/licsxp-opac/WOpacMsgNewListToTifTilDetailAction.do?tilcod=2002222339650</t>
  </si>
  <si>
    <t>https://opac.libnet.pref.okayama.jp/licsxp-opac/WOpacMsgNewListToTifTilDetailAction.do?tilcod=2002222335529</t>
  </si>
  <si>
    <t>https://opac.libnet.pref.okayama.jp/licsxp-opac/WOpacMsgNewListToTifTilDetailAction.do?tilcod=2002222301557</t>
  </si>
  <si>
    <t>https://opac.libnet.pref.okayama.jp/licsxp-opac/WOpacMsgNewListToTifTilDetailAction.do?tilcod=2002222301584</t>
  </si>
  <si>
    <t>https://opac.libnet.pref.okayama.jp/licsxp-opac/WOpacMsgNewListToTifTilDetailAction.do?tilcod=2002222301613</t>
  </si>
  <si>
    <t>https://opac.libnet.pref.okayama.jp/licsxp-opac/WOpacMsgNewListToTifTilDetailAction.do?tilcod=2002222301615</t>
  </si>
  <si>
    <t>https://opac.libnet.pref.okayama.jp/licsxp-opac/WOpacMsgNewListToTifTilDetailAction.do?tilcod=2002222301616</t>
  </si>
  <si>
    <t>https://opac.libnet.pref.okayama.jp/licsxp-opac/WOpacMsgNewListToTifTilDetailAction.do?tilcod=2002222301617</t>
  </si>
  <si>
    <t>https://opac.libnet.pref.okayama.jp/licsxp-opac/WOpacMsgNewListToTifTilDetailAction.do?tilcod=2002222280653</t>
  </si>
  <si>
    <t>https://opac.libnet.pref.okayama.jp/licsxp-opac/WOpacMsgNewListToTifTilDetailAction.do?tilcod=2002222331146</t>
  </si>
  <si>
    <t>https://opac.libnet.pref.okayama.jp/licsxp-opac/WOpacMsgNewListToTifTilDetailAction.do?tilcod=2002222301619</t>
  </si>
  <si>
    <t>https://opac.libnet.pref.okayama.jp/licsxp-opac/WOpacMsgNewListToTifTilDetailAction.do?tilcod=2002222301620</t>
  </si>
  <si>
    <t>https://opac.libnet.pref.okayama.jp/licsxp-opac/WOpacMsgNewListToTifTilDetailAction.do?tilcod=2002222301634</t>
  </si>
  <si>
    <t>https://opac.libnet.pref.okayama.jp/licsxp-opac/WOpacMsgNewListToTifTilDetailAction.do?tilcod=2002222301622</t>
  </si>
  <si>
    <t>https://opac.libnet.pref.okayama.jp/licsxp-opac/WOpacMsgNewListToTifTilDetailAction.do?tilcod=2002222301623</t>
  </si>
  <si>
    <t>https://opac.libnet.pref.okayama.jp/licsxp-opac/WOpacMsgNewListToTifTilDetailAction.do?tilcod=2002222301521</t>
  </si>
  <si>
    <t>https://opac.libnet.pref.okayama.jp/licsxp-opac/WOpacMsgNewListToTifTilDetailAction.do?tilcod=2002222301558</t>
  </si>
  <si>
    <t>https://opac.libnet.pref.okayama.jp/licsxp-opac/WOpacMsgNewListToTifTilDetailAction.do?tilcod=2002222301606</t>
  </si>
  <si>
    <t>https://opac.libnet.pref.okayama.jp/licsxp-opac/WOpacMsgNewListToTifTilDetailAction.do?tilcod=2002222301572</t>
  </si>
  <si>
    <t>https://opac.libnet.pref.okayama.jp/licsxp-opac/WOpacMsgNewListToTifTilDetailAction.do?tilcod=2002222301590</t>
  </si>
  <si>
    <t>https://opac.libnet.pref.okayama.jp/licsxp-opac/WOpacMsgNewListToTifTilDetailAction.do?tilcod=2002222301609</t>
  </si>
  <si>
    <t>https://opac.libnet.pref.okayama.jp/licsxp-opac/WOpacMsgNewListToTifTilDetailAction.do?tilcod=2002222301610</t>
  </si>
  <si>
    <t>https://opac.libnet.pref.okayama.jp/licsxp-opac/WOpacMsgNewListToTifTilDetailAction.do?tilcod=2002222301699</t>
  </si>
  <si>
    <t>https://opac.libnet.pref.okayama.jp/licsxp-opac/WOpacMsgNewListToTifTilDetailAction.do?tilcod=2002222301611</t>
  </si>
  <si>
    <t>https://opac.libnet.pref.okayama.jp/licsxp-opac/WOpacMsgNewListToTifTilDetailAction.do?tilcod=2002222301614</t>
  </si>
  <si>
    <t>https://opac.libnet.pref.okayama.jp/licsxp-opac/WOpacMsgNewListToTifTilDetailAction.do?tilcod=2002222301636</t>
  </si>
  <si>
    <t>https://opac.libnet.pref.okayama.jp/licsxp-opac/WOpacMsgNewListToTifTilDetailAction.do?tilcod=2002222301618</t>
  </si>
  <si>
    <t>https://opac.libnet.pref.okayama.jp/licsxp-opac/WOpacMsgNewListToTifTilDetailAction.do?tilcod=2002222301621</t>
  </si>
  <si>
    <t>https://opac.libnet.pref.okayama.jp/licsxp-opac/WOpacMsgNewListToTifTilDetailAction.do?tilcod=2002222301638</t>
  </si>
  <si>
    <t>https://opac.libnet.pref.okayama.jp/licsxp-opac/WOpacMsgNewListToTifTilDetailAction.do?tilcod=2002222301641</t>
  </si>
  <si>
    <t>https://opac.libnet.pref.okayama.jp/licsxp-opac/WOpacMsgNewListToTifTilDetailAction.do?tilcod=2002222301570</t>
  </si>
  <si>
    <t>https://opac.libnet.pref.okayama.jp/licsxp-opac/WOpacMsgNewListToTifTilDetailAction.do?tilcod=2002222301642</t>
  </si>
  <si>
    <t>https://opac.libnet.pref.okayama.jp/licsxp-opac/WOpacMsgNewListToTifTilDetailAction.do?tilcod=2002222301624</t>
  </si>
  <si>
    <t>https://opac.libnet.pref.okayama.jp/licsxp-opac/WOpacMsgNewListToTifTilDetailAction.do?tilcod=2002222301600</t>
  </si>
  <si>
    <t>https://opac.libnet.pref.okayama.jp/licsxp-opac/WOpacMsgNewListToTifTilDetailAction.do?tilcod=2002222301626</t>
  </si>
  <si>
    <t>https://opac.libnet.pref.okayama.jp/licsxp-opac/WOpacMsgNewListToTifTilDetailAction.do?tilcod=2002222301573</t>
  </si>
  <si>
    <t>https://opac.libnet.pref.okayama.jp/licsxp-opac/WOpacMsgNewListToTifTilDetailAction.do?tilcod=2002222301568</t>
  </si>
  <si>
    <t>https://opac.libnet.pref.okayama.jp/licsxp-opac/WOpacMsgNewListToTifTilDetailAction.do?tilcod=2002222285301</t>
  </si>
  <si>
    <t>https://opac.libnet.pref.okayama.jp/licsxp-opac/WOpacMsgNewListToTifTilDetailAction.do?tilcod=2002222327909</t>
  </si>
  <si>
    <t>https://opac.libnet.pref.okayama.jp/licsxp-opac/WOpacMsgNewListToTifTilDetailAction.do?tilcod=2002222301627</t>
  </si>
  <si>
    <t>https://opac.libnet.pref.okayama.jp/licsxp-opac/WOpacMsgNewListToTifTilDetailAction.do?tilcod=2002222301652</t>
  </si>
  <si>
    <t>https://opac.libnet.pref.okayama.jp/licsxp-opac/WOpacMsgNewListToTifTilDetailAction.do?tilcod=2002222301628</t>
  </si>
  <si>
    <t>https://opac.libnet.pref.okayama.jp/licsxp-opac/WOpacMsgNewListToTifTilDetailAction.do?tilcod=2002222301574</t>
  </si>
  <si>
    <t>https://opac.libnet.pref.okayama.jp/licsxp-opac/WOpacMsgNewListToTifTilDetailAction.do?tilcod=2002222301520</t>
  </si>
  <si>
    <t>https://opac.libnet.pref.okayama.jp/licsxp-opac/WOpacMsgNewListToTifTilDetailAction.do?tilcod=2002222301601</t>
  </si>
  <si>
    <t>https://opac.libnet.pref.okayama.jp/licsxp-opac/WOpacMsgNewListToTifTilDetailAction.do?tilcod=2002222301566</t>
  </si>
  <si>
    <t>https://opac.libnet.pref.okayama.jp/licsxp-opac/WOpacMsgNewListToTifTilDetailAction.do?tilcod=2002222300619</t>
  </si>
  <si>
    <t>https://opac.libnet.pref.okayama.jp/licsxp-opac/WOpacMsgNewListToTifTilDetailAction.do?tilcod=2002222301575</t>
  </si>
  <si>
    <t>https://opac.libnet.pref.okayama.jp/licsxp-opac/WOpacMsgNewListToTifTilDetailAction.do?tilcod=2002222300460</t>
  </si>
  <si>
    <t>https://opac.libnet.pref.okayama.jp/licsxp-opac/WOpacMsgNewListToTifTilDetailAction.do?tilcod=2002222301663</t>
  </si>
  <si>
    <t>https://opac.libnet.pref.okayama.jp/licsxp-opac/WOpacMsgNewListToTifTilDetailAction.do?tilcod=2002222280633</t>
  </si>
  <si>
    <t>https://opac.libnet.pref.okayama.jp/licsxp-opac/WOpacMsgNewListToTifTilDetailAction.do?tilcod=2002222301665</t>
  </si>
  <si>
    <t>https://opac.libnet.pref.okayama.jp/licsxp-opac/WOpacMsgNewListToTifTilDetailAction.do?tilcod=2002222301667</t>
  </si>
  <si>
    <t>https://opac.libnet.pref.okayama.jp/licsxp-opac/WOpacMsgNewListToTifTilDetailAction.do?tilcod=2002222301666</t>
  </si>
  <si>
    <t>https://opac.libnet.pref.okayama.jp/licsxp-opac/WOpacMsgNewListToTifTilDetailAction.do?tilcod=2002222301571</t>
  </si>
  <si>
    <t>https://opac.libnet.pref.okayama.jp/licsxp-opac/WOpacMsgNewListToTifTilDetailAction.do?tilcod=2002222301562</t>
  </si>
  <si>
    <t>https://opac.libnet.pref.okayama.jp/licsxp-opac/WOpacMsgNewListToTifTilDetailAction.do?tilcod=2002222301556</t>
  </si>
  <si>
    <t>https://opac.libnet.pref.okayama.jp/licsxp-opac/WOpacMsgNewListToTifTilDetailAction.do?tilcod=2002222301668</t>
  </si>
  <si>
    <t>https://opac.libnet.pref.okayama.jp/licsxp-opac/WOpacMsgNewListToTifTilDetailAction.do?tilcod=2002222301576</t>
  </si>
  <si>
    <t>https://opac.libnet.pref.okayama.jp/licsxp-opac/WOpacMsgNewListToTifTilDetailAction.do?tilcod=2002222301670</t>
  </si>
  <si>
    <t>https://opac.libnet.pref.okayama.jp/licsxp-opac/WOpacMsgNewListToTifTilDetailAction.do?tilcod=2002222301680</t>
  </si>
  <si>
    <t>https://opac.libnet.pref.okayama.jp/licsxp-opac/WOpacMsgNewListToTifTilDetailAction.do?tilcod=2002222301559</t>
  </si>
  <si>
    <t>https://opac.libnet.pref.okayama.jp/licsxp-opac/WOpacMsgNewListToTifTilDetailAction.do?tilcod=2002222301671</t>
  </si>
  <si>
    <t>https://opac.libnet.pref.okayama.jp/licsxp-opac/WOpacMsgNewListToTifTilDetailAction.do?tilcod=2002222301672</t>
  </si>
  <si>
    <t>https://opac.libnet.pref.okayama.jp/licsxp-opac/WOpacMsgNewListToTifTilDetailAction.do?tilcod=2002222301701</t>
  </si>
  <si>
    <t>https://opac.libnet.pref.okayama.jp/licsxp-opac/WOpacMsgNewListToTifTilDetailAction.do?tilcod=2002222301577</t>
  </si>
  <si>
    <t>https://opac.libnet.pref.okayama.jp/licsxp-opac/WOpacMsgNewListToTifTilDetailAction.do?tilcod=2002222301676</t>
  </si>
  <si>
    <t>https://opac.libnet.pref.okayama.jp/licsxp-opac/WOpacMsgNewListToTifTilDetailAction.do?tilcod=2002222301578</t>
  </si>
  <si>
    <t>https://opac.libnet.pref.okayama.jp/licsxp-opac/WOpacMsgNewListToTifTilDetailAction.do?tilcod=2002222327507</t>
  </si>
  <si>
    <t>https://opac.libnet.pref.okayama.jp/licsxp-opac/WOpacMsgNewListToTifTilDetailAction.do?tilcod=2002222301579</t>
  </si>
  <si>
    <t>https://opac.libnet.pref.okayama.jp/licsxp-opac/WOpacMsgNewListToTifTilDetailAction.do?tilcod=2002222301712</t>
  </si>
  <si>
    <t>https://opac.libnet.pref.okayama.jp/licsxp-opac/WOpacMsgNewListToTifTilDetailAction.do?tilcod=2002222301629</t>
  </si>
  <si>
    <t>https://opac.libnet.pref.okayama.jp/licsxp-opac/WOpacMsgNewListToTifTilDetailAction.do?tilcod=2002222301567</t>
  </si>
  <si>
    <t>https://opac.libnet.pref.okayama.jp/licsxp-opac/WOpacMsgNewListToTifTilDetailAction.do?tilcod=2002222301673</t>
  </si>
  <si>
    <t>https://opac.libnet.pref.okayama.jp/licsxp-opac/WOpacMsgNewListToTifTilDetailAction.do?tilcod=2002222301675</t>
  </si>
  <si>
    <t>https://opac.libnet.pref.okayama.jp/licsxp-opac/WOpacMsgNewListToTifTilDetailAction.do?tilcod=2002222301715</t>
  </si>
  <si>
    <t>https://opac.libnet.pref.okayama.jp/licsxp-opac/WOpacMsgNewListToTifTilDetailAction.do?tilcod=2002222301677</t>
  </si>
  <si>
    <t>https://opac.libnet.pref.okayama.jp/licsxp-opac/WOpacMsgNewListToTifTilDetailAction.do?tilcod=2002222301679</t>
  </si>
  <si>
    <t>https://opac.libnet.pref.okayama.jp/licsxp-opac/WOpacMsgNewListToTifTilDetailAction.do?tilcod=2002222301561</t>
  </si>
  <si>
    <t>https://opac.libnet.pref.okayama.jp/licsxp-opac/WOpacMsgNewListToTifTilDetailAction.do?tilcod=2002222301693</t>
  </si>
  <si>
    <t>https://opac.libnet.pref.okayama.jp/licsxp-opac/WOpacMsgNewListToTifTilDetailAction.do?tilcod=2002222301718</t>
  </si>
  <si>
    <t>https://opac.libnet.pref.okayama.jp/licsxp-opac/WOpacMsgNewListToTifTilDetailAction.do?tilcod=2002222301564</t>
  </si>
  <si>
    <t>https://opac.libnet.pref.okayama.jp/licsxp-opac/WOpacMsgNewListToTifTilDetailAction.do?tilcod=2002222301597</t>
  </si>
  <si>
    <t>https://opac.libnet.pref.okayama.jp/licsxp-opac/WOpacMsgNewListToTifTilDetailAction.do?tilcod=2002222301694</t>
  </si>
  <si>
    <t>https://opac.libnet.pref.okayama.jp/licsxp-opac/WOpacMsgNewListToTifTilDetailAction.do?tilcod=2002222301565</t>
  </si>
  <si>
    <t>https://opac.libnet.pref.okayama.jp/licsxp-opac/WOpacMsgNewListToTifTilDetailAction.do?tilcod=2002222315026</t>
  </si>
  <si>
    <t>https://opac.libnet.pref.okayama.jp/licsxp-opac/WOpacMsgNewListToTifTilDetailAction.do?tilcod=2002222332388</t>
  </si>
  <si>
    <t>https://opac.libnet.pref.okayama.jp/licsxp-opac/WOpacMsgNewListToTifTilDetailAction.do?tilcod=2002222301580</t>
  </si>
  <si>
    <t>https://opac.libnet.pref.okayama.jp/licsxp-opac/WOpacMsgNewListToTifTilDetailAction.do?tilcod=2002222301581</t>
  </si>
  <si>
    <t>https://opac.libnet.pref.okayama.jp/licsxp-opac/WOpacMsgNewListToTifTilDetailAction.do?tilcod=2002222301719</t>
  </si>
  <si>
    <t>https://opac.libnet.pref.okayama.jp/licsxp-opac/WOpacMsgNewListToTifTilDetailAction.do?tilcod=2002222301695</t>
  </si>
  <si>
    <t>https://opac.libnet.pref.okayama.jp/licsxp-opac/WOpacMsgNewListToTifTilDetailAction.do?tilcod=2002222301720</t>
  </si>
  <si>
    <t>https://opac.libnet.pref.okayama.jp/licsxp-opac/WOpacMsgNewListToTifTilDetailAction.do?tilcod=2002222301696</t>
  </si>
  <si>
    <t>https://opac.libnet.pref.okayama.jp/licsxp-opac/WOpacMsgNewListToTifTilDetailAction.do?tilcod=2002222301602</t>
  </si>
  <si>
    <t>https://opac.libnet.pref.okayama.jp/licsxp-opac/WOpacMsgNewListToTifTilDetailAction.do?tilcod=2002222301603</t>
  </si>
  <si>
    <t>https://opac.libnet.pref.okayama.jp/licsxp-opac/WOpacMsgNewListToTifTilDetailAction.do?tilcod=2002222301697</t>
  </si>
  <si>
    <t>https://opac.libnet.pref.okayama.jp/licsxp-opac/WOpacMsgNewListToTifTilDetailAction.do?tilcod=2002222301698</t>
  </si>
  <si>
    <t>https://opac.libnet.pref.okayama.jp/licsxp-opac/WOpacMsgNewListToTifTilDetailAction.do?tilcod=2002222280643</t>
  </si>
  <si>
    <t>https://opac.libnet.pref.okayama.jp/licsxp-opac/WOpacMsgNewListToTifTilDetailAction.do?tilcod=2002222301569</t>
  </si>
  <si>
    <t>https://opac.libnet.pref.okayama.jp/licsxp-opac/WOpacMsgNewListToTifTilDetailAction.do?tilcod=2002222289112</t>
  </si>
  <si>
    <t>https://opac.libnet.pref.okayama.jp/licsxp-opac/WOpacMsgNewListToTifTilDetailAction.do?tilcod=2002222301407</t>
  </si>
  <si>
    <t>https://opac.libnet.pref.okayama.jp/licsxp-opac/WOpacMsgNewListToTifTilDetailAction.do?tilcod=2002222301608</t>
  </si>
  <si>
    <t>https://opac.libnet.pref.okayama.jp/licsxp-opac/WOpacMsgNewListToTifTilDetailAction.do?tilcod=2002222280663</t>
  </si>
  <si>
    <t>https://opac.libnet.pref.okayama.jp/licsxp-opac/WOpacMsgNewListToTifTilDetailAction.do?tilcod=2002222281221</t>
  </si>
  <si>
    <t>https://opac.libnet.pref.okayama.jp/licsxp-opac/WOpacMsgNewListToTifTilDetailAction.do?tilcod=2002222294991</t>
  </si>
  <si>
    <t>https://opac.libnet.pref.okayama.jp/licsxp-opac/WOpacMsgNewListToTifTilDetailAction.do?tilcod=2002222337127</t>
  </si>
  <si>
    <t>https://opac.libnet.pref.okayama.jp/licsxp-opac/WOpacMsgNewListToTifTilDetailAction.do?tilcod=2002222302295</t>
  </si>
  <si>
    <t>https://opac.libnet.pref.okayama.jp/licsxp-opac/WOpacMsgNewListToTifTilDetailAction.do?tilcod=2002222301178</t>
  </si>
  <si>
    <t>https://opac.libnet.pref.okayama.jp/licsxp-opac/WOpacMsgNewListToTifTilDetailAction.do?tilcod=2002222300489</t>
  </si>
  <si>
    <t>https://opac.libnet.pref.okayama.jp/licsxp-opac/WOpacMsgNewListToTifTilDetailAction.do?tilcod=2002222329706</t>
  </si>
  <si>
    <t>https://opac.libnet.pref.okayama.jp/licsxp-opac/WOpacMsgNewListToTifTilDetailAction.do?tilcod=2002222280673</t>
  </si>
  <si>
    <t>https://opac.libnet.pref.okayama.jp/licsxp-opac/WOpacMsgNewListToTifTilDetailAction.do?tilcod=2002222285021</t>
  </si>
  <si>
    <t>https://opac.libnet.pref.okayama.jp/licsxp-opac/WOpacMsgNewListToTifTilDetailAction.do?tilcod=2002222282871</t>
  </si>
  <si>
    <t>https://opac.libnet.pref.okayama.jp/licsxp-opac/WOpacMsgNewListToTifTilDetailAction.do?tilcod=2002222285391</t>
  </si>
  <si>
    <t>https://opac.libnet.pref.okayama.jp/licsxp-opac/WOpacMsgNewListToTifTilDetailAction.do?tilcod=2002222280683</t>
  </si>
  <si>
    <t>https://opac.libnet.pref.okayama.jp/licsxp-opac/WOpacMsgNewListToTifTilDetailAction.do?tilcod=2002222302380</t>
  </si>
  <si>
    <t>https://opac.libnet.pref.okayama.jp/licsxp-opac/WOpacMsgNewListToTifTilDetailAction.do?tilcod=2002222282771</t>
  </si>
  <si>
    <t>https://opac.libnet.pref.okayama.jp/licsxp-opac/WOpacMsgNewListToTifTilDetailAction.do?tilcod=2002222280923</t>
  </si>
  <si>
    <t>https://opac.libnet.pref.okayama.jp/licsxp-opac/WOpacMsgNewListToTifTilDetailAction.do?tilcod=2002222325366</t>
  </si>
  <si>
    <t>https://opac.libnet.pref.okayama.jp/licsxp-opac/WOpacMsgNewListToTifTilDetailAction.do?tilcod=2002222325027</t>
  </si>
  <si>
    <t>https://opac.libnet.pref.okayama.jp/licsxp-opac/WOpacMsgNewListToTifTilDetailAction.do?tilcod=2002222301524</t>
  </si>
  <si>
    <t>https://opac.libnet.pref.okayama.jp/licsxp-opac/WOpacMsgNewListToTifTilDetailAction.do?tilcod=2002222280693</t>
  </si>
  <si>
    <t>https://opac.libnet.pref.okayama.jp/licsxp-opac/WOpacMsgNewListToTifTilDetailAction.do?tilcod=2002222293491</t>
  </si>
  <si>
    <t>https://opac.libnet.pref.okayama.jp/licsxp-opac/WOpacMsgNewListToTifTilDetailAction.do?tilcod=2002222275181</t>
  </si>
  <si>
    <t>https://opac.libnet.pref.okayama.jp/licsxp-opac/WOpacMsgNewListToTifTilDetailAction.do?tilcod=2002222292491</t>
  </si>
  <si>
    <t>https://opac.libnet.pref.okayama.jp/licsxp-opac/WOpacMsgNewListToTifTilDetailAction.do?tilcod=2002222280201</t>
  </si>
  <si>
    <t>https://opac.libnet.pref.okayama.jp/licsxp-opac/WOpacMsgNewListToTifTilDetailAction.do?tilcod=2002222292511</t>
  </si>
  <si>
    <t>https://opac.libnet.pref.okayama.jp/licsxp-opac/WOpacMsgNewListToTifTilDetailAction.do?tilcod=2002222280703</t>
  </si>
  <si>
    <t>https://opac.libnet.pref.okayama.jp/licsxp-opac/WOpacMsgNewListToTifTilDetailAction.do?tilcod=2002222281754</t>
  </si>
  <si>
    <t>https://opac.libnet.pref.okayama.jp/licsxp-opac/WOpacMsgNewListToTifTilDetailAction.do?tilcod=2002222301144</t>
  </si>
  <si>
    <t>https://opac.libnet.pref.okayama.jp/licsxp-opac/WOpacMsgNewListToTifTilDetailAction.do?tilcod=2002222285641</t>
  </si>
  <si>
    <t>https://opac.libnet.pref.okayama.jp/licsxp-opac/WOpacMsgNewListToTifTilDetailAction.do?tilcod=2002222280713</t>
  </si>
  <si>
    <t>https://opac.libnet.pref.okayama.jp/licsxp-opac/WOpacMsgNewListToTifTilDetailAction.do?tilcod=2002222332547</t>
  </si>
  <si>
    <t>https://opac.libnet.pref.okayama.jp/licsxp-opac/WOpacMsgNewListToTifTilDetailAction.do?tilcod=2002222300875</t>
  </si>
  <si>
    <t>https://opac.libnet.pref.okayama.jp/licsxp-opac/WOpacMsgNewListToTifTilDetailAction.do?tilcod=2002222280723</t>
  </si>
  <si>
    <t>https://opac.libnet.pref.okayama.jp/licsxp-opac/WOpacMsgNewListToTifTilDetailAction.do?tilcod=2002222280733</t>
  </si>
  <si>
    <t>https://opac.libnet.pref.okayama.jp/licsxp-opac/WOpacMsgNewListToTifTilDetailAction.do?tilcod=2002222332826</t>
  </si>
  <si>
    <t>https://opac.libnet.pref.okayama.jp/licsxp-opac/WOpacMsgNewListToTifTilDetailAction.do?tilcod=2002222336672</t>
  </si>
  <si>
    <t>https://opac.libnet.pref.okayama.jp/licsxp-opac/WOpacMsgNewListToTifTilDetailAction.do?tilcod=2002222312766</t>
  </si>
  <si>
    <t>https://opac.libnet.pref.okayama.jp/licsxp-opac/WOpacMsgNewListToTifTilDetailAction.do?tilcod=2002222312767</t>
  </si>
  <si>
    <t>https://opac.libnet.pref.okayama.jp/licsxp-opac/WOpacMsgNewListToTifTilDetailAction.do?tilcod=2002222301424</t>
  </si>
  <si>
    <t>https://opac.libnet.pref.okayama.jp/licsxp-opac/WOpacMsgNewListToTifTilDetailAction.do?tilcod=2002222301654</t>
  </si>
  <si>
    <t>https://opac.libnet.pref.okayama.jp/licsxp-opac/WOpacMsgNewListToTifTilDetailAction.do?tilcod=2002222282171</t>
  </si>
  <si>
    <t>https://opac.libnet.pref.okayama.jp/licsxp-opac/WOpacMsgNewListToTifTilDetailAction.do?tilcod=2002222280743</t>
  </si>
  <si>
    <t>https://opac.libnet.pref.okayama.jp/licsxp-opac/WOpacMsgNewListToTifTilDetailAction.do?tilcod=2002222301243</t>
  </si>
  <si>
    <t>https://opac.libnet.pref.okayama.jp/licsxp-opac/WOpacMsgNewListToTifTilDetailAction.do?tilcod=2002222300499</t>
  </si>
  <si>
    <t>https://opac.libnet.pref.okayama.jp/licsxp-opac/WOpacMsgNewListToTifTilDetailAction.do?tilcod=2002222301938</t>
  </si>
  <si>
    <t>https://opac.libnet.pref.okayama.jp/licsxp-opac/WOpacMsgNewListToTifTilDetailAction.do?tilcod=2002222337030</t>
  </si>
  <si>
    <t>https://opac.libnet.pref.okayama.jp/licsxp-opac/WOpacMsgNewListToTifTilDetailAction.do?tilcod=2002222331430</t>
  </si>
  <si>
    <t>https://opac.libnet.pref.okayama.jp/licsxp-opac/WOpacMsgNewListToTifTilDetailAction.do?tilcod=2002222280753</t>
  </si>
  <si>
    <t>https://opac.libnet.pref.okayama.jp/licsxp-opac/WOpacMsgNewListToTifTilDetailAction.do?tilcod=2002222336388</t>
  </si>
  <si>
    <t>https://opac.libnet.pref.okayama.jp/licsxp-opac/WOpacMsgNewListToTifTilDetailAction.do?tilcod=2002222301516</t>
  </si>
  <si>
    <t>https://opac.libnet.pref.okayama.jp/licsxp-opac/WOpacMsgNewListToTifTilDetailAction.do?tilcod=2002222300876</t>
  </si>
  <si>
    <t>https://opac.libnet.pref.okayama.jp/licsxp-opac/WOpacMsgNewListToTifTilDetailAction.do?tilcod=2002222343170</t>
  </si>
  <si>
    <t>https://opac.libnet.pref.okayama.jp/licsxp-opac/WOpacMsgNewListToTifTilDetailAction.do?tilcod=2002222301551</t>
  </si>
  <si>
    <t>https://opac.libnet.pref.okayama.jp/licsxp-opac/WOpacMsgNewListToTifTilDetailAction.do?tilcod=2002222301835</t>
  </si>
  <si>
    <t>https://opac.libnet.pref.okayama.jp/licsxp-opac/WOpacMsgNewListToTifTilDetailAction.do?tilcod=2002222343171</t>
  </si>
  <si>
    <t>https://opac.libnet.pref.okayama.jp/licsxp-opac/WOpacMsgNewListToTifTilDetailAction.do?tilcod=2002222284811</t>
  </si>
  <si>
    <t>https://opac.libnet.pref.okayama.jp/licsxp-opac/WOpacMsgNewListToTifTilDetailAction.do?tilcod=2002222301309</t>
  </si>
  <si>
    <t>https://opac.libnet.pref.okayama.jp/licsxp-opac/WOpacMsgNewListToTifTilDetailAction.do?tilcod=2002222334854</t>
  </si>
  <si>
    <t>https://opac.libnet.pref.okayama.jp/licsxp-opac/WOpacMsgNewListToTifTilDetailAction.do?tilcod=2002222301475</t>
  </si>
  <si>
    <t>https://opac.libnet.pref.okayama.jp/licsxp-opac/WOpacMsgNewListToTifTilDetailAction.do?tilcod=2002222280763</t>
  </si>
  <si>
    <t>https://opac.libnet.pref.okayama.jp/licsxp-opac/WOpacMsgNewListToTifTilDetailAction.do?tilcod=2002222280773</t>
  </si>
  <si>
    <t>https://opac.libnet.pref.okayama.jp/licsxp-opac/WOpacMsgNewListToTifTilDetailAction.do?tilcod=2002222280783</t>
  </si>
  <si>
    <t>https://opac.libnet.pref.okayama.jp/licsxp-opac/WOpacMsgNewListToTifTilDetailAction.do?tilcod=2002222291381</t>
  </si>
  <si>
    <t>https://opac.libnet.pref.okayama.jp/licsxp-opac/WOpacMsgNewListToTifTilDetailAction.do?tilcod=2002222280803</t>
  </si>
  <si>
    <t>https://opac.libnet.pref.okayama.jp/licsxp-opac/WOpacMsgNewListToTifTilDetailAction.do?tilcod=2002222280793</t>
  </si>
  <si>
    <t>https://opac.libnet.pref.okayama.jp/licsxp-opac/WOpacMsgNewListToTifTilDetailAction.do?tilcod=2002222280813</t>
  </si>
  <si>
    <t>https://opac.libnet.pref.okayama.jp/licsxp-opac/WOpacMsgNewListToTifTilDetailAction.do?tilcod=2002222280823</t>
  </si>
  <si>
    <t>https://opac.libnet.pref.okayama.jp/licsxp-opac/WOpacMsgNewListToTifTilDetailAction.do?tilcod=2002222280843</t>
  </si>
  <si>
    <t>https://opac.libnet.pref.okayama.jp/licsxp-opac/WOpacMsgNewListToTifTilDetailAction.do?tilcod=2002222285171</t>
  </si>
  <si>
    <t>https://opac.libnet.pref.okayama.jp/licsxp-opac/WOpacMsgNewListToTifTilDetailAction.do?tilcod=2002222302061</t>
  </si>
  <si>
    <t>https://opac.libnet.pref.okayama.jp/licsxp-opac/WOpacMsgNewListToTifTilDetailAction.do?tilcod=2002222280853</t>
  </si>
  <si>
    <t>https://opac.libnet.pref.okayama.jp/licsxp-opac/WOpacMsgNewListToTifTilDetailAction.do?tilcod=2002222327166</t>
  </si>
  <si>
    <t>https://opac.libnet.pref.okayama.jp/licsxp-opac/WOpacMsgNewListToTifTilDetailAction.do?tilcod=2002222280863</t>
  </si>
  <si>
    <t>https://opac.libnet.pref.okayama.jp/licsxp-opac/WOpacMsgNewListToTifTilDetailAction.do?tilcod=2002222335586</t>
  </si>
  <si>
    <t>https://opac.libnet.pref.okayama.jp/licsxp-opac/WOpacMsgNewListToTifTilDetailAction.do?tilcod=2002222323549</t>
  </si>
  <si>
    <t>https://opac.libnet.pref.okayama.jp/licsxp-opac/WOpacMsgNewListToTifTilDetailAction.do?tilcod=2002222301653</t>
  </si>
  <si>
    <t>https://opac.libnet.pref.okayama.jp/licsxp-opac/WOpacMsgNewListToTifTilDetailAction.do?tilcod=2002222301247</t>
  </si>
  <si>
    <t>https://opac.libnet.pref.okayama.jp/licsxp-opac/WOpacMsgNewListToTifTilDetailAction.do?tilcod=2002222300506</t>
  </si>
  <si>
    <t>https://opac.libnet.pref.okayama.jp/licsxp-opac/WOpacMsgNewListToTifTilDetailAction.do?tilcod=2002222301914</t>
  </si>
  <si>
    <t>https://opac.libnet.pref.okayama.jp/licsxp-opac/WOpacMsgNewListToTifTilDetailAction.do?tilcod=2002222301877</t>
  </si>
  <si>
    <t>https://opac.libnet.pref.okayama.jp/licsxp-opac/WOpacMsgNewListToTifTilDetailAction.do?tilcod=2002222302129</t>
  </si>
  <si>
    <t>https://opac.libnet.pref.okayama.jp/licsxp-opac/WOpacMsgNewListToTifTilDetailAction.do?tilcod=2002222323546</t>
  </si>
  <si>
    <t>https://opac.libnet.pref.okayama.jp/licsxp-opac/WOpacMsgNewListToTifTilDetailAction.do?tilcod=2002222323550</t>
  </si>
  <si>
    <t>https://opac.libnet.pref.okayama.jp/licsxp-opac/WOpacMsgNewListToTifTilDetailAction.do?tilcod=2002222284541</t>
  </si>
  <si>
    <t>https://opac.libnet.pref.okayama.jp/licsxp-opac/WOpacMsgNewListToTifTilDetailAction.do?tilcod=2002222281844</t>
  </si>
  <si>
    <t>https://opac.libnet.pref.okayama.jp/licsxp-opac/WOpacMsgNewListToTifTilDetailAction.do?tilcod=2002222281941</t>
  </si>
  <si>
    <t>https://opac.libnet.pref.okayama.jp/licsxp-opac/WOpacMsgNewListToTifTilDetailAction.do?tilcod=2002222285701</t>
  </si>
  <si>
    <t>https://opac.libnet.pref.okayama.jp/licsxp-opac/WOpacMsgNewListToTifTilDetailAction.do?tilcod=2002222282791</t>
  </si>
  <si>
    <t>https://opac.libnet.pref.okayama.jp/licsxp-opac/WOpacMsgNewListToTifTilDetailAction.do?tilcod=2002222337570</t>
  </si>
  <si>
    <t>https://opac.libnet.pref.okayama.jp/licsxp-opac/WOpacMsgNewListToTifTilDetailAction.do?tilcod=2002222333506</t>
  </si>
  <si>
    <t>https://opac.libnet.pref.okayama.jp/licsxp-opac/WOpacMsgNewListToTifTilDetailAction.do?tilcod=2002222281934</t>
  </si>
  <si>
    <t>https://opac.libnet.pref.okayama.jp/licsxp-opac/WOpacMsgNewListToTifTilDetailAction.do?tilcod=2002222280873</t>
  </si>
  <si>
    <t>https://opac.libnet.pref.okayama.jp/licsxp-opac/WOpacMsgNewListToTifTilDetailAction.do?tilcod=2002222280883</t>
  </si>
  <si>
    <t>https://opac.libnet.pref.okayama.jp/licsxp-opac/WOpacMsgNewListToTifTilDetailAction.do?tilcod=2002222280893</t>
  </si>
  <si>
    <t>https://opac.libnet.pref.okayama.jp/licsxp-opac/WOpacMsgNewListToTifTilDetailAction.do?tilcod=2002222337088</t>
  </si>
  <si>
    <t>https://opac.libnet.pref.okayama.jp/licsxp-opac/WOpacMsgNewListToTifTilDetailAction.do?tilcod=2002222282571</t>
  </si>
  <si>
    <t>https://opac.libnet.pref.okayama.jp/licsxp-opac/WOpacMsgNewListToTifTilDetailAction.do?tilcod=2002222280913</t>
  </si>
  <si>
    <t>https://opac.libnet.pref.okayama.jp/licsxp-opac/WOpacMsgNewListToTifTilDetailAction.do?tilcod=2002222280933</t>
  </si>
  <si>
    <t>https://opac.libnet.pref.okayama.jp/licsxp-opac/WOpacMsgNewListToTifTilDetailAction.do?tilcod=2002222321726</t>
  </si>
  <si>
    <t>https://opac.libnet.pref.okayama.jp/licsxp-opac/WOpacMsgNewListToTifTilDetailAction.do?tilcod=2002222280211</t>
  </si>
  <si>
    <t>https://opac.libnet.pref.okayama.jp/licsxp-opac/WOpacMsgNewListToTifTilDetailAction.do?tilcod=2002222280943</t>
  </si>
  <si>
    <t>https://opac.libnet.pref.okayama.jp/licsxp-opac/WOpacMsgNewListToTifTilDetailAction.do?tilcod=2002222316267</t>
  </si>
  <si>
    <t>https://opac.libnet.pref.okayama.jp/licsxp-opac/WOpacMsgNewListToTifTilDetailAction.do?tilcod=2002222280953</t>
  </si>
  <si>
    <t>https://opac.libnet.pref.okayama.jp/licsxp-opac/WOpacMsgNewListToTifTilDetailAction.do?tilcod=2002222283043</t>
  </si>
  <si>
    <t>https://opac.libnet.pref.okayama.jp/licsxp-opac/WOpacMsgNewListToTifTilDetailAction.do?tilcod=2002222300201</t>
  </si>
  <si>
    <t>https://opac.libnet.pref.okayama.jp/licsxp-opac/WOpacMsgNewListToTifTilDetailAction.do?tilcod=2002222300319</t>
  </si>
  <si>
    <t>https://opac.libnet.pref.okayama.jp/licsxp-opac/WOpacMsgNewListToTifTilDetailAction.do?tilcod=2002222280221</t>
  </si>
  <si>
    <t>https://opac.libnet.pref.okayama.jp/licsxp-opac/WOpacMsgNewListToTifTilDetailAction.do?tilcod=2002222283053</t>
  </si>
  <si>
    <t>https://opac.libnet.pref.okayama.jp/licsxp-opac/WOpacMsgNewListToTifTilDetailAction.do?tilcod=2002222283063</t>
  </si>
  <si>
    <t>https://opac.libnet.pref.okayama.jp/licsxp-opac/WOpacMsgNewListToTifTilDetailAction.do?tilcod=2002222285911</t>
  </si>
  <si>
    <t>https://opac.libnet.pref.okayama.jp/licsxp-opac/WOpacMsgNewListToTifTilDetailAction.do?tilcod=2002222301267</t>
  </si>
  <si>
    <t>https://opac.libnet.pref.okayama.jp/licsxp-opac/WOpacMsgNewListToTifTilDetailAction.do?tilcod=2002222300697</t>
  </si>
  <si>
    <t>https://opac.libnet.pref.okayama.jp/licsxp-opac/WOpacMsgNewListToTifTilDetailAction.do?tilcod=2002222332546</t>
  </si>
  <si>
    <t>https://opac.libnet.pref.okayama.jp/licsxp-opac/WOpacMsgNewListToTifTilDetailAction.do?tilcod=2002222289563</t>
  </si>
  <si>
    <t>https://opac.libnet.pref.okayama.jp/licsxp-opac/WOpacMsgNewListToTifTilDetailAction.do?tilcod=2002222293171</t>
  </si>
  <si>
    <t>https://opac.libnet.pref.okayama.jp/licsxp-opac/WOpacMsgNewListToTifTilDetailAction.do?tilcod=2002222294061</t>
  </si>
  <si>
    <t>https://opac.libnet.pref.okayama.jp/licsxp-opac/WOpacMsgNewListToTifTilDetailAction.do?tilcod=2002222300979</t>
  </si>
  <si>
    <t>https://opac.libnet.pref.okayama.jp/licsxp-opac/WOpacMsgNewListToTifTilDetailAction.do?tilcod=2002222301724</t>
  </si>
  <si>
    <t>https://opac.libnet.pref.okayama.jp/licsxp-opac/WOpacMsgNewListToTifTilDetailAction.do?tilcod=2002222280841</t>
  </si>
  <si>
    <t>https://opac.libnet.pref.okayama.jp/licsxp-opac/WOpacMsgNewListToTifTilDetailAction.do?tilcod=2002222301625</t>
  </si>
  <si>
    <t>https://opac.libnet.pref.okayama.jp/licsxp-opac/WOpacMsgNewListToTifTilDetailAction.do?tilcod=2002222341232</t>
  </si>
  <si>
    <t>https://opac.libnet.pref.okayama.jp/licsxp-opac/WOpacMsgNewListToTifTilDetailAction.do?tilcod=2002222300305</t>
  </si>
  <si>
    <t>https://opac.libnet.pref.okayama.jp/licsxp-opac/WOpacMsgNewListToTifTilDetailAction.do?tilcod=2002222280973</t>
  </si>
  <si>
    <t>https://opac.libnet.pref.okayama.jp/licsxp-opac/WOpacMsgNewListToTifTilDetailAction.do?tilcod=2002222280983</t>
  </si>
  <si>
    <t>https://opac.libnet.pref.okayama.jp/licsxp-opac/WOpacMsgNewListToTifTilDetailAction.do?tilcod=2002222292531</t>
  </si>
  <si>
    <t>https://opac.libnet.pref.okayama.jp/licsxp-opac/WOpacMsgNewListToTifTilDetailAction.do?tilcod=2002222337430</t>
  </si>
  <si>
    <t>https://opac.libnet.pref.okayama.jp/licsxp-opac/WOpacMsgNewListToTifTilDetailAction.do?tilcod=2002222300188</t>
  </si>
  <si>
    <t>https://opac.libnet.pref.okayama.jp/licsxp-opac/WOpacMsgNewListToTifTilDetailAction.do?tilcod=2002222300182</t>
  </si>
  <si>
    <t>https://opac.libnet.pref.okayama.jp/licsxp-opac/WOpacMsgNewListToTifTilDetailAction.do?tilcod=2002222300258</t>
  </si>
  <si>
    <t>https://opac.libnet.pref.okayama.jp/licsxp-opac/WOpacMsgNewListToTifTilDetailAction.do?tilcod=2002222334046</t>
  </si>
  <si>
    <t>https://opac.libnet.pref.okayama.jp/licsxp-opac/WOpacMsgNewListToTifTilDetailAction.do?tilcod=2002222319620</t>
  </si>
  <si>
    <t>https://opac.libnet.pref.okayama.jp/licsxp-opac/WOpacMsgNewListToTifTilDetailAction.do?tilcod=2002222300877</t>
  </si>
  <si>
    <t>https://opac.libnet.pref.okayama.jp/licsxp-opac/WOpacMsgNewListToTifTilDetailAction.do?tilcod=2002222300878</t>
  </si>
  <si>
    <t>https://opac.libnet.pref.okayama.jp/licsxp-opac/WOpacMsgNewListToTifTilDetailAction.do?tilcod=2002222311168</t>
  </si>
  <si>
    <t>https://opac.libnet.pref.okayama.jp/licsxp-opac/WOpacMsgNewListToTifTilDetailAction.do?tilcod=2002222280631</t>
  </si>
  <si>
    <t>https://opac.libnet.pref.okayama.jp/licsxp-opac/WOpacMsgNewListToTifTilDetailAction.do?tilcod=2002222281041</t>
  </si>
  <si>
    <t>https://opac.libnet.pref.okayama.jp/licsxp-opac/WOpacMsgNewListToTifTilDetailAction.do?tilcod=2002222300732</t>
  </si>
  <si>
    <t>https://opac.libnet.pref.okayama.jp/licsxp-opac/WOpacMsgNewListToTifTilDetailAction.do?tilcod=2002222302275</t>
  </si>
  <si>
    <t>https://opac.libnet.pref.okayama.jp/licsxp-opac/WOpacMsgNewListToTifTilDetailAction.do?tilcod=2002222283093</t>
  </si>
  <si>
    <t>https://opac.libnet.pref.okayama.jp/licsxp-opac/WOpacMsgNewListToTifTilDetailAction.do?tilcod=2002222281223</t>
  </si>
  <si>
    <t>https://opac.libnet.pref.okayama.jp/licsxp-opac/WOpacMsgNewListToTifTilDetailAction.do?tilcod=2002222300879</t>
  </si>
  <si>
    <t>https://opac.libnet.pref.okayama.jp/licsxp-opac/WOpacMsgNewListToTifTilDetailAction.do?tilcod=2002222301395</t>
  </si>
  <si>
    <t>https://opac.libnet.pref.okayama.jp/licsxp-opac/WOpacMsgNewListToTifTilDetailAction.do?tilcod=2002222290491</t>
  </si>
  <si>
    <t>https://opac.libnet.pref.okayama.jp/licsxp-opac/WOpacMsgNewListToTifTilDetailAction.do?tilcod=2002222285661</t>
  </si>
  <si>
    <t>https://opac.libnet.pref.okayama.jp/licsxp-opac/WOpacMsgNewListToTifTilDetailAction.do?tilcod=2002222281363</t>
  </si>
  <si>
    <t>https://opac.libnet.pref.okayama.jp/licsxp-opac/WOpacMsgNewListToTifTilDetailAction.do?tilcod=2002222302245</t>
  </si>
  <si>
    <t>https://opac.libnet.pref.okayama.jp/licsxp-opac/WOpacMsgNewListToTifTilDetailAction.do?tilcod=2002222281383</t>
  </si>
  <si>
    <t>https://opac.libnet.pref.okayama.jp/licsxp-opac/WOpacMsgNewListToTifTilDetailAction.do?tilcod=2002222316249</t>
  </si>
  <si>
    <t>https://opac.libnet.pref.okayama.jp/licsxp-opac/WOpacMsgNewListToTifTilDetailAction.do?tilcod=2002222281443</t>
  </si>
  <si>
    <t>https://opac.libnet.pref.okayama.jp/licsxp-opac/WOpacMsgNewListToTifTilDetailAction.do?tilcod=2002222292571</t>
  </si>
  <si>
    <t>https://opac.libnet.pref.okayama.jp/licsxp-opac/WOpacMsgNewListToTifTilDetailAction.do?tilcod=2002222300707</t>
  </si>
  <si>
    <t>https://opac.libnet.pref.okayama.jp/licsxp-opac/WOpacMsgNewListToTifTilDetailAction.do?tilcod=2002222300432</t>
  </si>
  <si>
    <t>https://opac.libnet.pref.okayama.jp/licsxp-opac/WOpacMsgNewListToTifTilDetailAction.do?tilcod=2002222281093</t>
  </si>
  <si>
    <t>https://opac.libnet.pref.okayama.jp/licsxp-opac/WOpacMsgNewListToTifTilDetailAction.do?tilcod=2002222292541</t>
  </si>
  <si>
    <t>https://opac.libnet.pref.okayama.jp/licsxp-opac/WOpacMsgNewListToTifTilDetailAction.do?tilcod=2002222281193</t>
  </si>
  <si>
    <t>https://opac.libnet.pref.okayama.jp/licsxp-opac/WOpacMsgNewListToTifTilDetailAction.do?tilcod=2002222280331</t>
  </si>
  <si>
    <t>https://opac.libnet.pref.okayama.jp/licsxp-opac/WOpacMsgNewListToTifTilDetailAction.do?tilcod=2002222281103</t>
  </si>
  <si>
    <t>https://opac.libnet.pref.okayama.jp/licsxp-opac/WOpacMsgNewListToTifTilDetailAction.do?tilcod=2002222281113</t>
  </si>
  <si>
    <t>https://opac.libnet.pref.okayama.jp/licsxp-opac/WOpacMsgNewListToTifTilDetailAction.do?tilcod=2002222283201</t>
  </si>
  <si>
    <t>https://opac.libnet.pref.okayama.jp/licsxp-opac/WOpacMsgNewListToTifTilDetailAction.do?tilcod=2002222291391</t>
  </si>
  <si>
    <t>https://opac.libnet.pref.okayama.jp/licsxp-opac/WOpacMsgNewListToTifTilDetailAction.do?tilcod=2002222301825</t>
  </si>
  <si>
    <t>https://opac.libnet.pref.okayama.jp/licsxp-opac/WOpacMsgNewListToTifTilDetailAction.do?tilcod=2002222301176</t>
  </si>
  <si>
    <t>https://opac.libnet.pref.okayama.jp/licsxp-opac/WOpacMsgNewListToTifTilDetailAction.do?tilcod=2002222300487</t>
  </si>
  <si>
    <t>https://opac.libnet.pref.okayama.jp/licsxp-opac/WOpacMsgNewListToTifTilDetailAction.do?tilcod=2002222302062</t>
  </si>
  <si>
    <t>https://opac.libnet.pref.okayama.jp/licsxp-opac/WOpacMsgNewListToTifTilDetailAction.do?tilcod=2002222301793</t>
  </si>
  <si>
    <t>https://opac.libnet.pref.okayama.jp/licsxp-opac/WOpacMsgNewListToTifTilDetailAction.do?tilcod=2002222302063</t>
  </si>
  <si>
    <t>https://opac.libnet.pref.okayama.jp/licsxp-opac/WOpacMsgNewListToTifTilDetailAction.do?tilcod=2002222281203</t>
  </si>
  <si>
    <t>https://opac.libnet.pref.okayama.jp/licsxp-opac/WOpacMsgNewListToTifTilDetailAction.do?tilcod=2002222327908</t>
  </si>
  <si>
    <t>https://opac.libnet.pref.okayama.jp/licsxp-opac/WOpacMsgNewListToTifTilDetailAction.do?tilcod=2002222301503</t>
  </si>
  <si>
    <t>https://opac.libnet.pref.okayama.jp/licsxp-opac/WOpacMsgNewListToTifTilDetailAction.do?tilcod=2002222301518</t>
  </si>
  <si>
    <t>https://opac.libnet.pref.okayama.jp/licsxp-opac/WOpacMsgNewListToTifTilDetailAction.do?tilcod=2002222302065</t>
  </si>
  <si>
    <t>https://opac.libnet.pref.okayama.jp/licsxp-opac/WOpacMsgNewListToTifTilDetailAction.do?tilcod=2002222285581</t>
  </si>
  <si>
    <t>https://opac.libnet.pref.okayama.jp/licsxp-opac/WOpacMsgNewListToTifTilDetailAction.do?tilcod=2002222292551</t>
  </si>
  <si>
    <t>https://opac.libnet.pref.okayama.jp/licsxp-opac/WOpacMsgNewListToTifTilDetailAction.do?tilcod=2002222306697</t>
  </si>
  <si>
    <t>https://opac.libnet.pref.okayama.jp/licsxp-opac/WOpacMsgNewListToTifTilDetailAction.do?tilcod=2002222281213</t>
  </si>
  <si>
    <t>https://opac.libnet.pref.okayama.jp/licsxp-opac/WOpacMsgNewListToTifTilDetailAction.do?tilcod=2002222324592</t>
  </si>
  <si>
    <t>https://opac.libnet.pref.okayama.jp/licsxp-opac/WOpacMsgNewListToTifTilDetailAction.do?tilcod=2002222288373</t>
  </si>
  <si>
    <t>https://opac.libnet.pref.okayama.jp/licsxp-opac/WOpacMsgNewListToTifTilDetailAction.do?tilcod=2002222281233</t>
  </si>
  <si>
    <t>https://opac.libnet.pref.okayama.jp/licsxp-opac/WOpacMsgNewListToTifTilDetailAction.do?tilcod=2002222335708</t>
  </si>
  <si>
    <t>https://opac.libnet.pref.okayama.jp/licsxp-opac/WOpacMsgNewListToTifTilDetailAction.do?tilcod=2002222337831</t>
  </si>
  <si>
    <t>https://opac.libnet.pref.okayama.jp/licsxp-opac/WOpacMsgNewListToTifTilDetailAction.do?tilcod=2002222300880</t>
  </si>
  <si>
    <t>https://opac.libnet.pref.okayama.jp/licsxp-opac/WOpacMsgNewListToTifTilDetailAction.do?tilcod=2002222301633</t>
  </si>
  <si>
    <t>https://opac.libnet.pref.okayama.jp/licsxp-opac/WOpacMsgNewListToTifTilDetailAction.do?tilcod=2002222328229</t>
  </si>
  <si>
    <t>https://opac.libnet.pref.okayama.jp/licsxp-opac/WOpacMsgNewListToTifTilDetailAction.do?tilcod=2002222281243</t>
  </si>
  <si>
    <t>https://opac.libnet.pref.okayama.jp/licsxp-opac/WOpacMsgNewListToTifTilDetailAction.do?tilcod=2002222300881</t>
  </si>
  <si>
    <t>https://opac.libnet.pref.okayama.jp/licsxp-opac/WOpacMsgNewListToTifTilDetailAction.do?tilcod=2002222281263</t>
  </si>
  <si>
    <t>https://opac.libnet.pref.okayama.jp/licsxp-opac/WOpacMsgNewListToTifTilDetailAction.do?tilcod=2002222292561</t>
  </si>
  <si>
    <t>https://opac.libnet.pref.okayama.jp/licsxp-opac/WOpacMsgNewListToTifTilDetailAction.do?tilcod=2002222281253</t>
  </si>
  <si>
    <t>https://opac.libnet.pref.okayama.jp/licsxp-opac/WOpacMsgNewListToTifTilDetailAction.do?tilcod=2002222300232</t>
  </si>
  <si>
    <t>https://opac.libnet.pref.okayama.jp/licsxp-opac/WOpacMsgNewListToTifTilDetailAction.do?tilcod=2002222294471</t>
  </si>
  <si>
    <t>https://opac.libnet.pref.okayama.jp/licsxp-opac/WOpacMsgNewListToTifTilDetailAction.do?tilcod=2002222341310</t>
  </si>
  <si>
    <t>https://opac.libnet.pref.okayama.jp/licsxp-opac/WOpacMsgNewListToTifTilDetailAction.do?tilcod=2002222301073</t>
  </si>
  <si>
    <t>https://opac.libnet.pref.okayama.jp/licsxp-opac/WOpacMsgNewListToTifTilDetailAction.do?tilcod=2002222282923</t>
  </si>
  <si>
    <t>https://opac.libnet.pref.okayama.jp/licsxp-opac/WOpacMsgNewListToTifTilDetailAction.do?tilcod=2002222300882</t>
  </si>
  <si>
    <t>https://opac.libnet.pref.okayama.jp/licsxp-opac/WOpacMsgNewListToTifTilDetailAction.do?tilcod=2002222288593</t>
  </si>
  <si>
    <t>https://opac.libnet.pref.okayama.jp/licsxp-opac/WOpacMsgNewListToTifTilDetailAction.do?tilcod=2002222281273</t>
  </si>
  <si>
    <t>https://opac.libnet.pref.okayama.jp/licsxp-opac/WOpacMsgNewListToTifTilDetailAction.do?tilcod=2002222281283</t>
  </si>
  <si>
    <t>https://opac.libnet.pref.okayama.jp/licsxp-opac/WOpacMsgNewListToTifTilDetailAction.do?tilcod=2002222338072</t>
  </si>
  <si>
    <t>https://opac.libnet.pref.okayama.jp/licsxp-opac/WOpacMsgNewListToTifTilDetailAction.do?tilcod=2002222281293</t>
  </si>
  <si>
    <t>https://opac.libnet.pref.okayama.jp/licsxp-opac/WOpacMsgNewListToTifTilDetailAction.do?tilcod=2002222281313</t>
  </si>
  <si>
    <t>https://opac.libnet.pref.okayama.jp/licsxp-opac/WOpacMsgNewListToTifTilDetailAction.do?tilcod=2002222301307</t>
  </si>
  <si>
    <t>https://opac.libnet.pref.okayama.jp/licsxp-opac/WOpacMsgNewListToTifTilDetailAction.do?tilcod=2002222324326</t>
  </si>
  <si>
    <t>https://opac.libnet.pref.okayama.jp/licsxp-opac/WOpacMsgNewListToTifTilDetailAction.do?tilcod=2002222281303</t>
  </si>
  <si>
    <t>https://opac.libnet.pref.okayama.jp/licsxp-opac/WOpacMsgNewListToTifTilDetailAction.do?tilcod=2002222292581</t>
  </si>
  <si>
    <t>https://opac.libnet.pref.okayama.jp/licsxp-opac/WOpacMsgNewListToTifTilDetailAction.do?tilcod=2002222315526</t>
  </si>
  <si>
    <t>https://opac.libnet.pref.okayama.jp/licsxp-opac/WOpacMsgNewListToTifTilDetailAction.do?tilcod=2002222281323</t>
  </si>
  <si>
    <t>https://opac.libnet.pref.okayama.jp/licsxp-opac/WOpacMsgNewListToTifTilDetailAction.do?tilcod=2002222331171</t>
  </si>
  <si>
    <t>https://opac.libnet.pref.okayama.jp/licsxp-opac/WOpacMsgNewListToTifTilDetailAction.do?tilcod=2002222301090</t>
  </si>
  <si>
    <t>https://opac.libnet.pref.okayama.jp/licsxp-opac/WOpacMsgNewListToTifTilDetailAction.do?tilcod=2002222335608</t>
  </si>
  <si>
    <t>https://opac.libnet.pref.okayama.jp/licsxp-opac/WOpacMsgNewListToTifTilDetailAction.do?tilcod=2002222333909</t>
  </si>
  <si>
    <t>https://opac.libnet.pref.okayama.jp/licsxp-opac/WOpacMsgNewListToTifTilDetailAction.do?tilcod=2002222332351</t>
  </si>
  <si>
    <t>https://opac.libnet.pref.okayama.jp/licsxp-opac/WOpacMsgNewListToTifTilDetailAction.do?tilcod=2002222281333</t>
  </si>
  <si>
    <t>https://opac.libnet.pref.okayama.jp/licsxp-opac/WOpacMsgNewListToTifTilDetailAction.do?tilcod=2002222301662</t>
  </si>
  <si>
    <t>https://opac.libnet.pref.okayama.jp/licsxp-opac/WOpacMsgNewListToTifTilDetailAction.do?tilcod=2002222281343</t>
  </si>
  <si>
    <t>https://opac.libnet.pref.okayama.jp/licsxp-opac/WOpacMsgNewListToTifTilDetailAction.do?tilcod=2002222301080</t>
  </si>
  <si>
    <t>https://opac.libnet.pref.okayama.jp/licsxp-opac/WOpacMsgNewListToTifTilDetailAction.do?tilcod=2002222331929</t>
  </si>
  <si>
    <t>https://opac.libnet.pref.okayama.jp/licsxp-opac/WOpacMsgNewListToTifTilDetailAction.do?tilcod=2002222281353</t>
  </si>
  <si>
    <t>https://opac.libnet.pref.okayama.jp/licsxp-opac/WOpacMsgNewListToTifTilDetailAction.do?tilcod=2002222302432</t>
  </si>
  <si>
    <t>https://opac.libnet.pref.okayama.jp/licsxp-opac/WOpacMsgNewListToTifTilDetailAction.do?tilcod=2002222301479</t>
  </si>
  <si>
    <t>https://opac.libnet.pref.okayama.jp/licsxp-opac/WOpacMsgNewListToTifTilDetailAction.do?tilcod=2002222282231</t>
  </si>
  <si>
    <t>https://opac.libnet.pref.okayama.jp/licsxp-opac/WOpacMsgNewListToTifTilDetailAction.do?tilcod=2002222301351</t>
  </si>
  <si>
    <t>https://opac.libnet.pref.okayama.jp/licsxp-opac/WOpacMsgNewListToTifTilDetailAction.do?tilcod=2002222281373</t>
  </si>
  <si>
    <t>https://opac.libnet.pref.okayama.jp/licsxp-opac/WOpacMsgNewListToTifTilDetailAction.do?tilcod=2002222281393</t>
  </si>
  <si>
    <t>https://opac.libnet.pref.okayama.jp/licsxp-opac/WOpacMsgNewListToTifTilDetailAction.do?tilcod=2002222334847</t>
  </si>
  <si>
    <t>https://opac.libnet.pref.okayama.jp/licsxp-opac/WOpacMsgNewListToTifTilDetailAction.do?tilcod=2002222282251</t>
  </si>
  <si>
    <t>https://opac.libnet.pref.okayama.jp/licsxp-opac/WOpacMsgNewListToTifTilDetailAction.do?tilcod=2002222289973</t>
  </si>
  <si>
    <t>https://opac.libnet.pref.okayama.jp/licsxp-opac/WOpacMsgNewListToTifTilDetailAction.do?tilcod=2002222291401</t>
  </si>
  <si>
    <t>https://opac.libnet.pref.okayama.jp/licsxp-opac/WOpacMsgNewListToTifTilDetailAction.do?tilcod=2002222281433</t>
  </si>
  <si>
    <t>https://opac.libnet.pref.okayama.jp/licsxp-opac/WOpacMsgNewListToTifTilDetailAction.do?tilcod=2002222281453</t>
  </si>
  <si>
    <t>https://opac.libnet.pref.okayama.jp/licsxp-opac/WOpacMsgNewListToTifTilDetailAction.do?tilcod=2002222281413</t>
  </si>
  <si>
    <t>https://opac.libnet.pref.okayama.jp/licsxp-opac/WOpacMsgNewListToTifTilDetailAction.do?tilcod=2002222281731</t>
  </si>
  <si>
    <t>https://opac.libnet.pref.okayama.jp/licsxp-opac/WOpacMsgNewListToTifTilDetailAction.do?tilcod=2002222281463</t>
  </si>
  <si>
    <t>https://opac.libnet.pref.okayama.jp/licsxp-opac/WOpacMsgNewListToTifTilDetailAction.do?tilcod=2002222281664</t>
  </si>
  <si>
    <t>https://opac.libnet.pref.okayama.jp/licsxp-opac/WOpacMsgNewListToTifTilDetailAction.do?tilcod=2002222281884</t>
  </si>
  <si>
    <t>https://opac.libnet.pref.okayama.jp/licsxp-opac/WOpacMsgNewListToTifTilDetailAction.do?tilcod=2002222285841</t>
  </si>
  <si>
    <t>https://opac.libnet.pref.okayama.jp/licsxp-opac/WOpacMsgNewListToTifTilDetailAction.do?tilcod=2002222341381</t>
  </si>
  <si>
    <t>https://opac.libnet.pref.okayama.jp/licsxp-opac/WOpacMsgNewListToTifTilDetailAction.do?tilcod=2002222337246</t>
  </si>
  <si>
    <t>https://opac.libnet.pref.okayama.jp/licsxp-opac/WOpacMsgNewListToTifTilDetailAction.do?tilcod=2002222281483</t>
  </si>
  <si>
    <t>https://opac.libnet.pref.okayama.jp/licsxp-opac/WOpacMsgNewListToTifTilDetailAction.do?tilcod=2002222281493</t>
  </si>
  <si>
    <t>https://opac.libnet.pref.okayama.jp/licsxp-opac/WOpacMsgNewListToTifTilDetailAction.do?tilcod=2002222301061</t>
  </si>
  <si>
    <t>https://opac.libnet.pref.okayama.jp/licsxp-opac/WOpacMsgNewListToTifTilDetailAction.do?tilcod=2002222320626</t>
  </si>
  <si>
    <t>https://opac.libnet.pref.okayama.jp/licsxp-opac/WOpacMsgNewListToTifTilDetailAction.do?tilcod=2002222301062</t>
  </si>
  <si>
    <t>https://opac.libnet.pref.okayama.jp/licsxp-opac/WOpacMsgNewListToTifTilDetailAction.do?tilcod=2002222334746</t>
  </si>
  <si>
    <t>https://opac.libnet.pref.okayama.jp/licsxp-opac/WOpacMsgNewListToTifTilDetailAction.do?tilcod=2002222281503</t>
  </si>
  <si>
    <t>https://opac.libnet.pref.okayama.jp/licsxp-opac/WOpacMsgNewListToTifTilDetailAction.do?tilcod=2002222281513</t>
  </si>
  <si>
    <t>https://opac.libnet.pref.okayama.jp/licsxp-opac/WOpacMsgNewListToTifTilDetailAction.do?tilcod=2002222306743</t>
  </si>
  <si>
    <t>https://opac.libnet.pref.okayama.jp/licsxp-opac/WOpacMsgNewListToTifTilDetailAction.do?tilcod=2002222281523</t>
  </si>
  <si>
    <t>https://opac.libnet.pref.okayama.jp/licsxp-opac/WOpacMsgNewListToTifTilDetailAction.do?tilcod=2002222344018</t>
  </si>
  <si>
    <t>https://opac.libnet.pref.okayama.jp/licsxp-opac/WOpacMsgNewListToTifTilDetailAction.do?tilcod=2002222281533</t>
  </si>
  <si>
    <t>https://opac.libnet.pref.okayama.jp/licsxp-opac/WOpacMsgNewListToTifTilDetailAction.do?tilcod=2002222281543</t>
  </si>
  <si>
    <t>https://opac.libnet.pref.okayama.jp/licsxp-opac/WOpacMsgNewListToTifTilDetailAction.do?tilcod=2002222302311</t>
  </si>
  <si>
    <t>https://opac.libnet.pref.okayama.jp/licsxp-opac/WOpacMsgNewListToTifTilDetailAction.do?tilcod=2002222319615</t>
  </si>
  <si>
    <t>https://opac.libnet.pref.okayama.jp/licsxp-opac/WOpacMsgNewListToTifTilDetailAction.do?tilcod=2002222307566</t>
  </si>
  <si>
    <t>https://opac.libnet.pref.okayama.jp/licsxp-opac/WOpacMsgNewListToTifTilDetailAction.do?tilcod=2002222302471</t>
  </si>
  <si>
    <t>https://opac.libnet.pref.okayama.jp/licsxp-opac/WOpacMsgNewListToTifTilDetailAction.do?tilcod=2002222281553</t>
  </si>
  <si>
    <t>https://opac.libnet.pref.okayama.jp/licsxp-opac/WOpacMsgNewListToTifTilDetailAction.do?tilcod=2002222341492</t>
  </si>
  <si>
    <t>https://opac.libnet.pref.okayama.jp/licsxp-opac/WOpacMsgNewListToTifTilDetailAction.do?tilcod=2002222300934</t>
  </si>
  <si>
    <t>https://opac.libnet.pref.okayama.jp/licsxp-opac/WOpacMsgNewListToTifTilDetailAction.do?tilcod=2002222281563</t>
  </si>
  <si>
    <t>https://opac.libnet.pref.okayama.jp/licsxp-opac/WOpacMsgNewListToTifTilDetailAction.do?tilcod=2002222281573</t>
  </si>
  <si>
    <t>https://opac.libnet.pref.okayama.jp/licsxp-opac/WOpacMsgNewListToTifTilDetailAction.do?tilcod=2002222320586</t>
  </si>
  <si>
    <t>https://opac.libnet.pref.okayama.jp/licsxp-opac/WOpacMsgNewListToTifTilDetailAction.do?tilcod=2002222281583</t>
  </si>
  <si>
    <t>https://opac.libnet.pref.okayama.jp/licsxp-opac/WOpacMsgNewListToTifTilDetailAction.do?tilcod=2002222281593</t>
  </si>
  <si>
    <t>https://opac.libnet.pref.okayama.jp/licsxp-opac/WOpacMsgNewListToTifTilDetailAction.do?tilcod=2002222281603</t>
  </si>
  <si>
    <t>https://opac.libnet.pref.okayama.jp/licsxp-opac/WOpacMsgNewListToTifTilDetailAction.do?tilcod=2002222281613</t>
  </si>
  <si>
    <t>https://opac.libnet.pref.okayama.jp/licsxp-opac/WOpacMsgNewListToTifTilDetailAction.do?tilcod=2002222340011</t>
  </si>
  <si>
    <t>https://opac.libnet.pref.okayama.jp/licsxp-opac/WOpacMsgNewListToTifTilDetailAction.do?tilcod=2002222302351</t>
  </si>
  <si>
    <t>https://opac.libnet.pref.okayama.jp/licsxp-opac/WOpacMsgNewListToTifTilDetailAction.do?tilcod=2002222302364</t>
  </si>
  <si>
    <t>https://opac.libnet.pref.okayama.jp/licsxp-opac/WOpacMsgNewListToTifTilDetailAction.do?tilcod=2002222281981</t>
  </si>
  <si>
    <t>https://opac.libnet.pref.okayama.jp/licsxp-opac/WOpacMsgNewListToTifTilDetailAction.do?tilcod=2002222288603</t>
  </si>
  <si>
    <t>https://opac.libnet.pref.okayama.jp/licsxp-opac/WOpacMsgNewListToTifTilDetailAction.do?tilcod=2002222340010</t>
  </si>
  <si>
    <t>https://opac.libnet.pref.okayama.jp/licsxp-opac/WOpacMsgNewListToTifTilDetailAction.do?tilcod=2002222336026</t>
  </si>
  <si>
    <t>https://opac.libnet.pref.okayama.jp/licsxp-opac/WOpacMsgNewListToTifTilDetailAction.do?tilcod=2002222301483</t>
  </si>
  <si>
    <t>https://opac.libnet.pref.okayama.jp/licsxp-opac/WOpacMsgNewListToTifTilDetailAction.do?tilcod=2002222324966</t>
  </si>
  <si>
    <t>https://opac.libnet.pref.okayama.jp/licsxp-opac/WOpacMsgNewListToTifTilDetailAction.do?tilcod=2002222302011</t>
  </si>
  <si>
    <t>https://opac.libnet.pref.okayama.jp/licsxp-opac/WOpacMsgNewListToTifTilDetailAction.do?tilcod=2002222300883</t>
  </si>
  <si>
    <t>https://opac.libnet.pref.okayama.jp/licsxp-opac/WOpacMsgNewListToTifTilDetailAction.do?tilcod=2002222280771</t>
  </si>
  <si>
    <t>https://opac.libnet.pref.okayama.jp/licsxp-opac/WOpacMsgNewListToTifTilDetailAction.do?tilcod=2002222281623</t>
  </si>
  <si>
    <t>https://opac.libnet.pref.okayama.jp/licsxp-opac/WOpacMsgNewListToTifTilDetailAction.do?tilcod=2002222302139</t>
  </si>
  <si>
    <t>https://opac.libnet.pref.okayama.jp/licsxp-opac/WOpacMsgNewListToTifTilDetailAction.do?tilcod=2002222300884</t>
  </si>
  <si>
    <t>https://opac.libnet.pref.okayama.jp/licsxp-opac/WOpacMsgNewListToTifTilDetailAction.do?tilcod=2002222300885</t>
  </si>
  <si>
    <t>https://opac.libnet.pref.okayama.jp/licsxp-opac/WOpacMsgNewListToTifTilDetailAction.do?tilcod=2002222323906</t>
  </si>
  <si>
    <t>https://opac.libnet.pref.okayama.jp/licsxp-opac/WOpacMsgNewListToTifTilDetailAction.do?tilcod=2002222300905</t>
  </si>
  <si>
    <t>https://opac.libnet.pref.okayama.jp/licsxp-opac/WOpacMsgNewListToTifTilDetailAction.do?tilcod=2002222281633</t>
  </si>
  <si>
    <t>https://opac.libnet.pref.okayama.jp/licsxp-opac/WOpacMsgNewListToTifTilDetailAction.do?tilcod=2002222300906</t>
  </si>
  <si>
    <t>https://opac.libnet.pref.okayama.jp/licsxp-opac/WOpacMsgNewListToTifTilDetailAction.do?tilcod=2002222300907</t>
  </si>
  <si>
    <t>https://opac.libnet.pref.okayama.jp/licsxp-opac/WOpacMsgNewListToTifTilDetailAction.do?tilcod=2002222292621</t>
  </si>
  <si>
    <t>https://opac.libnet.pref.okayama.jp/licsxp-opac/WOpacMsgNewListToTifTilDetailAction.do?tilcod=2002222335628</t>
  </si>
  <si>
    <t>https://opac.libnet.pref.okayama.jp/licsxp-opac/WOpacMsgNewListToTifTilDetailAction.do?tilcod=2002222281643</t>
  </si>
  <si>
    <t>https://opac.libnet.pref.okayama.jp/licsxp-opac/WOpacMsgNewListToTifTilDetailAction.do?tilcod=2002222315887</t>
  </si>
  <si>
    <t>https://opac.libnet.pref.okayama.jp/licsxp-opac/WOpacMsgNewListToTifTilDetailAction.do?tilcod=2002222328451</t>
  </si>
  <si>
    <t>https://opac.libnet.pref.okayama.jp/licsxp-opac/WOpacMsgNewListToTifTilDetailAction.do?tilcod=2002222301845</t>
  </si>
  <si>
    <t>https://opac.libnet.pref.okayama.jp/licsxp-opac/WOpacMsgNewListToTifTilDetailAction.do?tilcod=2002222315886</t>
  </si>
  <si>
    <t>https://opac.libnet.pref.okayama.jp/licsxp-opac/WOpacMsgNewListToTifTilDetailAction.do?tilcod=2002222301254</t>
  </si>
  <si>
    <t>https://opac.libnet.pref.okayama.jp/licsxp-opac/WOpacMsgNewListToTifTilDetailAction.do?tilcod=2002222300572</t>
  </si>
  <si>
    <t>https://opac.libnet.pref.okayama.jp/licsxp-opac/WOpacMsgNewListToTifTilDetailAction.do?tilcod=2002222300444</t>
  </si>
  <si>
    <t>https://opac.libnet.pref.okayama.jp/licsxp-opac/WOpacMsgNewListToTifTilDetailAction.do?tilcod=2002222302074</t>
  </si>
  <si>
    <t>https://opac.libnet.pref.okayama.jp/licsxp-opac/WOpacMsgNewListToTifTilDetailAction.do?tilcod=2002222281184</t>
  </si>
  <si>
    <t>https://opac.libnet.pref.okayama.jp/licsxp-opac/WOpacMsgNewListToTifTilDetailAction.do?tilcod=2002222330151</t>
  </si>
  <si>
    <t>https://opac.libnet.pref.okayama.jp/licsxp-opac/WOpacMsgNewListToTifTilDetailAction.do?tilcod=2002222340430</t>
  </si>
  <si>
    <t>https://opac.libnet.pref.okayama.jp/licsxp-opac/WOpacMsgNewListToTifTilDetailAction.do?tilcod=2002222300895</t>
  </si>
  <si>
    <t>https://opac.libnet.pref.okayama.jp/licsxp-opac/WOpacMsgNewListToTifTilDetailAction.do?tilcod=2002222300873</t>
  </si>
  <si>
    <t>https://opac.libnet.pref.okayama.jp/licsxp-opac/WOpacMsgNewListToTifTilDetailAction.do?tilcod=2002222301070</t>
  </si>
  <si>
    <t>https://opac.libnet.pref.okayama.jp/licsxp-opac/WOpacMsgNewListToTifTilDetailAction.do?tilcod=2002222301072</t>
  </si>
  <si>
    <t>https://opac.libnet.pref.okayama.jp/licsxp-opac/WOpacMsgNewListToTifTilDetailAction.do?tilcod=2002222301405</t>
  </si>
  <si>
    <t>https://opac.libnet.pref.okayama.jp/licsxp-opac/WOpacMsgNewListToTifTilDetailAction.do?tilcod=2002222301071</t>
  </si>
  <si>
    <t>https://opac.libnet.pref.okayama.jp/licsxp-opac/WOpacMsgNewListToTifTilDetailAction.do?tilcod=2002222325288</t>
  </si>
  <si>
    <t>https://opac.libnet.pref.okayama.jp/licsxp-opac/WOpacMsgNewListToTifTilDetailAction.do?tilcod=2002222300908</t>
  </si>
  <si>
    <t>https://opac.libnet.pref.okayama.jp/licsxp-opac/WOpacMsgNewListToTifTilDetailAction.do?tilcod=2002222300909</t>
  </si>
  <si>
    <t>https://opac.libnet.pref.okayama.jp/licsxp-opac/WOpacMsgNewListToTifTilDetailAction.do?tilcod=2002222300910</t>
  </si>
  <si>
    <t>https://opac.libnet.pref.okayama.jp/licsxp-opac/WOpacMsgNewListToTifTilDetailAction.do?tilcod=2002222300911</t>
  </si>
  <si>
    <t>https://opac.libnet.pref.okayama.jp/licsxp-opac/WOpacMsgNewListToTifTilDetailAction.do?tilcod=2002222301079</t>
  </si>
  <si>
    <t>https://opac.libnet.pref.okayama.jp/licsxp-opac/WOpacMsgNewListToTifTilDetailAction.do?tilcod=2002222281673</t>
  </si>
  <si>
    <t>https://opac.libnet.pref.okayama.jp/licsxp-opac/WOpacMsgNewListToTifTilDetailAction.do?tilcod=2002222281663</t>
  </si>
  <si>
    <t>https://opac.libnet.pref.okayama.jp/licsxp-opac/WOpacMsgNewListToTifTilDetailAction.do?tilcod=2002222300912</t>
  </si>
  <si>
    <t>https://opac.libnet.pref.okayama.jp/licsxp-opac/WOpacMsgNewListToTifTilDetailAction.do?tilcod=2002222300458</t>
  </si>
  <si>
    <t>https://opac.libnet.pref.okayama.jp/licsxp-opac/WOpacMsgNewListToTifTilDetailAction.do?tilcod=2002222281683</t>
  </si>
  <si>
    <t>https://opac.libnet.pref.okayama.jp/licsxp-opac/WOpacMsgNewListToTifTilDetailAction.do?tilcod=2002222292601</t>
  </si>
  <si>
    <t>https://opac.libnet.pref.okayama.jp/licsxp-opac/WOpacMsgNewListToTifTilDetailAction.do?tilcod=2002222292611</t>
  </si>
  <si>
    <t>https://opac.libnet.pref.okayama.jp/licsxp-opac/WOpacMsgNewListToTifTilDetailAction.do?tilcod=2002222280714</t>
  </si>
  <si>
    <t>https://opac.libnet.pref.okayama.jp/licsxp-opac/WOpacMsgNewListToTifTilDetailAction.do?tilcod=2002222281693</t>
  </si>
  <si>
    <t>https://opac.libnet.pref.okayama.jp/licsxp-opac/WOpacMsgNewListToTifTilDetailAction.do?tilcod=2002222302354</t>
  </si>
  <si>
    <t>https://opac.libnet.pref.okayama.jp/licsxp-opac/WOpacMsgNewListToTifTilDetailAction.do?tilcod=2002222281703</t>
  </si>
  <si>
    <t>https://opac.libnet.pref.okayama.jp/licsxp-opac/WOpacMsgNewListToTifTilDetailAction.do?tilcod=2002222281971</t>
  </si>
  <si>
    <t>https://opac.libnet.pref.okayama.jp/licsxp-opac/WOpacMsgNewListToTifTilDetailAction.do?tilcod=2002222292631</t>
  </si>
  <si>
    <t>https://opac.libnet.pref.okayama.jp/licsxp-opac/WOpacMsgNewListToTifTilDetailAction.do?tilcod=2002222280351</t>
  </si>
  <si>
    <t>https://opac.libnet.pref.okayama.jp/licsxp-opac/WOpacMsgNewListToTifTilDetailAction.do?tilcod=2002222300187</t>
  </si>
  <si>
    <t>https://opac.libnet.pref.okayama.jp/licsxp-opac/WOpacMsgNewListToTifTilDetailAction.do?tilcod=2002222301296</t>
  </si>
  <si>
    <t>https://opac.libnet.pref.okayama.jp/licsxp-opac/WOpacMsgNewListToTifTilDetailAction.do?tilcod=2002222329227</t>
  </si>
  <si>
    <t>https://opac.libnet.pref.okayama.jp/licsxp-opac/WOpacMsgNewListToTifTilDetailAction.do?tilcod=2002222281281</t>
  </si>
  <si>
    <t>https://opac.libnet.pref.okayama.jp/licsxp-opac/WOpacMsgNewListToTifTilDetailAction.do?tilcod=2002222281604</t>
  </si>
  <si>
    <t>https://opac.libnet.pref.okayama.jp/licsxp-opac/WOpacMsgNewListToTifTilDetailAction.do?tilcod=2002222281614</t>
  </si>
  <si>
    <t>https://opac.libnet.pref.okayama.jp/licsxp-opac/WOpacMsgNewListToTifTilDetailAction.do?tilcod=2002222281723</t>
  </si>
  <si>
    <t>https://opac.libnet.pref.okayama.jp/licsxp-opac/WOpacMsgNewListToTifTilDetailAction.do?tilcod=2002222281733</t>
  </si>
  <si>
    <t>https://opac.libnet.pref.okayama.jp/licsxp-opac/WOpacMsgNewListToTifTilDetailAction.do?tilcod=2002222316707</t>
  </si>
  <si>
    <t>https://opac.libnet.pref.okayama.jp/licsxp-opac/WOpacMsgNewListToTifTilDetailAction.do?tilcod=2002222335008</t>
  </si>
  <si>
    <t>https://opac.libnet.pref.okayama.jp/licsxp-opac/WOpacMsgNewListToTifTilDetailAction.do?tilcod=2002222302130</t>
  </si>
  <si>
    <t>https://opac.libnet.pref.okayama.jp/licsxp-opac/WOpacMsgNewListToTifTilDetailAction.do?tilcod=2002222291411</t>
  </si>
  <si>
    <t>https://opac.libnet.pref.okayama.jp/licsxp-opac/WOpacMsgNewListToTifTilDetailAction.do?tilcod=2002222302086</t>
  </si>
  <si>
    <t>https://opac.libnet.pref.okayama.jp/licsxp-opac/WOpacMsgNewListToTifTilDetailAction.do?tilcod=2002222281564</t>
  </si>
  <si>
    <t>https://opac.libnet.pref.okayama.jp/licsxp-opac/WOpacMsgNewListToTifTilDetailAction.do?tilcod=2002222302420</t>
  </si>
  <si>
    <t>https://opac.libnet.pref.okayama.jp/licsxp-opac/WOpacMsgNewListToTifTilDetailAction.do?tilcod=2002222280404</t>
  </si>
  <si>
    <t>https://opac.libnet.pref.okayama.jp/licsxp-opac/WOpacMsgNewListToTifTilDetailAction.do?tilcod=2002222334527</t>
  </si>
  <si>
    <t>https://opac.libnet.pref.okayama.jp/licsxp-opac/WOpacMsgNewListToTifTilDetailAction.do?tilcod=2002222322706</t>
  </si>
  <si>
    <t>https://opac.libnet.pref.okayama.jp/licsxp-opac/WOpacMsgNewListToTifTilDetailAction.do?tilcod=2002222307608</t>
  </si>
  <si>
    <t>https://opac.libnet.pref.okayama.jp/licsxp-opac/WOpacMsgNewListToTifTilDetailAction.do?tilcod=2002222292801</t>
  </si>
  <si>
    <t>https://opac.libnet.pref.okayama.jp/licsxp-opac/WOpacMsgNewListToTifTilDetailAction.do?tilcod=2002222294001</t>
  </si>
  <si>
    <t>https://opac.libnet.pref.okayama.jp/licsxp-opac/WOpacMsgNewListToTifTilDetailAction.do?tilcod=2002222300234</t>
  </si>
  <si>
    <t>https://opac.libnet.pref.okayama.jp/licsxp-opac/WOpacMsgNewListToTifTilDetailAction.do?tilcod=2002222301868</t>
  </si>
  <si>
    <t>https://opac.libnet.pref.okayama.jp/licsxp-opac/WOpacMsgNewListToTifTilDetailAction.do?tilcod=2002222322647</t>
  </si>
  <si>
    <t>https://opac.libnet.pref.okayama.jp/licsxp-opac/WOpacMsgNewListToTifTilDetailAction.do?tilcod=2002222302400</t>
  </si>
  <si>
    <t>https://opac.libnet.pref.okayama.jp/licsxp-opac/WOpacMsgNewListToTifTilDetailAction.do?tilcod=2002222287003</t>
  </si>
  <si>
    <t>https://opac.libnet.pref.okayama.jp/licsxp-opac/WOpacMsgNewListToTifTilDetailAction.do?tilcod=2002222341233</t>
  </si>
  <si>
    <t>https://opac.libnet.pref.okayama.jp/licsxp-opac/WOpacMsgNewListToTifTilDetailAction.do?tilcod=2002222287013</t>
  </si>
  <si>
    <t>https://opac.libnet.pref.okayama.jp/licsxp-opac/WOpacMsgNewListToTifTilDetailAction.do?tilcod=2002222281721</t>
  </si>
  <si>
    <t>https://opac.libnet.pref.okayama.jp/licsxp-opac/WOpacMsgNewListToTifTilDetailAction.do?tilcod=2002222301373</t>
  </si>
  <si>
    <t>https://opac.libnet.pref.okayama.jp/licsxp-opac/WOpacMsgNewListToTifTilDetailAction.do?tilcod=2002222335968</t>
  </si>
  <si>
    <t>https://opac.libnet.pref.okayama.jp/licsxp-opac/WOpacMsgNewListToTifTilDetailAction.do?tilcod=2002222292641</t>
  </si>
  <si>
    <t>https://opac.libnet.pref.okayama.jp/licsxp-opac/WOpacMsgNewListToTifTilDetailAction.do?tilcod=2002222342751</t>
  </si>
  <si>
    <t>https://opac.libnet.pref.okayama.jp/licsxp-opac/WOpacMsgNewListToTifTilDetailAction.do?tilcod=2002222300913</t>
  </si>
  <si>
    <t>https://opac.libnet.pref.okayama.jp/licsxp-opac/WOpacMsgNewListToTifTilDetailAction.do?tilcod=2002222281743</t>
  </si>
  <si>
    <t>https://opac.libnet.pref.okayama.jp/licsxp-opac/WOpacMsgNewListToTifTilDetailAction.do?tilcod=2002222339470</t>
  </si>
  <si>
    <t>https://opac.libnet.pref.okayama.jp/licsxp-opac/WOpacMsgNewListToTifTilDetailAction.do?tilcod=2002222280504</t>
  </si>
  <si>
    <t>https://opac.libnet.pref.okayama.jp/licsxp-opac/WOpacMsgNewListToTifTilDetailAction.do?tilcod=2002222281753</t>
  </si>
  <si>
    <t>https://opac.libnet.pref.okayama.jp/licsxp-opac/WOpacMsgNewListToTifTilDetailAction.do?tilcod=2002222281763</t>
  </si>
  <si>
    <t>https://opac.libnet.pref.okayama.jp/licsxp-opac/WOpacMsgNewListToTifTilDetailAction.do?tilcod=2002222302444</t>
  </si>
  <si>
    <t>https://opac.libnet.pref.okayama.jp/licsxp-opac/WOpacMsgNewListToTifTilDetailAction.do?tilcod=2002222301501</t>
  </si>
  <si>
    <t>https://opac.libnet.pref.okayama.jp/licsxp-opac/WOpacMsgNewListToTifTilDetailAction.do?tilcod=2002222301039</t>
  </si>
  <si>
    <t>https://opac.libnet.pref.okayama.jp/licsxp-opac/WOpacMsgNewListToTifTilDetailAction.do?tilcod=2002222332346</t>
  </si>
  <si>
    <t>https://opac.libnet.pref.okayama.jp/licsxp-opac/WOpacMsgNewListToTifTilDetailAction.do?tilcod=2002222336447</t>
  </si>
  <si>
    <t>https://opac.libnet.pref.okayama.jp/licsxp-opac/WOpacMsgNewListToTifTilDetailAction.do?tilcod=2002222332327</t>
  </si>
  <si>
    <t>https://opac.libnet.pref.okayama.jp/licsxp-opac/WOpacMsgNewListToTifTilDetailAction.do?tilcod=2002222334389</t>
  </si>
  <si>
    <t>https://opac.libnet.pref.okayama.jp/licsxp-opac/WOpacMsgNewListToTifTilDetailAction.do?tilcod=2002222332426</t>
  </si>
  <si>
    <t>https://opac.libnet.pref.okayama.jp/licsxp-opac/WOpacMsgNewListToTifTilDetailAction.do?tilcod=2002222334388</t>
  </si>
  <si>
    <t>https://opac.libnet.pref.okayama.jp/licsxp-opac/WOpacMsgNewListToTifTilDetailAction.do?tilcod=2002222340611</t>
  </si>
  <si>
    <t>https://opac.libnet.pref.okayama.jp/licsxp-opac/WOpacMsgNewListToTifTilDetailAction.do?tilcod=2002222340614</t>
  </si>
  <si>
    <t>https://opac.libnet.pref.okayama.jp/licsxp-opac/WOpacMsgNewListToTifTilDetailAction.do?tilcod=2002222340615</t>
  </si>
  <si>
    <t>https://opac.libnet.pref.okayama.jp/licsxp-opac/WOpacMsgNewListToTifTilDetailAction.do?tilcod=2002222340612</t>
  </si>
  <si>
    <t>https://opac.libnet.pref.okayama.jp/licsxp-opac/WOpacMsgNewListToTifTilDetailAction.do?tilcod=2002222301404</t>
  </si>
  <si>
    <t>https://opac.libnet.pref.okayama.jp/licsxp-opac/WOpacMsgNewListToTifTilDetailAction.do?tilcod=2002222342130</t>
  </si>
  <si>
    <t>https://opac.libnet.pref.okayama.jp/licsxp-opac/WOpacMsgNewListToTifTilDetailAction.do?tilcod=2002222281773</t>
  </si>
  <si>
    <t>https://opac.libnet.pref.okayama.jp/licsxp-opac/WOpacMsgNewListToTifTilDetailAction.do?tilcod=2002222281783</t>
  </si>
  <si>
    <t>https://opac.libnet.pref.okayama.jp/licsxp-opac/WOpacMsgNewListToTifTilDetailAction.do?tilcod=2002222281793</t>
  </si>
  <si>
    <t>https://opac.libnet.pref.okayama.jp/licsxp-opac/WOpacMsgNewListToTifTilDetailAction.do?tilcod=2002222291421</t>
  </si>
  <si>
    <t>https://opac.libnet.pref.okayama.jp/licsxp-opac/WOpacMsgNewListToTifTilDetailAction.do?tilcod=2002222281803</t>
  </si>
  <si>
    <t>https://opac.libnet.pref.okayama.jp/licsxp-opac/WOpacMsgNewListToTifTilDetailAction.do?tilcod=2002222281813</t>
  </si>
  <si>
    <t>https://opac.libnet.pref.okayama.jp/licsxp-opac/WOpacMsgNewListToTifTilDetailAction.do?tilcod=2002222281601</t>
  </si>
  <si>
    <t>https://opac.libnet.pref.okayama.jp/licsxp-opac/WOpacMsgNewListToTifTilDetailAction.do?tilcod=2002222325287</t>
  </si>
  <si>
    <t>https://opac.libnet.pref.okayama.jp/licsxp-opac/WOpacMsgNewListToTifTilDetailAction.do?tilcod=2002222301352</t>
  </si>
  <si>
    <t>https://opac.libnet.pref.okayama.jp/licsxp-opac/WOpacMsgNewListToTifTilDetailAction.do?tilcod=2002222316327</t>
  </si>
  <si>
    <t>https://opac.libnet.pref.okayama.jp/licsxp-opac/WOpacMsgNewListToTifTilDetailAction.do?tilcod=2002222280464</t>
  </si>
  <si>
    <t>https://opac.libnet.pref.okayama.jp/licsxp-opac/WOpacMsgNewListToTifTilDetailAction.do?tilcod=2002222315447</t>
  </si>
  <si>
    <t>https://opac.libnet.pref.okayama.jp/licsxp-opac/WOpacMsgNewListToTifTilDetailAction.do?tilcod=2002222321626</t>
  </si>
  <si>
    <t>https://opac.libnet.pref.okayama.jp/licsxp-opac/WOpacMsgNewListToTifTilDetailAction.do?tilcod=2002222291431</t>
  </si>
  <si>
    <t>https://opac.libnet.pref.okayama.jp/licsxp-opac/WOpacMsgNewListToTifTilDetailAction.do?tilcod=2002222338330</t>
  </si>
  <si>
    <t>https://opac.libnet.pref.okayama.jp/licsxp-opac/WOpacMsgNewListToTifTilDetailAction.do?tilcod=2002222294041</t>
  </si>
  <si>
    <t>https://opac.libnet.pref.okayama.jp/licsxp-opac/WOpacMsgNewListToTifTilDetailAction.do?tilcod=2002222281843</t>
  </si>
  <si>
    <t>https://opac.libnet.pref.okayama.jp/licsxp-opac/WOpacMsgNewListToTifTilDetailAction.do?tilcod=2002222281853</t>
  </si>
  <si>
    <t>https://opac.libnet.pref.okayama.jp/licsxp-opac/WOpacMsgNewListToTifTilDetailAction.do?tilcod=2002222280391</t>
  </si>
  <si>
    <t>https://opac.libnet.pref.okayama.jp/licsxp-opac/WOpacMsgNewListToTifTilDetailAction.do?tilcod=2002222281863</t>
  </si>
  <si>
    <t>https://opac.libnet.pref.okayama.jp/licsxp-opac/WOpacMsgNewListToTifTilDetailAction.do?tilcod=2002222281873</t>
  </si>
  <si>
    <t>https://opac.libnet.pref.okayama.jp/licsxp-opac/WOpacMsgNewListToTifTilDetailAction.do?tilcod=2002222293611</t>
  </si>
  <si>
    <t>https://opac.libnet.pref.okayama.jp/licsxp-opac/WOpacMsgNewListToTifTilDetailAction.do?tilcod=2002222336707</t>
  </si>
  <si>
    <t>https://opac.libnet.pref.okayama.jp/licsxp-opac/WOpacMsgNewListToTifTilDetailAction.do?tilcod=2002222281883</t>
  </si>
  <si>
    <t>https://opac.libnet.pref.okayama.jp/licsxp-opac/WOpacMsgNewListToTifTilDetailAction.do?tilcod=2002222281893</t>
  </si>
  <si>
    <t>https://opac.libnet.pref.okayama.jp/licsxp-opac/WOpacMsgNewListToTifTilDetailAction.do?tilcod=2002222281903</t>
  </si>
  <si>
    <t>https://opac.libnet.pref.okayama.jp/licsxp-opac/WOpacMsgNewListToTifTilDetailAction.do?tilcod=2002222337031</t>
  </si>
  <si>
    <t>https://opac.libnet.pref.okayama.jp/licsxp-opac/WOpacMsgNewListToTifTilDetailAction.do?tilcod=2002222322386</t>
  </si>
  <si>
    <t>https://opac.libnet.pref.okayama.jp/licsxp-opac/WOpacMsgNewListToTifTilDetailAction.do?tilcod=2002222281913</t>
  </si>
  <si>
    <t>https://opac.libnet.pref.okayama.jp/licsxp-opac/WOpacMsgNewListToTifTilDetailAction.do?tilcod=2002222300914</t>
  </si>
  <si>
    <t>https://opac.libnet.pref.okayama.jp/licsxp-opac/WOpacMsgNewListToTifTilDetailAction.do?tilcod=2002222281064</t>
  </si>
  <si>
    <t>https://opac.libnet.pref.okayama.jp/licsxp-opac/WOpacMsgNewListToTifTilDetailAction.do?tilcod=2002222280454</t>
  </si>
  <si>
    <t>https://opac.libnet.pref.okayama.jp/licsxp-opac/WOpacMsgNewListToTifTilDetailAction.do?tilcod=2002222281923</t>
  </si>
  <si>
    <t>https://opac.libnet.pref.okayama.jp/licsxp-opac/WOpacMsgNewListToTifTilDetailAction.do?tilcod=2002222306583</t>
  </si>
  <si>
    <t>https://opac.libnet.pref.okayama.jp/licsxp-opac/WOpacMsgNewListToTifTilDetailAction.do?tilcod=2002222300725</t>
  </si>
  <si>
    <t>https://opac.libnet.pref.okayama.jp/licsxp-opac/WOpacMsgNewListToTifTilDetailAction.do?tilcod=2002222312973</t>
  </si>
  <si>
    <t>https://opac.libnet.pref.okayama.jp/licsxp-opac/WOpacMsgNewListToTifTilDetailAction.do?tilcod=2002222281933</t>
  </si>
  <si>
    <t>https://opac.libnet.pref.okayama.jp/licsxp-opac/WOpacMsgNewListToTifTilDetailAction.do?tilcod=2002222301228</t>
  </si>
  <si>
    <t>https://opac.libnet.pref.okayama.jp/licsxp-opac/WOpacMsgNewListToTifTilDetailAction.do?tilcod=2002222300604</t>
  </si>
  <si>
    <t>https://opac.libnet.pref.okayama.jp/licsxp-opac/WOpacMsgNewListToTifTilDetailAction.do?tilcod=2002222302013</t>
  </si>
  <si>
    <t>https://opac.libnet.pref.okayama.jp/licsxp-opac/WOpacMsgNewListToTifTilDetailAction.do?tilcod=2002222281943</t>
  </si>
  <si>
    <t>https://opac.libnet.pref.okayama.jp/licsxp-opac/WOpacMsgNewListToTifTilDetailAction.do?tilcod=2002222333829</t>
  </si>
  <si>
    <t>https://opac.libnet.pref.okayama.jp/licsxp-opac/WOpacMsgNewListToTifTilDetailAction.do?tilcod=2002222341750</t>
  </si>
  <si>
    <t>https://opac.libnet.pref.okayama.jp/licsxp-opac/WOpacMsgNewListToTifTilDetailAction.do?tilcod=2002222282001</t>
  </si>
  <si>
    <t>https://opac.libnet.pref.okayama.jp/licsxp-opac/WOpacMsgNewListToTifTilDetailAction.do?tilcod=2002222307306</t>
  </si>
  <si>
    <t>https://opac.libnet.pref.okayama.jp/licsxp-opac/WOpacMsgNewListToTifTilDetailAction.do?tilcod=2002222281963</t>
  </si>
  <si>
    <t>https://opac.libnet.pref.okayama.jp/licsxp-opac/WOpacMsgNewListToTifTilDetailAction.do?tilcod=2002222281973</t>
  </si>
  <si>
    <t>https://opac.libnet.pref.okayama.jp/licsxp-opac/WOpacMsgNewListToTifTilDetailAction.do?tilcod=2002222285161</t>
  </si>
  <si>
    <t>https://opac.libnet.pref.okayama.jp/licsxp-opac/WOpacMsgNewListToTifTilDetailAction.do?tilcod=2002222301992</t>
  </si>
  <si>
    <t>https://opac.libnet.pref.okayama.jp/licsxp-opac/WOpacMsgNewListToTifTilDetailAction.do?tilcod=2002222336987</t>
  </si>
  <si>
    <t>https://opac.libnet.pref.okayama.jp/licsxp-opac/WOpacMsgNewListToTifTilDetailAction.do?tilcod=2002222331928</t>
  </si>
  <si>
    <t>https://opac.libnet.pref.okayama.jp/licsxp-opac/WOpacMsgNewListToTifTilDetailAction.do?tilcod=2002222281993</t>
  </si>
  <si>
    <t>https://opac.libnet.pref.okayama.jp/licsxp-opac/WOpacMsgNewListToTifTilDetailAction.do?tilcod=2002222301563</t>
  </si>
  <si>
    <t>https://opac.libnet.pref.okayama.jp/licsxp-opac/WOpacMsgNewListToTifTilDetailAction.do?tilcod=2002222287023</t>
  </si>
  <si>
    <t>https://opac.libnet.pref.okayama.jp/licsxp-opac/WOpacMsgNewListToTifTilDetailAction.do?tilcod=2002222340350</t>
  </si>
  <si>
    <t>https://opac.libnet.pref.okayama.jp/licsxp-opac/WOpacMsgNewListToTifTilDetailAction.do?tilcod=2002222285281</t>
  </si>
  <si>
    <t>https://opac.libnet.pref.okayama.jp/licsxp-opac/WOpacMsgNewListToTifTilDetailAction.do?tilcod=2002222280411</t>
  </si>
  <si>
    <t>https://opac.libnet.pref.okayama.jp/licsxp-opac/WOpacMsgNewListToTifTilDetailAction.do?tilcod=2002222287043</t>
  </si>
  <si>
    <t>https://opac.libnet.pref.okayama.jp/licsxp-opac/WOpacMsgNewListToTifTilDetailAction.do?tilcod=2002222331488</t>
  </si>
  <si>
    <t>https://opac.libnet.pref.okayama.jp/licsxp-opac/WOpacMsgNewListToTifTilDetailAction.do?tilcod=2002222301905</t>
  </si>
  <si>
    <t>https://opac.libnet.pref.okayama.jp/licsxp-opac/WOpacMsgNewListToTifTilDetailAction.do?tilcod=2002222330066</t>
  </si>
  <si>
    <t>https://opac.libnet.pref.okayama.jp/licsxp-opac/WOpacMsgNewListToTifTilDetailAction.do?tilcod=2002222326867</t>
  </si>
  <si>
    <t>https://opac.libnet.pref.okayama.jp/licsxp-opac/WOpacMsgNewListToTifTilDetailAction.do?tilcod=2002222287053</t>
  </si>
  <si>
    <t>https://opac.libnet.pref.okayama.jp/licsxp-opac/WOpacMsgNewListToTifTilDetailAction.do?tilcod=2002222285191</t>
  </si>
  <si>
    <t>https://opac.libnet.pref.okayama.jp/licsxp-opac/WOpacMsgNewListToTifTilDetailAction.do?tilcod=2002222287073</t>
  </si>
  <si>
    <t>https://opac.libnet.pref.okayama.jp/licsxp-opac/WOpacMsgNewListToTifTilDetailAction.do?tilcod=2002222305963</t>
  </si>
  <si>
    <t>https://opac.libnet.pref.okayama.jp/licsxp-opac/WOpacMsgNewListToTifTilDetailAction.do?tilcod=2002222301956</t>
  </si>
  <si>
    <t>https://opac.libnet.pref.okayama.jp/licsxp-opac/WOpacMsgNewListToTifTilDetailAction.do?tilcod=2002222284451</t>
  </si>
  <si>
    <t>https://opac.libnet.pref.okayama.jp/licsxp-opac/WOpacMsgNewListToTifTilDetailAction.do?tilcod=2002222285561</t>
  </si>
  <si>
    <t>https://opac.libnet.pref.okayama.jp/licsxp-opac/WOpacMsgNewListToTifTilDetailAction.do?tilcod=2002222300915</t>
  </si>
  <si>
    <t>https://opac.libnet.pref.okayama.jp/licsxp-opac/WOpacMsgNewListToTifTilDetailAction.do?tilcod=2002222322906</t>
  </si>
  <si>
    <t>https://opac.libnet.pref.okayama.jp/licsxp-opac/WOpacMsgNewListToTifTilDetailAction.do?tilcod=2002222292661</t>
  </si>
  <si>
    <t>https://opac.libnet.pref.okayama.jp/licsxp-opac/WOpacMsgNewListToTifTilDetailAction.do?tilcod=2002222302329</t>
  </si>
  <si>
    <t>https://opac.libnet.pref.okayama.jp/licsxp-opac/WOpacMsgNewListToTifTilDetailAction.do?tilcod=2002222284621</t>
  </si>
  <si>
    <t>https://opac.libnet.pref.okayama.jp/licsxp-opac/WOpacMsgNewListToTifTilDetailAction.do?tilcod=2002222333831</t>
  </si>
  <si>
    <t>https://opac.libnet.pref.okayama.jp/licsxp-opac/WOpacMsgNewListToTifTilDetailAction.do?tilcod=2002222300699</t>
  </si>
  <si>
    <t>https://opac.libnet.pref.okayama.jp/licsxp-opac/WOpacMsgNewListToTifTilDetailAction.do?tilcod=2002222342734</t>
  </si>
  <si>
    <t>https://opac.libnet.pref.okayama.jp/licsxp-opac/WOpacMsgNewListToTifTilDetailAction.do?tilcod=2002222281854</t>
  </si>
  <si>
    <t>https://opac.libnet.pref.okayama.jp/licsxp-opac/WOpacMsgNewListToTifTilDetailAction.do?tilcod=2002222302123</t>
  </si>
  <si>
    <t>https://opac.libnet.pref.okayama.jp/licsxp-opac/WOpacMsgNewListToTifTilDetailAction.do?tilcod=2002222301709</t>
  </si>
  <si>
    <t>https://opac.libnet.pref.okayama.jp/licsxp-opac/WOpacMsgNewListToTifTilDetailAction.do?tilcod=2002222282661</t>
  </si>
  <si>
    <t>https://opac.libnet.pref.okayama.jp/licsxp-opac/WOpacMsgNewListToTifTilDetailAction.do?tilcod=2002222300827</t>
  </si>
  <si>
    <t>https://opac.libnet.pref.okayama.jp/licsxp-opac/WOpacMsgNewListToTifTilDetailAction.do?tilcod=2002222300792</t>
  </si>
  <si>
    <t>https://opac.libnet.pref.okayama.jp/licsxp-opac/WOpacMsgNewListToTifTilDetailAction.do?tilcod=2002222284431</t>
  </si>
  <si>
    <t>https://opac.libnet.pref.okayama.jp/licsxp-opac/WOpacMsgNewListToTifTilDetailAction.do?tilcod=2002222293731</t>
  </si>
  <si>
    <t>https://opac.libnet.pref.okayama.jp/licsxp-opac/WOpacMsgNewListToTifTilDetailAction.do?tilcod=2002222280431</t>
  </si>
  <si>
    <t>https://opac.libnet.pref.okayama.jp/licsxp-opac/WOpacMsgNewListToTifTilDetailAction.do?tilcod=2002222287083</t>
  </si>
  <si>
    <t>https://opac.libnet.pref.okayama.jp/licsxp-opac/WOpacMsgNewListToTifTilDetailAction.do?tilcod=2002222287093</t>
  </si>
  <si>
    <t>https://opac.libnet.pref.okayama.jp/licsxp-opac/WOpacMsgNewListToTifTilDetailAction.do?tilcod=2002222287113</t>
  </si>
  <si>
    <t>https://opac.libnet.pref.okayama.jp/licsxp-opac/WOpacMsgNewListToTifTilDetailAction.do?tilcod=2002222300222</t>
  </si>
  <si>
    <t>https://opac.libnet.pref.okayama.jp/licsxp-opac/WOpacMsgNewListToTifTilDetailAction.do?tilcod=2002222287103</t>
  </si>
  <si>
    <t>https://opac.libnet.pref.okayama.jp/licsxp-opac/WOpacMsgNewListToTifTilDetailAction.do?tilcod=2002222341150</t>
  </si>
  <si>
    <t>https://opac.libnet.pref.okayama.jp/licsxp-opac/WOpacMsgNewListToTifTilDetailAction.do?tilcod=2002222301127</t>
  </si>
  <si>
    <t>https://opac.libnet.pref.okayama.jp/licsxp-opac/WOpacMsgNewListToTifTilDetailAction.do?tilcod=2002222301767</t>
  </si>
  <si>
    <t>https://opac.libnet.pref.okayama.jp/licsxp-opac/WOpacMsgNewListToTifTilDetailAction.do?tilcod=2002222331424</t>
  </si>
  <si>
    <t>https://opac.libnet.pref.okayama.jp/licsxp-opac/WOpacMsgNewListToTifTilDetailAction.do?tilcod=2002222319348</t>
  </si>
  <si>
    <t>https://opac.libnet.pref.okayama.jp/licsxp-opac/WOpacMsgNewListToTifTilDetailAction.do?tilcod=2002222330627</t>
  </si>
  <si>
    <t>https://opac.libnet.pref.okayama.jp/licsxp-opac/WOpacMsgNewListToTifTilDetailAction.do?tilcod=2002222328887</t>
  </si>
  <si>
    <t>https://opac.libnet.pref.okayama.jp/licsxp-opac/WOpacMsgNewListToTifTilDetailAction.do?tilcod=2002222323887</t>
  </si>
  <si>
    <t>https://opac.libnet.pref.okayama.jp/licsxp-opac/WOpacMsgNewListToTifTilDetailAction.do?tilcod=2002222314826</t>
  </si>
  <si>
    <t>https://opac.libnet.pref.okayama.jp/licsxp-opac/WOpacMsgNewListToTifTilDetailAction.do?tilcod=2002222285421</t>
  </si>
  <si>
    <t>https://opac.libnet.pref.okayama.jp/licsxp-opac/WOpacMsgNewListToTifTilDetailAction.do?tilcod=2002222302310</t>
  </si>
  <si>
    <t>https://opac.libnet.pref.okayama.jp/licsxp-opac/WOpacMsgNewListToTifTilDetailAction.do?tilcod=2002222287133</t>
  </si>
  <si>
    <t>https://opac.libnet.pref.okayama.jp/licsxp-opac/WOpacMsgNewListToTifTilDetailAction.do?tilcod=2002222340610</t>
  </si>
  <si>
    <t>https://opac.libnet.pref.okayama.jp/licsxp-opac/WOpacMsgNewListToTifTilDetailAction.do?tilcod=2002222301048</t>
  </si>
  <si>
    <t>https://opac.libnet.pref.okayama.jp/licsxp-opac/WOpacMsgNewListToTifTilDetailAction.do?tilcod=2002222301534</t>
  </si>
  <si>
    <t>https://opac.libnet.pref.okayama.jp/licsxp-opac/WOpacMsgNewListToTifTilDetailAction.do?tilcod=2002222313966</t>
  </si>
  <si>
    <t>https://opac.libnet.pref.okayama.jp/licsxp-opac/WOpacMsgNewListToTifTilDetailAction.do?tilcod=2002222287153</t>
  </si>
  <si>
    <t>https://opac.libnet.pref.okayama.jp/licsxp-opac/WOpacMsgNewListToTifTilDetailAction.do?tilcod=2002222287163</t>
  </si>
  <si>
    <t>https://opac.libnet.pref.okayama.jp/licsxp-opac/WOpacMsgNewListToTifTilDetailAction.do?tilcod=2002222294581</t>
  </si>
  <si>
    <t>https://opac.libnet.pref.okayama.jp/licsxp-opac/WOpacMsgNewListToTifTilDetailAction.do?tilcod=2002222300573</t>
  </si>
  <si>
    <t>https://opac.libnet.pref.okayama.jp/licsxp-opac/WOpacMsgNewListToTifTilDetailAction.do?tilcod=2002222301746</t>
  </si>
  <si>
    <t>https://opac.libnet.pref.okayama.jp/licsxp-opac/WOpacMsgNewListToTifTilDetailAction.do?tilcod=2002222301208</t>
  </si>
  <si>
    <t>https://opac.libnet.pref.okayama.jp/licsxp-opac/WOpacMsgNewListToTifTilDetailAction.do?tilcod=2002222328461</t>
  </si>
  <si>
    <t>https://opac.libnet.pref.okayama.jp/licsxp-opac/WOpacMsgNewListToTifTilDetailAction.do?tilcod=2002222320349</t>
  </si>
  <si>
    <t>https://opac.libnet.pref.okayama.jp/licsxp-opac/WOpacMsgNewListToTifTilDetailAction.do?tilcod=2002222301815</t>
  </si>
  <si>
    <t>https://opac.libnet.pref.okayama.jp/licsxp-opac/WOpacMsgNewListToTifTilDetailAction.do?tilcod=2002222293891</t>
  </si>
  <si>
    <t>https://opac.libnet.pref.okayama.jp/licsxp-opac/WOpacMsgNewListToTifTilDetailAction.do?tilcod=2002222281234</t>
  </si>
  <si>
    <t>https://opac.libnet.pref.okayama.jp/licsxp-opac/WOpacMsgNewListToTifTilDetailAction.do?tilcod=2002222294591</t>
  </si>
  <si>
    <t>https://opac.libnet.pref.okayama.jp/licsxp-opac/WOpacMsgNewListToTifTilDetailAction.do?tilcod=2002222294601</t>
  </si>
  <si>
    <t>https://opac.libnet.pref.okayama.jp/licsxp-opac/WOpacMsgNewListToTifTilDetailAction.do?tilcod=2002222300656</t>
  </si>
  <si>
    <t>https://opac.libnet.pref.okayama.jp/licsxp-opac/WOpacMsgNewListToTifTilDetailAction.do?tilcod=2002222327649</t>
  </si>
  <si>
    <t>https://opac.libnet.pref.okayama.jp/licsxp-opac/WOpacMsgNewListToTifTilDetailAction.do?tilcod=2002222300172</t>
  </si>
  <si>
    <t>https://opac.libnet.pref.okayama.jp/licsxp-opac/WOpacMsgNewListToTifTilDetailAction.do?tilcod=2002222327626</t>
  </si>
  <si>
    <t>https://opac.libnet.pref.okayama.jp/licsxp-opac/WOpacMsgNewListToTifTilDetailAction.do?tilcod=2002222328586</t>
  </si>
  <si>
    <t>https://opac.libnet.pref.okayama.jp/licsxp-opac/WOpacMsgNewListToTifTilDetailAction.do?tilcod=2002222302437</t>
  </si>
  <si>
    <t>https://opac.libnet.pref.okayama.jp/licsxp-opac/WOpacMsgNewListToTifTilDetailAction.do?tilcod=2002222301961</t>
  </si>
  <si>
    <t>https://opac.libnet.pref.okayama.jp/licsxp-opac/WOpacMsgNewListToTifTilDetailAction.do?tilcod=2002222301476</t>
  </si>
  <si>
    <t>https://opac.libnet.pref.okayama.jp/licsxp-opac/WOpacMsgNewListToTifTilDetailAction.do?tilcod=2002222301449</t>
  </si>
  <si>
    <t>https://opac.libnet.pref.okayama.jp/licsxp-opac/WOpacMsgNewListToTifTilDetailAction.do?tilcod=2002222281621</t>
  </si>
  <si>
    <t>https://opac.libnet.pref.okayama.jp/licsxp-opac/WOpacMsgNewListToTifTilDetailAction.do?tilcod=2002222302058</t>
  </si>
  <si>
    <t>https://opac.libnet.pref.okayama.jp/licsxp-opac/WOpacMsgNewListToTifTilDetailAction.do?tilcod=2002222287173</t>
  </si>
  <si>
    <t>https://opac.libnet.pref.okayama.jp/licsxp-opac/WOpacMsgNewListToTifTilDetailAction.do?tilcod=2002222282721</t>
  </si>
  <si>
    <t>https://opac.libnet.pref.okayama.jp/licsxp-opac/WOpacMsgNewListToTifTilDetailAction.do?tilcod=2002222289903</t>
  </si>
  <si>
    <t>https://opac.libnet.pref.okayama.jp/licsxp-opac/WOpacMsgNewListToTifTilDetailAction.do?tilcod=2002222301492</t>
  </si>
  <si>
    <t>https://opac.libnet.pref.okayama.jp/licsxp-opac/WOpacMsgNewListToTifTilDetailAction.do?tilcod=2002222301491</t>
  </si>
  <si>
    <t>https://opac.libnet.pref.okayama.jp/licsxp-opac/WOpacMsgNewListToTifTilDetailAction.do?tilcod=2002222302441</t>
  </si>
  <si>
    <t>https://opac.libnet.pref.okayama.jp/licsxp-opac/WOpacMsgNewListToTifTilDetailAction.do?tilcod=2002222287193</t>
  </si>
  <si>
    <t>https://opac.libnet.pref.okayama.jp/licsxp-opac/WOpacMsgNewListToTifTilDetailAction.do?tilcod=2002222301678</t>
  </si>
  <si>
    <t>https://opac.libnet.pref.okayama.jp/licsxp-opac/WOpacMsgNewListToTifTilDetailAction.do?tilcod=2002222301976</t>
  </si>
  <si>
    <t>https://opac.libnet.pref.okayama.jp/licsxp-opac/WOpacMsgNewListToTifTilDetailAction.do?tilcod=2002222314166</t>
  </si>
  <si>
    <t>https://opac.libnet.pref.okayama.jp/licsxp-opac/WOpacMsgNewListToTifTilDetailAction.do?tilcod=2002222281524</t>
  </si>
  <si>
    <t>https://opac.libnet.pref.okayama.jp/licsxp-opac/WOpacMsgNewListToTifTilDetailAction.do?tilcod=2002222302144</t>
  </si>
  <si>
    <t>https://opac.libnet.pref.okayama.jp/licsxp-opac/WOpacMsgNewListToTifTilDetailAction.do?tilcod=2002222311486</t>
  </si>
  <si>
    <t>https://opac.libnet.pref.okayama.jp/licsxp-opac/WOpacMsgNewListToTifTilDetailAction.do?tilcod=2002222280441</t>
  </si>
  <si>
    <t>https://opac.libnet.pref.okayama.jp/licsxp-opac/WOpacMsgNewListToTifTilDetailAction.do?tilcod=2002222287203</t>
  </si>
  <si>
    <t>https://opac.libnet.pref.okayama.jp/licsxp-opac/WOpacMsgNewListToTifTilDetailAction.do?tilcod=2002222300621</t>
  </si>
  <si>
    <t>https://opac.libnet.pref.okayama.jp/licsxp-opac/WOpacMsgNewListToTifTilDetailAction.do?tilcod=2002222287213</t>
  </si>
  <si>
    <t>https://opac.libnet.pref.okayama.jp/licsxp-opac/WOpacMsgNewListToTifTilDetailAction.do?tilcod=2002222328430</t>
  </si>
  <si>
    <t>https://opac.libnet.pref.okayama.jp/licsxp-opac/WOpacMsgNewListToTifTilDetailAction.do?tilcod=2002222287223</t>
  </si>
  <si>
    <t>https://opac.libnet.pref.okayama.jp/licsxp-opac/WOpacMsgNewListToTifTilDetailAction.do?tilcod=2002222313328</t>
  </si>
  <si>
    <t>https://opac.libnet.pref.okayama.jp/licsxp-opac/WOpacMsgNewListToTifTilDetailAction.do?tilcod=2002222311166</t>
  </si>
  <si>
    <t>https://opac.libnet.pref.okayama.jp/licsxp-opac/WOpacMsgNewListToTifTilDetailAction.do?tilcod=2002222287233</t>
  </si>
  <si>
    <t>https://opac.libnet.pref.okayama.jp/licsxp-opac/WOpacMsgNewListToTifTilDetailAction.do?tilcod=2002222300918</t>
  </si>
  <si>
    <t>https://opac.libnet.pref.okayama.jp/licsxp-opac/WOpacMsgNewListToTifTilDetailAction.do?tilcod=2002222300623</t>
  </si>
  <si>
    <t>https://opac.libnet.pref.okayama.jp/licsxp-opac/WOpacMsgNewListToTifTilDetailAction.do?tilcod=2002222294501</t>
  </si>
  <si>
    <t>https://opac.libnet.pref.okayama.jp/licsxp-opac/WOpacMsgNewListToTifTilDetailAction.do?tilcod=2002222287243</t>
  </si>
  <si>
    <t>https://opac.libnet.pref.okayama.jp/licsxp-opac/WOpacMsgNewListToTifTilDetailAction.do?tilcod=2002222336587</t>
  </si>
  <si>
    <t>https://opac.libnet.pref.okayama.jp/licsxp-opac/WOpacMsgNewListToTifTilDetailAction.do?tilcod=2002222302353</t>
  </si>
  <si>
    <t>https://opac.libnet.pref.okayama.jp/licsxp-opac/WOpacMsgNewListToTifTilDetailAction.do?tilcod=2002222292671</t>
  </si>
  <si>
    <t>https://opac.libnet.pref.okayama.jp/licsxp-opac/WOpacMsgNewListToTifTilDetailAction.do?tilcod=2002222287253</t>
  </si>
  <si>
    <t>https://opac.libnet.pref.okayama.jp/licsxp-opac/WOpacMsgNewListToTifTilDetailAction.do?tilcod=2002222301346</t>
  </si>
  <si>
    <t>https://opac.libnet.pref.okayama.jp/licsxp-opac/WOpacMsgNewListToTifTilDetailAction.do?tilcod=2002222300891</t>
  </si>
  <si>
    <t>https://opac.libnet.pref.okayama.jp/licsxp-opac/WOpacMsgNewListToTifTilDetailAction.do?tilcod=2002222331418</t>
  </si>
  <si>
    <t>https://opac.libnet.pref.okayama.jp/licsxp-opac/WOpacMsgNewListToTifTilDetailAction.do?tilcod=2002222312406</t>
  </si>
  <si>
    <t>https://opac.libnet.pref.okayama.jp/licsxp-opac/WOpacMsgNewListToTifTilDetailAction.do?tilcod=2002222300181</t>
  </si>
  <si>
    <t>https://opac.libnet.pref.okayama.jp/licsxp-opac/WOpacMsgNewListToTifTilDetailAction.do?tilcod=2002222287303</t>
  </si>
  <si>
    <t>https://opac.libnet.pref.okayama.jp/licsxp-opac/WOpacMsgNewListToTifTilDetailAction.do?tilcod=2002222282761</t>
  </si>
  <si>
    <t>https://opac.libnet.pref.okayama.jp/licsxp-opac/WOpacMsgNewListToTifTilDetailAction.do?tilcod=2002222293931</t>
  </si>
  <si>
    <t>https://opac.libnet.pref.okayama.jp/licsxp-opac/WOpacMsgNewListToTifTilDetailAction.do?tilcod=2002222287263</t>
  </si>
  <si>
    <t>https://opac.libnet.pref.okayama.jp/licsxp-opac/WOpacMsgNewListToTifTilDetailAction.do?tilcod=2002222301429</t>
  </si>
  <si>
    <t>https://opac.libnet.pref.okayama.jp/licsxp-opac/WOpacMsgNewListToTifTilDetailAction.do?tilcod=2002222292691</t>
  </si>
  <si>
    <t>https://opac.libnet.pref.okayama.jp/licsxp-opac/WOpacMsgNewListToTifTilDetailAction.do?tilcod=2002222287273</t>
  </si>
  <si>
    <t>https://opac.libnet.pref.okayama.jp/licsxp-opac/WOpacMsgNewListToTifTilDetailAction.do?tilcod=2002222287283</t>
  </si>
  <si>
    <t>https://opac.libnet.pref.okayama.jp/licsxp-opac/WOpacMsgNewListToTifTilDetailAction.do?tilcod=2002222287293</t>
  </si>
  <si>
    <t>https://opac.libnet.pref.okayama.jp/licsxp-opac/WOpacMsgNewListToTifTilDetailAction.do?tilcod=2002222280451</t>
  </si>
  <si>
    <t>https://opac.libnet.pref.okayama.jp/licsxp-opac/WOpacMsgNewListToTifTilDetailAction.do?tilcod=2002222283111</t>
  </si>
  <si>
    <t>https://opac.libnet.pref.okayama.jp/licsxp-opac/WOpacMsgNewListToTifTilDetailAction.do?tilcod=2002222322369</t>
  </si>
  <si>
    <t>https://opac.libnet.pref.okayama.jp/licsxp-opac/WOpacMsgNewListToTifTilDetailAction.do?tilcod=2002222317946</t>
  </si>
  <si>
    <t>https://opac.libnet.pref.okayama.jp/licsxp-opac/WOpacMsgNewListToTifTilDetailAction.do?tilcod=2002222287313</t>
  </si>
  <si>
    <t>https://opac.libnet.pref.okayama.jp/licsxp-opac/WOpacMsgNewListToTifTilDetailAction.do?tilcod=2002222287323</t>
  </si>
  <si>
    <t>https://opac.libnet.pref.okayama.jp/licsxp-opac/WOpacMsgNewListToTifTilDetailAction.do?tilcod=2002222287353</t>
  </si>
  <si>
    <t>https://opac.libnet.pref.okayama.jp/licsxp-opac/WOpacMsgNewListToTifTilDetailAction.do?tilcod=2002222287343</t>
  </si>
  <si>
    <t>https://opac.libnet.pref.okayama.jp/licsxp-opac/WOpacMsgNewListToTifTilDetailAction.do?tilcod=2002222294361</t>
  </si>
  <si>
    <t>https://opac.libnet.pref.okayama.jp/licsxp-opac/WOpacMsgNewListToTifTilDetailAction.do?tilcod=2002222294391</t>
  </si>
  <si>
    <t>https://opac.libnet.pref.okayama.jp/licsxp-opac/WOpacMsgNewListToTifTilDetailAction.do?tilcod=2002222341385</t>
  </si>
  <si>
    <t>https://opac.libnet.pref.okayama.jp/licsxp-opac/WOpacMsgNewListToTifTilDetailAction.do?tilcod=2002222334853</t>
  </si>
  <si>
    <t>https://opac.libnet.pref.okayama.jp/licsxp-opac/WOpacMsgNewListToTifTilDetailAction.do?tilcod=2002222307053</t>
  </si>
  <si>
    <t>https://opac.libnet.pref.okayama.jp/licsxp-opac/WOpacMsgNewListToTifTilDetailAction.do?tilcod=2002222341376</t>
  </si>
  <si>
    <t>https://opac.libnet.pref.okayama.jp/licsxp-opac/WOpacMsgNewListToTifTilDetailAction.do?tilcod=2002222323786</t>
  </si>
  <si>
    <t>https://opac.libnet.pref.okayama.jp/licsxp-opac/WOpacMsgNewListToTifTilDetailAction.do?tilcod=2002222287363</t>
  </si>
  <si>
    <t>https://opac.libnet.pref.okayama.jp/licsxp-opac/WOpacMsgNewListToTifTilDetailAction.do?tilcod=2002222336972</t>
  </si>
  <si>
    <t>https://opac.libnet.pref.okayama.jp/licsxp-opac/WOpacMsgNewListToTifTilDetailAction.do?tilcod=2002222331941</t>
  </si>
  <si>
    <t>https://opac.libnet.pref.okayama.jp/licsxp-opac/WOpacMsgNewListToTifTilDetailAction.do?tilcod=2002222287373</t>
  </si>
  <si>
    <t>https://opac.libnet.pref.okayama.jp/licsxp-opac/WOpacMsgNewListToTifTilDetailAction.do?tilcod=2002222327910</t>
  </si>
  <si>
    <t>https://opac.libnet.pref.okayama.jp/licsxp-opac/WOpacMsgNewListToTifTilDetailAction.do?tilcod=2002222337092</t>
  </si>
  <si>
    <t>https://opac.libnet.pref.okayama.jp/licsxp-opac/WOpacMsgNewListToTifTilDetailAction.do?tilcod=2002222281674</t>
  </si>
  <si>
    <t>https://opac.libnet.pref.okayama.jp/licsxp-opac/WOpacMsgNewListToTifTilDetailAction.do?tilcod=2002222300919</t>
  </si>
  <si>
    <t>https://opac.libnet.pref.okayama.jp/licsxp-opac/WOpacMsgNewListToTifTilDetailAction.do?tilcod=2002222300923</t>
  </si>
  <si>
    <t>https://opac.libnet.pref.okayama.jp/licsxp-opac/WOpacMsgNewListToTifTilDetailAction.do?tilcod=2002222284311</t>
  </si>
  <si>
    <t>https://opac.libnet.pref.okayama.jp/licsxp-opac/WOpacMsgNewListToTifTilDetailAction.do?tilcod=2002222292721</t>
  </si>
  <si>
    <t>https://opac.libnet.pref.okayama.jp/licsxp-opac/WOpacMsgNewListToTifTilDetailAction.do?tilcod=2002222300921</t>
  </si>
  <si>
    <t>https://opac.libnet.pref.okayama.jp/licsxp-opac/WOpacMsgNewListToTifTilDetailAction.do?tilcod=2002222300922</t>
  </si>
  <si>
    <t>https://opac.libnet.pref.okayama.jp/licsxp-opac/WOpacMsgNewListToTifTilDetailAction.do?tilcod=2002222313547</t>
  </si>
  <si>
    <t>https://opac.libnet.pref.okayama.jp/licsxp-opac/WOpacMsgNewListToTifTilDetailAction.do?tilcod=2002222302473</t>
  </si>
  <si>
    <t>https://opac.libnet.pref.okayama.jp/licsxp-opac/WOpacMsgNewListToTifTilDetailAction.do?tilcod=2002222287383</t>
  </si>
  <si>
    <t>https://opac.libnet.pref.okayama.jp/licsxp-opac/WOpacMsgNewListToTifTilDetailAction.do?tilcod=2002222319909</t>
  </si>
  <si>
    <t>https://opac.libnet.pref.okayama.jp/licsxp-opac/WOpacMsgNewListToTifTilDetailAction.do?tilcod=2002222287393</t>
  </si>
  <si>
    <t>https://opac.libnet.pref.okayama.jp/licsxp-opac/WOpacMsgNewListToTifTilDetailAction.do?tilcod=2002222287403</t>
  </si>
  <si>
    <t>https://opac.libnet.pref.okayama.jp/licsxp-opac/WOpacMsgNewListToTifTilDetailAction.do?tilcod=2002222287413</t>
  </si>
  <si>
    <t>https://opac.libnet.pref.okayama.jp/licsxp-opac/WOpacMsgNewListToTifTilDetailAction.do?tilcod=2002222287423</t>
  </si>
  <si>
    <t>https://opac.libnet.pref.okayama.jp/licsxp-opac/WOpacMsgNewListToTifTilDetailAction.do?tilcod=2002222301915</t>
  </si>
  <si>
    <t>https://opac.libnet.pref.okayama.jp/licsxp-opac/WOpacMsgNewListToTifTilDetailAction.do?tilcod=2002222301499</t>
  </si>
  <si>
    <t>https://opac.libnet.pref.okayama.jp/licsxp-opac/WOpacMsgNewListToTifTilDetailAction.do?tilcod=2002222301371</t>
  </si>
  <si>
    <t>https://opac.libnet.pref.okayama.jp/licsxp-opac/WOpacMsgNewListToTifTilDetailAction.do?tilcod=2002222291451</t>
  </si>
  <si>
    <t>https://opac.libnet.pref.okayama.jp/licsxp-opac/WOpacMsgNewListToTifTilDetailAction.do?tilcod=2002222287433</t>
  </si>
  <si>
    <t>https://opac.libnet.pref.okayama.jp/licsxp-opac/WOpacMsgNewListToTifTilDetailAction.do?tilcod=2002222331932</t>
  </si>
  <si>
    <t>https://opac.libnet.pref.okayama.jp/licsxp-opac/WOpacMsgNewListToTifTilDetailAction.do?tilcod=2002222292731</t>
  </si>
  <si>
    <t>https://opac.libnet.pref.okayama.jp/licsxp-opac/WOpacMsgNewListToTifTilDetailAction.do?tilcod=2002222281761</t>
  </si>
  <si>
    <t>https://opac.libnet.pref.okayama.jp/licsxp-opac/WOpacMsgNewListToTifTilDetailAction.do?tilcod=2002222292741</t>
  </si>
  <si>
    <t>https://opac.libnet.pref.okayama.jp/licsxp-opac/WOpacMsgNewListToTifTilDetailAction.do?tilcod=2002222287443</t>
  </si>
  <si>
    <t>https://opac.libnet.pref.okayama.jp/licsxp-opac/WOpacMsgNewListToTifTilDetailAction.do?tilcod=2002222319737</t>
  </si>
  <si>
    <t>https://opac.libnet.pref.okayama.jp/licsxp-opac/WOpacMsgNewListToTifTilDetailAction.do?tilcod=2002222302411</t>
  </si>
  <si>
    <t>https://opac.libnet.pref.okayama.jp/licsxp-opac/WOpacMsgNewListToTifTilDetailAction.do?tilcod=2002222302303</t>
  </si>
  <si>
    <t>https://opac.libnet.pref.okayama.jp/licsxp-opac/WOpacMsgNewListToTifTilDetailAction.do?tilcod=2002222324646</t>
  </si>
  <si>
    <t>https://opac.libnet.pref.okayama.jp/licsxp-opac/WOpacMsgNewListToTifTilDetailAction.do?tilcod=2002222301490</t>
  </si>
  <si>
    <t>https://opac.libnet.pref.okayama.jp/licsxp-opac/WOpacMsgNewListToTifTilDetailAction.do?tilcod=2002222291461</t>
  </si>
  <si>
    <t>https://opac.libnet.pref.okayama.jp/licsxp-opac/WOpacMsgNewListToTifTilDetailAction.do?tilcod=2002222300996</t>
  </si>
  <si>
    <t>https://opac.libnet.pref.okayama.jp/licsxp-opac/WOpacMsgNewListToTifTilDetailAction.do?tilcod=2002222309986</t>
  </si>
  <si>
    <t>https://opac.libnet.pref.okayama.jp/licsxp-opac/WOpacMsgNewListToTifTilDetailAction.do?tilcod=2002222307289</t>
  </si>
  <si>
    <t>https://opac.libnet.pref.okayama.jp/licsxp-opac/WOpacMsgNewListToTifTilDetailAction.do?tilcod=2002222307589</t>
  </si>
  <si>
    <t>https://opac.libnet.pref.okayama.jp/licsxp-opac/WOpacMsgNewListToTifTilDetailAction.do?tilcod=2002222281151</t>
  </si>
  <si>
    <t>https://opac.libnet.pref.okayama.jp/licsxp-opac/WOpacMsgNewListToTifTilDetailAction.do?tilcod=2002222287463</t>
  </si>
  <si>
    <t>https://opac.libnet.pref.okayama.jp/licsxp-opac/WOpacMsgNewListToTifTilDetailAction.do?tilcod=2002222292751</t>
  </si>
  <si>
    <t>https://opac.libnet.pref.okayama.jp/licsxp-opac/WOpacMsgNewListToTifTilDetailAction.do?tilcod=2002222319616</t>
  </si>
  <si>
    <t>https://opac.libnet.pref.okayama.jp/licsxp-opac/WOpacMsgNewListToTifTilDetailAction.do?tilcod=2002222331938</t>
  </si>
  <si>
    <t>https://opac.libnet.pref.okayama.jp/licsxp-opac/WOpacMsgNewListToTifTilDetailAction.do?tilcod=2002222324449</t>
  </si>
  <si>
    <t>https://opac.libnet.pref.okayama.jp/licsxp-opac/WOpacMsgNewListToTifTilDetailAction.do?tilcod=2002222285181</t>
  </si>
  <si>
    <t>https://opac.libnet.pref.okayama.jp/licsxp-opac/WOpacMsgNewListToTifTilDetailAction.do?tilcod=2002222285241</t>
  </si>
  <si>
    <t>https://opac.libnet.pref.okayama.jp/licsxp-opac/WOpacMsgNewListToTifTilDetailAction.do?tilcod=2002222287503</t>
  </si>
  <si>
    <t>https://opac.libnet.pref.okayama.jp/licsxp-opac/WOpacMsgNewListToTifTilDetailAction.do?tilcod=2002222317226</t>
  </si>
  <si>
    <t>https://opac.libnet.pref.okayama.jp/licsxp-opac/WOpacMsgNewListToTifTilDetailAction.do?tilcod=2002222287493</t>
  </si>
  <si>
    <t>https://opac.libnet.pref.okayama.jp/licsxp-opac/WOpacMsgNewListToTifTilDetailAction.do?tilcod=2002222281983</t>
  </si>
  <si>
    <t>https://opac.libnet.pref.okayama.jp/licsxp-opac/WOpacMsgNewListToTifTilDetailAction.do?tilcod=2002222287513</t>
  </si>
  <si>
    <t>https://opac.libnet.pref.okayama.jp/licsxp-opac/WOpacMsgNewListToTifTilDetailAction.do?tilcod=2002222287523</t>
  </si>
  <si>
    <t>https://opac.libnet.pref.okayama.jp/licsxp-opac/WOpacMsgNewListToTifTilDetailAction.do?tilcod=2002222287533</t>
  </si>
  <si>
    <t>https://opac.libnet.pref.okayama.jp/licsxp-opac/WOpacMsgNewListToTifTilDetailAction.do?tilcod=2002222280993</t>
  </si>
  <si>
    <t>https://opac.libnet.pref.okayama.jp/licsxp-opac/WOpacMsgNewListToTifTilDetailAction.do?tilcod=2002222287543</t>
  </si>
  <si>
    <t>https://opac.libnet.pref.okayama.jp/licsxp-opac/WOpacMsgNewListToTifTilDetailAction.do?tilcod=2002222287553</t>
  </si>
  <si>
    <t>https://opac.libnet.pref.okayama.jp/licsxp-opac/WOpacMsgNewListToTifTilDetailAction.do?tilcod=2002222287563</t>
  </si>
  <si>
    <t>https://opac.libnet.pref.okayama.jp/licsxp-opac/WOpacMsgNewListToTifTilDetailAction.do?tilcod=2002222287573</t>
  </si>
  <si>
    <t>https://opac.libnet.pref.okayama.jp/licsxp-opac/WOpacMsgNewListToTifTilDetailAction.do?tilcod=2002222287583</t>
  </si>
  <si>
    <t>https://opac.libnet.pref.okayama.jp/licsxp-opac/WOpacMsgNewListToTifTilDetailAction.do?tilcod=2002222287593</t>
  </si>
  <si>
    <t>https://opac.libnet.pref.okayama.jp/licsxp-opac/WOpacMsgNewListToTifTilDetailAction.do?tilcod=2002222301343</t>
  </si>
  <si>
    <t>https://opac.libnet.pref.okayama.jp/licsxp-opac/WOpacMsgNewListToTifTilDetailAction.do?tilcod=2002222282491</t>
  </si>
  <si>
    <t>https://opac.libnet.pref.okayama.jp/licsxp-opac/WOpacMsgNewListToTifTilDetailAction.do?tilcod=2002222287603</t>
  </si>
  <si>
    <t>https://opac.libnet.pref.okayama.jp/licsxp-opac/WOpacMsgNewListToTifTilDetailAction.do?tilcod=2002222293941</t>
  </si>
  <si>
    <t>https://opac.libnet.pref.okayama.jp/licsxp-opac/WOpacMsgNewListToTifTilDetailAction.do?tilcod=2002222326106</t>
  </si>
  <si>
    <t>https://opac.libnet.pref.okayama.jp/licsxp-opac/WOpacMsgNewListToTifTilDetailAction.do?tilcod=2002222301344</t>
  </si>
  <si>
    <t>https://opac.libnet.pref.okayama.jp/licsxp-opac/WOpacMsgNewListToTifTilDetailAction.do?tilcod=2002222334970</t>
  </si>
  <si>
    <t>https://opac.libnet.pref.okayama.jp/licsxp-opac/WOpacMsgNewListToTifTilDetailAction.do?tilcod=2002222287613</t>
  </si>
  <si>
    <t>https://opac.libnet.pref.okayama.jp/licsxp-opac/WOpacMsgNewListToTifTilDetailAction.do?tilcod=2002222280994</t>
  </si>
  <si>
    <t>https://opac.libnet.pref.okayama.jp/licsxp-opac/WOpacMsgNewListToTifTilDetailAction.do?tilcod=2002222300793</t>
  </si>
  <si>
    <t>https://opac.libnet.pref.okayama.jp/licsxp-opac/WOpacMsgNewListToTifTilDetailAction.do?tilcod=2002222287623</t>
  </si>
  <si>
    <t>https://opac.libnet.pref.okayama.jp/licsxp-opac/WOpacMsgNewListToTifTilDetailAction.do?tilcod=2002222328326</t>
  </si>
  <si>
    <t>https://opac.libnet.pref.okayama.jp/licsxp-opac/WOpacMsgNewListToTifTilDetailAction.do?tilcod=2002222300924</t>
  </si>
  <si>
    <t>https://opac.libnet.pref.okayama.jp/licsxp-opac/WOpacMsgNewListToTifTilDetailAction.do?tilcod=2002222300925</t>
  </si>
  <si>
    <t>https://opac.libnet.pref.okayama.jp/licsxp-opac/WOpacMsgNewListToTifTilDetailAction.do?tilcod=2002222287633</t>
  </si>
  <si>
    <t>https://opac.libnet.pref.okayama.jp/licsxp-opac/WOpacMsgNewListToTifTilDetailAction.do?tilcod=2002222300452</t>
  </si>
  <si>
    <t>https://opac.libnet.pref.okayama.jp/licsxp-opac/WOpacMsgNewListToTifTilDetailAction.do?tilcod=2002222284381</t>
  </si>
  <si>
    <t>https://opac.libnet.pref.okayama.jp/licsxp-opac/WOpacMsgNewListToTifTilDetailAction.do?tilcod=2002222344070</t>
  </si>
  <si>
    <t>https://opac.libnet.pref.okayama.jp/licsxp-opac/WOpacMsgNewListToTifTilDetailAction.do?tilcod=2002222338353</t>
  </si>
  <si>
    <t>https://opac.libnet.pref.okayama.jp/licsxp-opac/WOpacMsgNewListToTifTilDetailAction.do?tilcod=2002222301400</t>
  </si>
  <si>
    <t>https://opac.libnet.pref.okayama.jp/licsxp-opac/WOpacMsgNewListToTifTilDetailAction.do?tilcod=2002222284602</t>
  </si>
  <si>
    <t>https://opac.libnet.pref.okayama.jp/licsxp-opac/WOpacMsgNewListToTifTilDetailAction.do?tilcod=2002222287653</t>
  </si>
  <si>
    <t>https://opac.libnet.pref.okayama.jp/licsxp-opac/WOpacMsgNewListToTifTilDetailAction.do?tilcod=2002222280484</t>
  </si>
  <si>
    <t>https://opac.libnet.pref.okayama.jp/licsxp-opac/WOpacMsgNewListToTifTilDetailAction.do?tilcod=2002222280524</t>
  </si>
  <si>
    <t>https://opac.libnet.pref.okayama.jp/licsxp-opac/WOpacMsgNewListToTifTilDetailAction.do?tilcod=2002222280534</t>
  </si>
  <si>
    <t>https://opac.libnet.pref.okayama.jp/licsxp-opac/WOpacMsgNewListToTifTilDetailAction.do?tilcod=2002222281101</t>
  </si>
  <si>
    <t>https://opac.libnet.pref.okayama.jp/licsxp-opac/WOpacMsgNewListToTifTilDetailAction.do?tilcod=2002222280544</t>
  </si>
  <si>
    <t>https://opac.libnet.pref.okayama.jp/licsxp-opac/WOpacMsgNewListToTifTilDetailAction.do?tilcod=2002222280554</t>
  </si>
  <si>
    <t>https://opac.libnet.pref.okayama.jp/licsxp-opac/WOpacMsgNewListToTifTilDetailAction.do?tilcod=2002222280564</t>
  </si>
  <si>
    <t>https://opac.libnet.pref.okayama.jp/licsxp-opac/WOpacMsgNewListToTifTilDetailAction.do?tilcod=2002222331415</t>
  </si>
  <si>
    <t>https://opac.libnet.pref.okayama.jp/licsxp-opac/WOpacMsgNewListToTifTilDetailAction.do?tilcod=2002222300166</t>
  </si>
  <si>
    <t>https://opac.libnet.pref.okayama.jp/licsxp-opac/WOpacMsgNewListToTifTilDetailAction.do?tilcod=2002222325506</t>
  </si>
  <si>
    <t>https://opac.libnet.pref.okayama.jp/licsxp-opac/WOpacMsgNewListToTifTilDetailAction.do?tilcod=2002222280574</t>
  </si>
  <si>
    <t>https://opac.libnet.pref.okayama.jp/licsxp-opac/WOpacMsgNewListToTifTilDetailAction.do?tilcod=2002222300920</t>
  </si>
  <si>
    <t>https://opac.libnet.pref.okayama.jp/licsxp-opac/WOpacMsgNewListToTifTilDetailAction.do?tilcod=2002222300926</t>
  </si>
  <si>
    <t>https://opac.libnet.pref.okayama.jp/licsxp-opac/WOpacMsgNewListToTifTilDetailAction.do?tilcod=2002222301896</t>
  </si>
  <si>
    <t>https://opac.libnet.pref.okayama.jp/licsxp-opac/WOpacMsgNewListToTifTilDetailAction.do?tilcod=2002222343976</t>
  </si>
  <si>
    <t>https://opac.libnet.pref.okayama.jp/licsxp-opac/WOpacMsgNewListToTifTilDetailAction.do?tilcod=2002222335626</t>
  </si>
  <si>
    <t>https://opac.libnet.pref.okayama.jp/licsxp-opac/WOpacMsgNewListToTifTilDetailAction.do?tilcod=2002222302007</t>
  </si>
  <si>
    <t>https://opac.libnet.pref.okayama.jp/licsxp-opac/WOpacMsgNewListToTifTilDetailAction.do?tilcod=2002222280584</t>
  </si>
  <si>
    <t>https://opac.libnet.pref.okayama.jp/licsxp-opac/WOpacMsgNewListToTifTilDetailAction.do?tilcod=2002222292771</t>
  </si>
  <si>
    <t>https://opac.libnet.pref.okayama.jp/licsxp-opac/WOpacMsgNewListToTifTilDetailAction.do?tilcod=2002222338870</t>
  </si>
  <si>
    <t>https://opac.libnet.pref.okayama.jp/licsxp-opac/WOpacMsgNewListToTifTilDetailAction.do?tilcod=2002222301098</t>
  </si>
  <si>
    <t>https://opac.libnet.pref.okayama.jp/licsxp-opac/WOpacMsgNewListToTifTilDetailAction.do?tilcod=2002222280594</t>
  </si>
  <si>
    <t>https://opac.libnet.pref.okayama.jp/licsxp-opac/WOpacMsgNewListToTifTilDetailAction.do?tilcod=2002222319614</t>
  </si>
  <si>
    <t>https://opac.libnet.pref.okayama.jp/licsxp-opac/WOpacMsgNewListToTifTilDetailAction.do?tilcod=2002222302320</t>
  </si>
  <si>
    <t>https://opac.libnet.pref.okayama.jp/licsxp-opac/WOpacMsgNewListToTifTilDetailAction.do?tilcod=2002222280474</t>
  </si>
  <si>
    <t>https://opac.libnet.pref.okayama.jp/licsxp-opac/WOpacMsgNewListToTifTilDetailAction.do?tilcod=2002222283113</t>
  </si>
  <si>
    <t>https://opac.libnet.pref.okayama.jp/licsxp-opac/WOpacMsgNewListToTifTilDetailAction.do?tilcod=2002222301114</t>
  </si>
  <si>
    <t>https://opac.libnet.pref.okayama.jp/licsxp-opac/WOpacMsgNewListToTifTilDetailAction.do?tilcod=2002222283123</t>
  </si>
  <si>
    <t>https://opac.libnet.pref.okayama.jp/licsxp-opac/WOpacMsgNewListToTifTilDetailAction.do?tilcod=2002222292781</t>
  </si>
  <si>
    <t>https://opac.libnet.pref.okayama.jp/licsxp-opac/WOpacMsgNewListToTifTilDetailAction.do?tilcod=2002222283133</t>
  </si>
  <si>
    <t>https://opac.libnet.pref.okayama.jp/licsxp-opac/WOpacMsgNewListToTifTilDetailAction.do?tilcod=2002222284661</t>
  </si>
  <si>
    <t>https://opac.libnet.pref.okayama.jp/licsxp-opac/WOpacMsgNewListToTifTilDetailAction.do?tilcod=2002222302087</t>
  </si>
  <si>
    <t>https://opac.libnet.pref.okayama.jp/licsxp-opac/WOpacMsgNewListToTifTilDetailAction.do?tilcod=2002222302088</t>
  </si>
  <si>
    <t>https://opac.libnet.pref.okayama.jp/licsxp-opac/WOpacMsgNewListToTifTilDetailAction.do?tilcod=2002222301102</t>
  </si>
  <si>
    <t>https://opac.libnet.pref.okayama.jp/licsxp-opac/WOpacMsgNewListToTifTilDetailAction.do?tilcod=2002222283143</t>
  </si>
  <si>
    <t>https://opac.libnet.pref.okayama.jp/licsxp-opac/WOpacMsgNewListToTifTilDetailAction.do?tilcod=2002222283153</t>
  </si>
  <si>
    <t>https://opac.libnet.pref.okayama.jp/licsxp-opac/WOpacMsgNewListToTifTilDetailAction.do?tilcod=2002222302481</t>
  </si>
  <si>
    <t>https://opac.libnet.pref.okayama.jp/licsxp-opac/WOpacMsgNewListToTifTilDetailAction.do?tilcod=2002222285501</t>
  </si>
  <si>
    <t>https://opac.libnet.pref.okayama.jp/licsxp-opac/WOpacMsgNewListToTifTilDetailAction.do?tilcod=2002222336567</t>
  </si>
  <si>
    <t>https://opac.libnet.pref.okayama.jp/licsxp-opac/WOpacMsgNewListToTifTilDetailAction.do?tilcod=2002222283163</t>
  </si>
  <si>
    <t>https://opac.libnet.pref.okayama.jp/licsxp-opac/WOpacMsgNewListToTifTilDetailAction.do?tilcod=2002222283173</t>
  </si>
  <si>
    <t>https://opac.libnet.pref.okayama.jp/licsxp-opac/WOpacMsgNewListToTifTilDetailAction.do?tilcod=2002222281471</t>
  </si>
  <si>
    <t>https://opac.libnet.pref.okayama.jp/licsxp-opac/WOpacMsgNewListToTifTilDetailAction.do?tilcod=2002222292791</t>
  </si>
  <si>
    <t>https://opac.libnet.pref.okayama.jp/licsxp-opac/WOpacMsgNewListToTifTilDetailAction.do?tilcod=2002222301110</t>
  </si>
  <si>
    <t>https://opac.libnet.pref.okayama.jp/licsxp-opac/WOpacMsgNewListToTifTilDetailAction.do?tilcod=2002222329288</t>
  </si>
  <si>
    <t>https://opac.libnet.pref.okayama.jp/licsxp-opac/WOpacMsgNewListToTifTilDetailAction.do?tilcod=2002222336646</t>
  </si>
  <si>
    <t>https://opac.libnet.pref.okayama.jp/licsxp-opac/WOpacMsgNewListToTifTilDetailAction.do?tilcod=2002222283183</t>
  </si>
  <si>
    <t>https://opac.libnet.pref.okayama.jp/licsxp-opac/WOpacMsgNewListToTifTilDetailAction.do?tilcod=2002222291811</t>
  </si>
  <si>
    <t>https://opac.libnet.pref.okayama.jp/licsxp-opac/WOpacMsgNewListToTifTilDetailAction.do?tilcod=2002222302038</t>
  </si>
  <si>
    <t>https://opac.libnet.pref.okayama.jp/licsxp-opac/WOpacMsgNewListToTifTilDetailAction.do?tilcod=2002222302152</t>
  </si>
  <si>
    <t>https://opac.libnet.pref.okayama.jp/licsxp-opac/WOpacMsgNewListToTifTilDetailAction.do?tilcod=2002222291801</t>
  </si>
  <si>
    <t>https://opac.libnet.pref.okayama.jp/licsxp-opac/WOpacMsgNewListToTifTilDetailAction.do?tilcod=2002222312506</t>
  </si>
  <si>
    <t>https://opac.libnet.pref.okayama.jp/licsxp-opac/WOpacMsgNewListToTifTilDetailAction.do?tilcod=2002222309146</t>
  </si>
  <si>
    <t>https://opac.libnet.pref.okayama.jp/licsxp-opac/WOpacMsgNewListToTifTilDetailAction.do?tilcod=2002222300313</t>
  </si>
  <si>
    <t>https://opac.libnet.pref.okayama.jp/licsxp-opac/WOpacMsgNewListToTifTilDetailAction.do?tilcod=2002222312346</t>
  </si>
  <si>
    <t>https://opac.libnet.pref.okayama.jp/licsxp-opac/WOpacMsgNewListToTifTilDetailAction.do?tilcod=2002222314907</t>
  </si>
  <si>
    <t>https://opac.libnet.pref.okayama.jp/licsxp-opac/WOpacMsgNewListToTifTilDetailAction.do?tilcod=2002222301013</t>
  </si>
  <si>
    <t>https://opac.libnet.pref.okayama.jp/licsxp-opac/WOpacMsgNewListToTifTilDetailAction.do?tilcod=2002222315326</t>
  </si>
  <si>
    <t>https://opac.libnet.pref.okayama.jp/licsxp-opac/WOpacMsgNewListToTifTilDetailAction.do?tilcod=2002222313386</t>
  </si>
  <si>
    <t>https://opac.libnet.pref.okayama.jp/licsxp-opac/WOpacMsgNewListToTifTilDetailAction.do?tilcod=2002222334786</t>
  </si>
  <si>
    <t>https://opac.libnet.pref.okayama.jp/licsxp-opac/WOpacMsgNewListToTifTilDetailAction.do?tilcod=2002222285721</t>
  </si>
  <si>
    <t>https://opac.libnet.pref.okayama.jp/licsxp-opac/WOpacMsgNewListToTifTilDetailAction.do?tilcod=2002222280881</t>
  </si>
  <si>
    <t>https://opac.libnet.pref.okayama.jp/licsxp-opac/WOpacMsgNewListToTifTilDetailAction.do?tilcod=2002222302445</t>
  </si>
  <si>
    <t>https://opac.libnet.pref.okayama.jp/licsxp-opac/WOpacMsgNewListToTifTilDetailAction.do?tilcod=2002222319427</t>
  </si>
  <si>
    <t>https://opac.libnet.pref.okayama.jp/licsxp-opac/WOpacMsgNewListToTifTilDetailAction.do?tilcod=2002222280481</t>
  </si>
  <si>
    <t>https://opac.libnet.pref.okayama.jp/licsxp-opac/WOpacMsgNewListToTifTilDetailAction.do?tilcod=2002222343632</t>
  </si>
  <si>
    <t>https://opac.libnet.pref.okayama.jp/licsxp-opac/WOpacMsgNewListToTifTilDetailAction.do?tilcod=2002222288513</t>
  </si>
  <si>
    <t>https://opac.libnet.pref.okayama.jp/licsxp-opac/WOpacMsgNewListToTifTilDetailAction.do?tilcod=2002222282121</t>
  </si>
  <si>
    <t>https://opac.libnet.pref.okayama.jp/licsxp-opac/WOpacMsgNewListToTifTilDetailAction.do?tilcod=2002222300927</t>
  </si>
  <si>
    <t>https://opac.libnet.pref.okayama.jp/licsxp-opac/WOpacMsgNewListToTifTilDetailAction.do?tilcod=2002222283193</t>
  </si>
  <si>
    <t>https://opac.libnet.pref.okayama.jp/licsxp-opac/WOpacMsgNewListToTifTilDetailAction.do?tilcod=2002222342732</t>
  </si>
  <si>
    <t>https://opac.libnet.pref.okayama.jp/licsxp-opac/WOpacMsgNewListToTifTilDetailAction.do?tilcod=2002222343635</t>
  </si>
  <si>
    <t>https://opac.libnet.pref.okayama.jp/licsxp-opac/WOpacMsgNewListToTifTilDetailAction.do?tilcod=2002222343636</t>
  </si>
  <si>
    <t>https://opac.libnet.pref.okayama.jp/licsxp-opac/WOpacMsgNewListToTifTilDetailAction.do?tilcod=2002222331346</t>
  </si>
  <si>
    <t>https://opac.libnet.pref.okayama.jp/licsxp-opac/WOpacMsgNewListToTifTilDetailAction.do?tilcod=2002222300306</t>
  </si>
  <si>
    <t>https://opac.libnet.pref.okayama.jp/licsxp-opac/WOpacMsgNewListToTifTilDetailAction.do?tilcod=2002222317126</t>
  </si>
  <si>
    <t>https://opac.libnet.pref.okayama.jp/licsxp-opac/WOpacMsgNewListToTifTilDetailAction.do?tilcod=2002222327906</t>
  </si>
  <si>
    <t>https://opac.libnet.pref.okayama.jp/licsxp-opac/WOpacMsgNewListToTifTilDetailAction.do?tilcod=2002222283213</t>
  </si>
  <si>
    <t>https://opac.libnet.pref.okayama.jp/licsxp-opac/WOpacMsgNewListToTifTilDetailAction.do?tilcod=2002222307246</t>
  </si>
  <si>
    <t>https://opac.libnet.pref.okayama.jp/licsxp-opac/WOpacMsgNewListToTifTilDetailAction.do?tilcod=2002222283203</t>
  </si>
  <si>
    <t>https://opac.libnet.pref.okayama.jp/licsxp-opac/WOpacMsgNewListToTifTilDetailAction.do?tilcod=2002222283223</t>
  </si>
  <si>
    <t>https://opac.libnet.pref.okayama.jp/licsxp-opac/WOpacMsgNewListToTifTilDetailAction.do?tilcod=2002222283233</t>
  </si>
  <si>
    <t>https://opac.libnet.pref.okayama.jp/licsxp-opac/WOpacMsgNewListToTifTilDetailAction.do?tilcod=2002222283243</t>
  </si>
  <si>
    <t>https://opac.libnet.pref.okayama.jp/licsxp-opac/WOpacMsgNewListToTifTilDetailAction.do?tilcod=2002222283253</t>
  </si>
  <si>
    <t>https://opac.libnet.pref.okayama.jp/licsxp-opac/WOpacMsgNewListToTifTilDetailAction.do?tilcod=2002222300177</t>
  </si>
  <si>
    <t>https://opac.libnet.pref.okayama.jp/licsxp-opac/WOpacMsgNewListToTifTilDetailAction.do?tilcod=2002222283263</t>
  </si>
  <si>
    <t>https://opac.libnet.pref.okayama.jp/licsxp-opac/WOpacMsgNewListToTifTilDetailAction.do?tilcod=2002222283273</t>
  </si>
  <si>
    <t>https://opac.libnet.pref.okayama.jp/licsxp-opac/WOpacMsgNewListToTifTilDetailAction.do?tilcod=2002222283283</t>
  </si>
  <si>
    <t>https://opac.libnet.pref.okayama.jp/licsxp-opac/WOpacMsgNewListToTifTilDetailAction.do?tilcod=2002222283293</t>
  </si>
  <si>
    <t>https://opac.libnet.pref.okayama.jp/licsxp-opac/WOpacMsgNewListToTifTilDetailAction.do?tilcod=2002222300928</t>
  </si>
  <si>
    <t>https://opac.libnet.pref.okayama.jp/licsxp-opac/WOpacMsgNewListToTifTilDetailAction.do?tilcod=2002222301255</t>
  </si>
  <si>
    <t>https://opac.libnet.pref.okayama.jp/licsxp-opac/WOpacMsgNewListToTifTilDetailAction.do?tilcod=2002222300520</t>
  </si>
  <si>
    <t>https://opac.libnet.pref.okayama.jp/licsxp-opac/WOpacMsgNewListToTifTilDetailAction.do?tilcod=2002222331046</t>
  </si>
  <si>
    <t>https://opac.libnet.pref.okayama.jp/licsxp-opac/WOpacMsgNewListToTifTilDetailAction.do?tilcod=2002222289993</t>
  </si>
  <si>
    <t>https://opac.libnet.pref.okayama.jp/licsxp-opac/WOpacMsgNewListToTifTilDetailAction.do?tilcod=2002222301753</t>
  </si>
  <si>
    <t>https://opac.libnet.pref.okayama.jp/licsxp-opac/WOpacMsgNewListToTifTilDetailAction.do?tilcod=2002222283303</t>
  </si>
  <si>
    <t>https://opac.libnet.pref.okayama.jp/licsxp-opac/WOpacMsgNewListToTifTilDetailAction.do?tilcod=2002222302099</t>
  </si>
  <si>
    <t>https://opac.libnet.pref.okayama.jp/licsxp-opac/WOpacMsgNewListToTifTilDetailAction.do?tilcod=2002222317187</t>
  </si>
  <si>
    <t>https://opac.libnet.pref.okayama.jp/licsxp-opac/WOpacMsgNewListToTifTilDetailAction.do?tilcod=2002222334076</t>
  </si>
  <si>
    <t>https://opac.libnet.pref.okayama.jp/licsxp-opac/WOpacMsgNewListToTifTilDetailAction.do?tilcod=2002222301036</t>
  </si>
  <si>
    <t>https://opac.libnet.pref.okayama.jp/licsxp-opac/WOpacMsgNewListToTifTilDetailAction.do?tilcod=2002222283323</t>
  </si>
  <si>
    <t>https://opac.libnet.pref.okayama.jp/licsxp-opac/WOpacMsgNewListToTifTilDetailAction.do?tilcod=2002222283313</t>
  </si>
  <si>
    <t>https://opac.libnet.pref.okayama.jp/licsxp-opac/WOpacMsgNewListToTifTilDetailAction.do?tilcod=2002222280501</t>
  </si>
  <si>
    <t>https://opac.libnet.pref.okayama.jp/licsxp-opac/WOpacMsgNewListToTifTilDetailAction.do?tilcod=2002222283333</t>
  </si>
  <si>
    <t>https://opac.libnet.pref.okayama.jp/licsxp-opac/WOpacMsgNewListToTifTilDetailAction.do?tilcod=2002222310627</t>
  </si>
  <si>
    <t>https://opac.libnet.pref.okayama.jp/licsxp-opac/WOpacMsgNewListToTifTilDetailAction.do?tilcod=2002222288613</t>
  </si>
  <si>
    <t>https://opac.libnet.pref.okayama.jp/licsxp-opac/WOpacMsgNewListToTifTilDetailAction.do?tilcod=2002222284321</t>
  </si>
  <si>
    <t>https://opac.libnet.pref.okayama.jp/licsxp-opac/WOpacMsgNewListToTifTilDetailAction.do?tilcod=2002222328518</t>
  </si>
  <si>
    <t>https://opac.libnet.pref.okayama.jp/licsxp-opac/WOpacMsgNewListToTifTilDetailAction.do?tilcod=2002222289573</t>
  </si>
  <si>
    <t>https://opac.libnet.pref.okayama.jp/licsxp-opac/WOpacMsgNewListToTifTilDetailAction.do?tilcod=2002222301824</t>
  </si>
  <si>
    <t>https://opac.libnet.pref.okayama.jp/licsxp-opac/WOpacMsgNewListToTifTilDetailAction.do?tilcod=2002222301270</t>
  </si>
  <si>
    <t>https://opac.libnet.pref.okayama.jp/licsxp-opac/WOpacMsgNewListToTifTilDetailAction.do?tilcod=2002222300579</t>
  </si>
  <si>
    <t>https://opac.libnet.pref.okayama.jp/licsxp-opac/WOpacMsgNewListToTifTilDetailAction.do?tilcod=2002222307406</t>
  </si>
  <si>
    <t>https://opac.libnet.pref.okayama.jp/licsxp-opac/WOpacMsgNewListToTifTilDetailAction.do?tilcod=2002222283343</t>
  </si>
  <si>
    <t>https://opac.libnet.pref.okayama.jp/licsxp-opac/WOpacMsgNewListToTifTilDetailAction.do?tilcod=2002222292811</t>
  </si>
  <si>
    <t>https://opac.libnet.pref.okayama.jp/licsxp-opac/WOpacMsgNewListToTifTilDetailAction.do?tilcod=2002222284401</t>
  </si>
  <si>
    <t>https://opac.libnet.pref.okayama.jp/licsxp-opac/WOpacMsgNewListToTifTilDetailAction.do?tilcod=2002222283353</t>
  </si>
  <si>
    <t>https://opac.libnet.pref.okayama.jp/licsxp-opac/WOpacMsgNewListToTifTilDetailAction.do?tilcod=2002222307288</t>
  </si>
  <si>
    <t>https://opac.libnet.pref.okayama.jp/licsxp-opac/WOpacMsgNewListToTifTilDetailAction.do?tilcod=2002222311909</t>
  </si>
  <si>
    <t>https://opac.libnet.pref.okayama.jp/licsxp-opac/WOpacMsgNewListToTifTilDetailAction.do?tilcod=2002222307346</t>
  </si>
  <si>
    <t>https://opac.libnet.pref.okayama.jp/licsxp-opac/WOpacMsgNewListToTifTilDetailAction.do?tilcod=2002222301807</t>
  </si>
  <si>
    <t>https://opac.libnet.pref.okayama.jp/licsxp-opac/WOpacMsgNewListToTifTilDetailAction.do?tilcod=2002222301141</t>
  </si>
  <si>
    <t>https://opac.libnet.pref.okayama.jp/licsxp-opac/WOpacMsgNewListToTifTilDetailAction.do?tilcod=2002222301118</t>
  </si>
  <si>
    <t>https://opac.libnet.pref.okayama.jp/licsxp-opac/WOpacMsgNewListToTifTilDetailAction.do?tilcod=2002222300599</t>
  </si>
  <si>
    <t>https://opac.libnet.pref.okayama.jp/licsxp-opac/WOpacMsgNewListToTifTilDetailAction.do?tilcod=2002222300929</t>
  </si>
  <si>
    <t>https://opac.libnet.pref.okayama.jp/licsxp-opac/WOpacMsgNewListToTifTilDetailAction.do?tilcod=2002222300700</t>
  </si>
  <si>
    <t>https://opac.libnet.pref.okayama.jp/licsxp-opac/WOpacMsgNewListToTifTilDetailAction.do?tilcod=2002222283363</t>
  </si>
  <si>
    <t>https://opac.libnet.pref.okayama.jp/licsxp-opac/WOpacMsgNewListToTifTilDetailAction.do?tilcod=2002222283373</t>
  </si>
  <si>
    <t>https://opac.libnet.pref.okayama.jp/licsxp-opac/WOpacMsgNewListToTifTilDetailAction.do?tilcod=2002222301396</t>
  </si>
  <si>
    <t>https://opac.libnet.pref.okayama.jp/licsxp-opac/WOpacMsgNewListToTifTilDetailAction.do?tilcod=2002222332352</t>
  </si>
  <si>
    <t>https://opac.libnet.pref.okayama.jp/licsxp-opac/WOpacMsgNewListToTifTilDetailAction.do?tilcod=2002222330907</t>
  </si>
  <si>
    <t>https://opac.libnet.pref.okayama.jp/licsxp-opac/WOpacMsgNewListToTifTilDetailAction.do?tilcod=2002222301060</t>
  </si>
  <si>
    <t>https://opac.libnet.pref.okayama.jp/licsxp-opac/WOpacMsgNewListToTifTilDetailAction.do?tilcod=2002222302151</t>
  </si>
  <si>
    <t>https://opac.libnet.pref.okayama.jp/licsxp-opac/WOpacMsgNewListToTifTilDetailAction.do?tilcod=2002222312972</t>
  </si>
  <si>
    <t>https://opac.libnet.pref.okayama.jp/licsxp-opac/WOpacMsgNewListToTifTilDetailAction.do?tilcod=2002222340470</t>
  </si>
  <si>
    <t>https://opac.libnet.pref.okayama.jp/licsxp-opac/WOpacMsgNewListToTifTilDetailAction.do?tilcod=2002222281684</t>
  </si>
  <si>
    <t>https://opac.libnet.pref.okayama.jp/licsxp-opac/WOpacMsgNewListToTifTilDetailAction.do?tilcod=2002222283403</t>
  </si>
  <si>
    <t>https://opac.libnet.pref.okayama.jp/licsxp-opac/WOpacMsgNewListToTifTilDetailAction.do?tilcod=2002222301659</t>
  </si>
  <si>
    <t>https://opac.libnet.pref.okayama.jp/licsxp-opac/WOpacMsgNewListToTifTilDetailAction.do?tilcod=2002222301191</t>
  </si>
  <si>
    <t>https://opac.libnet.pref.okayama.jp/licsxp-opac/WOpacMsgNewListToTifTilDetailAction.do?tilcod=2002222300534</t>
  </si>
  <si>
    <t>https://opac.libnet.pref.okayama.jp/licsxp-opac/WOpacMsgNewListToTifTilDetailAction.do?tilcod=2002222332129</t>
  </si>
  <si>
    <t>https://opac.libnet.pref.okayama.jp/licsxp-opac/WOpacMsgNewListToTifTilDetailAction.do?tilcod=2002222292831</t>
  </si>
  <si>
    <t>https://opac.libnet.pref.okayama.jp/licsxp-opac/WOpacMsgNewListToTifTilDetailAction.do?tilcod=2002222301189</t>
  </si>
  <si>
    <t>https://opac.libnet.pref.okayama.jp/licsxp-opac/WOpacMsgNewListToTifTilDetailAction.do?tilcod=2002222300535</t>
  </si>
  <si>
    <t>https://opac.libnet.pref.okayama.jp/licsxp-opac/WOpacMsgNewListToTifTilDetailAction.do?tilcod=2002222301972</t>
  </si>
  <si>
    <t>https://opac.libnet.pref.okayama.jp/licsxp-opac/WOpacMsgNewListToTifTilDetailAction.do?tilcod=2002222283413</t>
  </si>
  <si>
    <t>https://opac.libnet.pref.okayama.jp/licsxp-opac/WOpacMsgNewListToTifTilDetailAction.do?tilcod=2002222342691</t>
  </si>
  <si>
    <t>https://opac.libnet.pref.okayama.jp/licsxp-opac/WOpacMsgNewListToTifTilDetailAction.do?tilcod=2002222283423</t>
  </si>
  <si>
    <t>https://opac.libnet.pref.okayama.jp/licsxp-opac/WOpacMsgNewListToTifTilDetailAction.do?tilcod=2002222300930</t>
  </si>
  <si>
    <t>https://opac.libnet.pref.okayama.jp/licsxp-opac/WOpacMsgNewListToTifTilDetailAction.do?tilcod=2002222331420</t>
  </si>
  <si>
    <t>https://opac.libnet.pref.okayama.jp/licsxp-opac/WOpacMsgNewListToTifTilDetailAction.do?tilcod=2002222281681</t>
  </si>
  <si>
    <t>https://opac.libnet.pref.okayama.jp/licsxp-opac/WOpacMsgNewListToTifTilDetailAction.do?tilcod=2002222300427</t>
  </si>
  <si>
    <t>https://opac.libnet.pref.okayama.jp/licsxp-opac/WOpacMsgNewListToTifTilDetailAction.do?tilcod=2002222333647</t>
  </si>
  <si>
    <t>https://opac.libnet.pref.okayama.jp/licsxp-opac/WOpacMsgNewListToTifTilDetailAction.do?tilcod=2002222334070</t>
  </si>
  <si>
    <t>https://opac.libnet.pref.okayama.jp/licsxp-opac/WOpacMsgNewListToTifTilDetailAction.do?tilcod=2002222300997</t>
  </si>
  <si>
    <t>https://opac.libnet.pref.okayama.jp/licsxp-opac/WOpacMsgNewListToTifTilDetailAction.do?tilcod=2002222283433</t>
  </si>
  <si>
    <t>https://opac.libnet.pref.okayama.jp/licsxp-opac/WOpacMsgNewListToTifTilDetailAction.do?tilcod=2002222283443</t>
  </si>
  <si>
    <t>https://opac.libnet.pref.okayama.jp/licsxp-opac/WOpacMsgNewListToTifTilDetailAction.do?tilcod=2002222283453</t>
  </si>
  <si>
    <t>https://opac.libnet.pref.okayama.jp/licsxp-opac/WOpacMsgNewListToTifTilDetailAction.do?tilcod=2002222283463</t>
  </si>
  <si>
    <t>https://opac.libnet.pref.okayama.jp/licsxp-opac/WOpacMsgNewListToTifTilDetailAction.do?tilcod=2002222300702</t>
  </si>
  <si>
    <t>https://opac.libnet.pref.okayama.jp/licsxp-opac/WOpacMsgNewListToTifTilDetailAction.do?tilcod=2002222283473</t>
  </si>
  <si>
    <t>https://opac.libnet.pref.okayama.jp/licsxp-opac/WOpacMsgNewListToTifTilDetailAction.do?tilcod=2002222291481</t>
  </si>
  <si>
    <t>https://opac.libnet.pref.okayama.jp/licsxp-opac/WOpacMsgNewListToTifTilDetailAction.do?tilcod=2002222283483</t>
  </si>
  <si>
    <t>https://opac.libnet.pref.okayama.jp/licsxp-opac/WOpacMsgNewListToTifTilDetailAction.do?tilcod=2002222292821</t>
  </si>
  <si>
    <t>https://opac.libnet.pref.okayama.jp/licsxp-opac/WOpacMsgNewListToTifTilDetailAction.do?tilcod=2002222283493</t>
  </si>
  <si>
    <t>https://opac.libnet.pref.okayama.jp/licsxp-opac/WOpacMsgNewListToTifTilDetailAction.do?tilcod=2002222281991</t>
  </si>
  <si>
    <t>https://opac.libnet.pref.okayama.jp/licsxp-opac/WOpacMsgNewListToTifTilDetailAction.do?tilcod=2002222286011</t>
  </si>
  <si>
    <t>https://opac.libnet.pref.okayama.jp/licsxp-opac/WOpacMsgNewListToTifTilDetailAction.do?tilcod=2002222292841</t>
  </si>
  <si>
    <t>https://opac.libnet.pref.okayama.jp/licsxp-opac/WOpacMsgNewListToTifTilDetailAction.do?tilcod=2002222301987</t>
  </si>
  <si>
    <t>https://opac.libnet.pref.okayama.jp/licsxp-opac/WOpacMsgNewListToTifTilDetailAction.do?tilcod=2002222300223</t>
  </si>
  <si>
    <t>https://opac.libnet.pref.okayama.jp/licsxp-opac/WOpacMsgNewListToTifTilDetailAction.do?tilcod=2002222307810</t>
  </si>
  <si>
    <t>https://opac.libnet.pref.okayama.jp/licsxp-opac/WOpacMsgNewListToTifTilDetailAction.do?tilcod=2002222342531</t>
  </si>
  <si>
    <t>https://opac.libnet.pref.okayama.jp/licsxp-opac/WOpacMsgNewListToTifTilDetailAction.do?tilcod=2002222280604</t>
  </si>
  <si>
    <t>https://opac.libnet.pref.okayama.jp/licsxp-opac/WOpacMsgNewListToTifTilDetailAction.do?tilcod=2002222283503</t>
  </si>
  <si>
    <t>https://opac.libnet.pref.okayama.jp/licsxp-opac/WOpacMsgNewListToTifTilDetailAction.do?tilcod=2002222301212</t>
  </si>
  <si>
    <t>https://opac.libnet.pref.okayama.jp/licsxp-opac/WOpacMsgNewListToTifTilDetailAction.do?tilcod=2002222300591</t>
  </si>
  <si>
    <t>https://opac.libnet.pref.okayama.jp/licsxp-opac/WOpacMsgNewListToTifTilDetailAction.do?tilcod=2002222283513</t>
  </si>
  <si>
    <t>https://opac.libnet.pref.okayama.jp/licsxp-opac/WOpacMsgNewListToTifTilDetailAction.do?tilcod=2002222317806</t>
  </si>
  <si>
    <t>https://opac.libnet.pref.okayama.jp/licsxp-opac/WOpacMsgNewListToTifTilDetailAction.do?tilcod=2002222301822</t>
  </si>
  <si>
    <t>https://opac.libnet.pref.okayama.jp/licsxp-opac/WOpacMsgNewListToTifTilDetailAction.do?tilcod=2002222281944</t>
  </si>
  <si>
    <t>https://opac.libnet.pref.okayama.jp/licsxp-opac/WOpacMsgNewListToTifTilDetailAction.do?tilcod=2002222283523</t>
  </si>
  <si>
    <t>https://opac.libnet.pref.okayama.jp/licsxp-opac/WOpacMsgNewListToTifTilDetailAction.do?tilcod=2002222283533</t>
  </si>
  <si>
    <t>https://opac.libnet.pref.okayama.jp/licsxp-opac/WOpacMsgNewListToTifTilDetailAction.do?tilcod=2002222332427</t>
  </si>
  <si>
    <t>https://opac.libnet.pref.okayama.jp/licsxp-opac/WOpacMsgNewListToTifTilDetailAction.do?tilcod=2002222307590</t>
  </si>
  <si>
    <t>https://opac.libnet.pref.okayama.jp/licsxp-opac/WOpacMsgNewListToTifTilDetailAction.do?tilcod=2002222283543</t>
  </si>
  <si>
    <t>https://opac.libnet.pref.okayama.jp/licsxp-opac/WOpacMsgNewListToTifTilDetailAction.do?tilcod=2002222283563</t>
  </si>
  <si>
    <t>https://opac.libnet.pref.okayama.jp/licsxp-opac/WOpacMsgNewListToTifTilDetailAction.do?tilcod=2002222283573</t>
  </si>
  <si>
    <t>https://opac.libnet.pref.okayama.jp/licsxp-opac/WOpacMsgNewListToTifTilDetailAction.do?tilcod=2002222283583</t>
  </si>
  <si>
    <t>https://opac.libnet.pref.okayama.jp/licsxp-opac/WOpacMsgNewListToTifTilDetailAction.do?tilcod=2002222283593</t>
  </si>
  <si>
    <t>https://opac.libnet.pref.okayama.jp/licsxp-opac/WOpacMsgNewListToTifTilDetailAction.do?tilcod=2002222319613</t>
  </si>
  <si>
    <t>https://opac.libnet.pref.okayama.jp/licsxp-opac/WOpacMsgNewListToTifTilDetailAction.do?tilcod=2002222292851</t>
  </si>
  <si>
    <t>https://opac.libnet.pref.okayama.jp/licsxp-opac/WOpacMsgNewListToTifTilDetailAction.do?tilcod=2002222329870</t>
  </si>
  <si>
    <t>https://opac.libnet.pref.okayama.jp/licsxp-opac/WOpacMsgNewListToTifTilDetailAction.do?tilcod=2002222321226</t>
  </si>
  <si>
    <t>https://opac.libnet.pref.okayama.jp/licsxp-opac/WOpacMsgNewListToTifTilDetailAction.do?tilcod=2002222284743</t>
  </si>
  <si>
    <t>https://opac.libnet.pref.okayama.jp/licsxp-opac/WOpacMsgNewListToTifTilDetailAction.do?tilcod=2002222283603</t>
  </si>
  <si>
    <t>https://opac.libnet.pref.okayama.jp/licsxp-opac/WOpacMsgNewListToTifTilDetailAction.do?tilcod=2002222283613</t>
  </si>
  <si>
    <t>https://opac.libnet.pref.okayama.jp/licsxp-opac/WOpacMsgNewListToTifTilDetailAction.do?tilcod=2002222292861</t>
  </si>
  <si>
    <t>https://opac.libnet.pref.okayama.jp/licsxp-opac/WOpacMsgNewListToTifTilDetailAction.do?tilcod=2002222283663</t>
  </si>
  <si>
    <t>https://opac.libnet.pref.okayama.jp/licsxp-opac/WOpacMsgNewListToTifTilDetailAction.do?tilcod=2002222292871</t>
  </si>
  <si>
    <t>https://opac.libnet.pref.okayama.jp/licsxp-opac/WOpacMsgNewListToTifTilDetailAction.do?tilcod=2002222292881</t>
  </si>
  <si>
    <t>https://opac.libnet.pref.okayama.jp/licsxp-opac/WOpacMsgNewListToTifTilDetailAction.do?tilcod=2002222283623</t>
  </si>
  <si>
    <t>https://opac.libnet.pref.okayama.jp/licsxp-opac/WOpacMsgNewListToTifTilDetailAction.do?tilcod=2002222307588</t>
  </si>
  <si>
    <t>https://opac.libnet.pref.okayama.jp/licsxp-opac/WOpacMsgNewListToTifTilDetailAction.do?tilcod=2002222302179</t>
  </si>
  <si>
    <t>https://opac.libnet.pref.okayama.jp/licsxp-opac/WOpacMsgNewListToTifTilDetailAction.do?tilcod=2002222283633</t>
  </si>
  <si>
    <t>https://opac.libnet.pref.okayama.jp/licsxp-opac/WOpacMsgNewListToTifTilDetailAction.do?tilcod=2002222283643</t>
  </si>
  <si>
    <t>https://opac.libnet.pref.okayama.jp/licsxp-opac/WOpacMsgNewListToTifTilDetailAction.do?tilcod=2002222283653</t>
  </si>
  <si>
    <t>https://opac.libnet.pref.okayama.jp/licsxp-opac/WOpacMsgNewListToTifTilDetailAction.do?tilcod=2002222339630</t>
  </si>
  <si>
    <t>https://opac.libnet.pref.okayama.jp/licsxp-opac/WOpacMsgNewListToTifTilDetailAction.do?tilcod=2002222283673</t>
  </si>
  <si>
    <t>https://opac.libnet.pref.okayama.jp/licsxp-opac/WOpacMsgNewListToTifTilDetailAction.do?tilcod=2002222302181</t>
  </si>
  <si>
    <t>https://opac.libnet.pref.okayama.jp/licsxp-opac/WOpacMsgNewListToTifTilDetailAction.do?tilcod=2002222332767</t>
  </si>
  <si>
    <t>https://opac.libnet.pref.okayama.jp/licsxp-opac/WOpacMsgNewListToTifTilDetailAction.do?tilcod=2002222291491</t>
  </si>
  <si>
    <t>https://opac.libnet.pref.okayama.jp/licsxp-opac/WOpacMsgNewListToTifTilDetailAction.do?tilcod=2002222283683</t>
  </si>
  <si>
    <t>https://opac.libnet.pref.okayama.jp/licsxp-opac/WOpacMsgNewListToTifTilDetailAction.do?tilcod=2002222283693</t>
  </si>
  <si>
    <t>https://opac.libnet.pref.okayama.jp/licsxp-opac/WOpacMsgNewListToTifTilDetailAction.do?tilcod=2002222283703</t>
  </si>
  <si>
    <t>https://opac.libnet.pref.okayama.jp/licsxp-opac/WOpacMsgNewListToTifTilDetailAction.do?tilcod=2002222291501</t>
  </si>
  <si>
    <t>https://opac.libnet.pref.okayama.jp/licsxp-opac/WOpacMsgNewListToTifTilDetailAction.do?tilcod=2002222283713</t>
  </si>
  <si>
    <t>https://opac.libnet.pref.okayama.jp/licsxp-opac/WOpacMsgNewListToTifTilDetailAction.do?tilcod=2002222283723</t>
  </si>
  <si>
    <t>https://opac.libnet.pref.okayama.jp/licsxp-opac/WOpacMsgNewListToTifTilDetailAction.do?tilcod=2002222309887</t>
  </si>
  <si>
    <t>https://opac.libnet.pref.okayama.jp/licsxp-opac/WOpacMsgNewListToTifTilDetailAction.do?tilcod=2002222283733</t>
  </si>
  <si>
    <t>https://opac.libnet.pref.okayama.jp/licsxp-opac/WOpacMsgNewListToTifTilDetailAction.do?tilcod=2002222343830</t>
  </si>
  <si>
    <t>https://opac.libnet.pref.okayama.jp/licsxp-opac/WOpacMsgNewListToTifTilDetailAction.do?tilcod=2002222280664</t>
  </si>
  <si>
    <t>https://opac.libnet.pref.okayama.jp/licsxp-opac/WOpacMsgNewListToTifTilDetailAction.do?tilcod=2002222324426</t>
  </si>
  <si>
    <t>https://opac.libnet.pref.okayama.jp/licsxp-opac/WOpacMsgNewListToTifTilDetailAction.do?tilcod=2002222301418</t>
  </si>
  <si>
    <t>https://opac.libnet.pref.okayama.jp/licsxp-opac/WOpacMsgNewListToTifTilDetailAction.do?tilcod=2002222283743</t>
  </si>
  <si>
    <t>https://opac.libnet.pref.okayama.jp/licsxp-opac/WOpacMsgNewListToTifTilDetailAction.do?tilcod=2002222283753</t>
  </si>
  <si>
    <t>https://opac.libnet.pref.okayama.jp/licsxp-opac/WOpacMsgNewListToTifTilDetailAction.do?tilcod=2002222283763</t>
  </si>
  <si>
    <t>https://opac.libnet.pref.okayama.jp/licsxp-opac/WOpacMsgNewListToTifTilDetailAction.do?tilcod=2002222283773</t>
  </si>
  <si>
    <t>https://opac.libnet.pref.okayama.jp/licsxp-opac/WOpacMsgNewListToTifTilDetailAction.do?tilcod=2002222302428</t>
  </si>
  <si>
    <t>https://opac.libnet.pref.okayama.jp/licsxp-opac/WOpacMsgNewListToTifTilDetailAction.do?tilcod=2002222302379</t>
  </si>
  <si>
    <t>https://opac.libnet.pref.okayama.jp/licsxp-opac/WOpacMsgNewListToTifTilDetailAction.do?tilcod=2002222331431</t>
  </si>
  <si>
    <t>https://opac.libnet.pref.okayama.jp/licsxp-opac/WOpacMsgNewListToTifTilDetailAction.do?tilcod=2002222283783</t>
  </si>
  <si>
    <t>https://opac.libnet.pref.okayama.jp/licsxp-opac/WOpacMsgNewListToTifTilDetailAction.do?tilcod=2002222283803</t>
  </si>
  <si>
    <t>https://opac.libnet.pref.okayama.jp/licsxp-opac/WOpacMsgNewListToTifTilDetailAction.do?tilcod=2002222283793</t>
  </si>
  <si>
    <t>https://opac.libnet.pref.okayama.jp/licsxp-opac/WOpacMsgNewListToTifTilDetailAction.do?tilcod=2002222339090</t>
  </si>
  <si>
    <t>https://opac.libnet.pref.okayama.jp/licsxp-opac/WOpacMsgNewListToTifTilDetailAction.do?tilcod=2002222316048</t>
  </si>
  <si>
    <t>https://opac.libnet.pref.okayama.jp/licsxp-opac/WOpacMsgNewListToTifTilDetailAction.do?tilcod=2002222311886</t>
  </si>
  <si>
    <t>https://opac.libnet.pref.okayama.jp/licsxp-opac/WOpacMsgNewListToTifTilDetailAction.do?tilcod=2002222302182</t>
  </si>
  <si>
    <t>https://opac.libnet.pref.okayama.jp/licsxp-opac/WOpacMsgNewListToTifTilDetailAction.do?tilcod=2002222301253</t>
  </si>
  <si>
    <t>https://opac.libnet.pref.okayama.jp/licsxp-opac/WOpacMsgNewListToTifTilDetailAction.do?tilcod=2002222300521</t>
  </si>
  <si>
    <t>https://opac.libnet.pref.okayama.jp/licsxp-opac/WOpacMsgNewListToTifTilDetailAction.do?tilcod=2002222301739</t>
  </si>
  <si>
    <t>https://opac.libnet.pref.okayama.jp/licsxp-opac/WOpacMsgNewListToTifTilDetailAction.do?tilcod=2002222301932</t>
  </si>
  <si>
    <t>https://opac.libnet.pref.okayama.jp/licsxp-opac/WOpacMsgNewListToTifTilDetailAction.do?tilcod=2002222301933</t>
  </si>
  <si>
    <t>https://opac.libnet.pref.okayama.jp/licsxp-opac/WOpacMsgNewListToTifTilDetailAction.do?tilcod=2002222293851</t>
  </si>
  <si>
    <t>https://opac.libnet.pref.okayama.jp/licsxp-opac/WOpacMsgNewListToTifTilDetailAction.do?tilcod=2002222334075</t>
  </si>
  <si>
    <t>https://opac.libnet.pref.okayama.jp/licsxp-opac/WOpacMsgNewListToTifTilDetailAction.do?tilcod=2002222309546</t>
  </si>
  <si>
    <t>https://opac.libnet.pref.okayama.jp/licsxp-opac/WOpacMsgNewListToTifTilDetailAction.do?tilcod=2002222301430</t>
  </si>
  <si>
    <t>https://opac.libnet.pref.okayama.jp/licsxp-opac/WOpacMsgNewListToTifTilDetailAction.do?tilcod=2002222292891</t>
  </si>
  <si>
    <t>https://opac.libnet.pref.okayama.jp/licsxp-opac/WOpacMsgNewListToTifTilDetailAction.do?tilcod=2002222301248</t>
  </si>
  <si>
    <t>https://opac.libnet.pref.okayama.jp/licsxp-opac/WOpacMsgNewListToTifTilDetailAction.do?tilcod=2002222300522</t>
  </si>
  <si>
    <t>https://opac.libnet.pref.okayama.jp/licsxp-opac/WOpacMsgNewListToTifTilDetailAction.do?tilcod=2002222301792</t>
  </si>
  <si>
    <t>https://opac.libnet.pref.okayama.jp/licsxp-opac/WOpacMsgNewListToTifTilDetailAction.do?tilcod=2002222301931</t>
  </si>
  <si>
    <t>https://opac.libnet.pref.okayama.jp/licsxp-opac/WOpacMsgNewListToTifTilDetailAction.do?tilcod=2002222301145</t>
  </si>
  <si>
    <t>https://opac.libnet.pref.okayama.jp/licsxp-opac/WOpacMsgNewListToTifTilDetailAction.do?tilcod=2002222283853</t>
  </si>
  <si>
    <t>https://opac.libnet.pref.okayama.jp/licsxp-opac/WOpacMsgNewListToTifTilDetailAction.do?tilcod=2002222281091</t>
  </si>
  <si>
    <t>https://opac.libnet.pref.okayama.jp/licsxp-opac/WOpacMsgNewListToTifTilDetailAction.do?tilcod=2002222331417</t>
  </si>
  <si>
    <t>https://opac.libnet.pref.okayama.jp/licsxp-opac/WOpacMsgNewListToTifTilDetailAction.do?tilcod=2002222281924</t>
  </si>
  <si>
    <t>https://opac.libnet.pref.okayama.jp/licsxp-opac/WOpacMsgNewListToTifTilDetailAction.do?tilcod=2002222285831</t>
  </si>
  <si>
    <t>https://opac.libnet.pref.okayama.jp/licsxp-opac/WOpacMsgNewListToTifTilDetailAction.do?tilcod=2002222283813</t>
  </si>
  <si>
    <t>https://opac.libnet.pref.okayama.jp/licsxp-opac/WOpacMsgNewListToTifTilDetailAction.do?tilcod=2002222301684</t>
  </si>
  <si>
    <t>https://opac.libnet.pref.okayama.jp/licsxp-opac/WOpacMsgNewListToTifTilDetailAction.do?tilcod=2002222301448</t>
  </si>
  <si>
    <t>https://opac.libnet.pref.okayama.jp/licsxp-opac/WOpacMsgNewListToTifTilDetailAction.do?tilcod=2002222283823</t>
  </si>
  <si>
    <t>https://opac.libnet.pref.okayama.jp/licsxp-opac/WOpacMsgNewListToTifTilDetailAction.do?tilcod=2002222287183</t>
  </si>
  <si>
    <t>https://opac.libnet.pref.okayama.jp/licsxp-opac/WOpacMsgNewListToTifTilDetailAction.do?tilcod=2002222302302</t>
  </si>
  <si>
    <t>https://opac.libnet.pref.okayama.jp/licsxp-opac/WOpacMsgNewListToTifTilDetailAction.do?tilcod=2002222330486</t>
  </si>
  <si>
    <t>https://opac.libnet.pref.okayama.jp/licsxp-opac/WOpacMsgNewListToTifTilDetailAction.do?tilcod=2002222331507</t>
  </si>
  <si>
    <t>https://opac.libnet.pref.okayama.jp/licsxp-opac/WOpacMsgNewListToTifTilDetailAction.do?tilcod=2002222316586</t>
  </si>
  <si>
    <t>https://opac.libnet.pref.okayama.jp/licsxp-opac/WOpacMsgNewListToTifTilDetailAction.do?tilcod=2002222301353</t>
  </si>
  <si>
    <t>https://opac.libnet.pref.okayama.jp/licsxp-opac/WOpacMsgNewListToTifTilDetailAction.do?tilcod=2002222285211</t>
  </si>
  <si>
    <t>https://opac.libnet.pref.okayama.jp/licsxp-opac/WOpacMsgNewListToTifTilDetailAction.do?tilcod=2002222301498</t>
  </si>
  <si>
    <t>https://opac.libnet.pref.okayama.jp/licsxp-opac/WOpacMsgNewListToTifTilDetailAction.do?tilcod=2002222335546</t>
  </si>
  <si>
    <t>https://opac.libnet.pref.okayama.jp/licsxp-opac/WOpacMsgNewListToTifTilDetailAction.do?tilcod=2002222291781</t>
  </si>
  <si>
    <t>https://opac.libnet.pref.okayama.jp/licsxp-opac/WOpacMsgNewListToTifTilDetailAction.do?tilcod=2002222283833</t>
  </si>
  <si>
    <t>https://opac.libnet.pref.okayama.jp/licsxp-opac/WOpacMsgNewListToTifTilDetailAction.do?tilcod=2002222301740</t>
  </si>
  <si>
    <t>https://opac.libnet.pref.okayama.jp/licsxp-opac/WOpacMsgNewListToTifTilDetailAction.do?tilcod=2002222313368</t>
  </si>
  <si>
    <t>https://opac.libnet.pref.okayama.jp/licsxp-opac/WOpacMsgNewListToTifTilDetailAction.do?tilcod=2002222283843</t>
  </si>
  <si>
    <t>https://opac.libnet.pref.okayama.jp/licsxp-opac/WOpacMsgNewListToTifTilDetailAction.do?tilcod=2002222283873</t>
  </si>
  <si>
    <t>https://opac.libnet.pref.okayama.jp/licsxp-opac/WOpacMsgNewListToTifTilDetailAction.do?tilcod=2002222329587</t>
  </si>
  <si>
    <t>https://opac.libnet.pref.okayama.jp/licsxp-opac/WOpacMsgNewListToTifTilDetailAction.do?tilcod=2002222280384</t>
  </si>
  <si>
    <t>https://opac.libnet.pref.okayama.jp/licsxp-opac/WOpacMsgNewListToTifTilDetailAction.do?tilcod=2002222280394</t>
  </si>
  <si>
    <t>https://opac.libnet.pref.okayama.jp/licsxp-opac/WOpacMsgNewListToTifTilDetailAction.do?tilcod=2002222332987</t>
  </si>
  <si>
    <t>https://opac.libnet.pref.okayama.jp/licsxp-opac/WOpacMsgNewListToTifTilDetailAction.do?tilcod=2002222335747</t>
  </si>
  <si>
    <t>https://opac.libnet.pref.okayama.jp/licsxp-opac/WOpacMsgNewListToTifTilDetailAction.do?tilcod=2002222284153</t>
  </si>
  <si>
    <t>https://opac.libnet.pref.okayama.jp/licsxp-opac/WOpacMsgNewListToTifTilDetailAction.do?tilcod=2002222301861</t>
  </si>
  <si>
    <t>https://opac.libnet.pref.okayama.jp/licsxp-opac/WOpacMsgNewListToTifTilDetailAction.do?tilcod=2002222321286</t>
  </si>
  <si>
    <t>https://opac.libnet.pref.okayama.jp/licsxp-opac/WOpacMsgNewListToTifTilDetailAction.do?tilcod=2002222301215</t>
  </si>
  <si>
    <t>https://opac.libnet.pref.okayama.jp/licsxp-opac/WOpacMsgNewListToTifTilDetailAction.do?tilcod=2002222300590</t>
  </si>
  <si>
    <t>https://opac.libnet.pref.okayama.jp/licsxp-opac/WOpacMsgNewListToTifTilDetailAction.do?tilcod=2002222302414</t>
  </si>
  <si>
    <t>https://opac.libnet.pref.okayama.jp/licsxp-opac/WOpacMsgNewListToTifTilDetailAction.do?tilcod=2002222302388</t>
  </si>
  <si>
    <t>https://opac.libnet.pref.okayama.jp/licsxp-opac/WOpacMsgNewListToTifTilDetailAction.do?tilcod=2002222337087</t>
  </si>
  <si>
    <t>https://opac.libnet.pref.okayama.jp/licsxp-opac/WOpacMsgNewListToTifTilDetailAction.do?tilcod=2002222283883</t>
  </si>
  <si>
    <t>https://opac.libnet.pref.okayama.jp/licsxp-opac/WOpacMsgNewListToTifTilDetailAction.do?tilcod=2002222300999</t>
  </si>
  <si>
    <t>https://opac.libnet.pref.okayama.jp/licsxp-opac/WOpacMsgNewListToTifTilDetailAction.do?tilcod=2002222307447</t>
  </si>
  <si>
    <t>https://opac.libnet.pref.okayama.jp/licsxp-opac/WOpacMsgNewListToTifTilDetailAction.do?tilcod=2002222283893</t>
  </si>
  <si>
    <t>https://opac.libnet.pref.okayama.jp/licsxp-opac/WOpacMsgNewListToTifTilDetailAction.do?tilcod=2002222283903</t>
  </si>
  <si>
    <t>https://opac.libnet.pref.okayama.jp/licsxp-opac/WOpacMsgNewListToTifTilDetailAction.do?tilcod=2002222283913</t>
  </si>
  <si>
    <t>https://opac.libnet.pref.okayama.jp/licsxp-opac/WOpacMsgNewListToTifTilDetailAction.do?tilcod=2002222330488</t>
  </si>
  <si>
    <t>https://opac.libnet.pref.okayama.jp/licsxp-opac/WOpacMsgNewListToTifTilDetailAction.do?tilcod=2002222288303</t>
  </si>
  <si>
    <t>https://opac.libnet.pref.okayama.jp/licsxp-opac/WOpacMsgNewListToTifTilDetailAction.do?tilcod=2002222300937</t>
  </si>
  <si>
    <t>https://opac.libnet.pref.okayama.jp/licsxp-opac/WOpacMsgNewListToTifTilDetailAction.do?tilcod=2002222316246</t>
  </si>
  <si>
    <t>https://opac.libnet.pref.okayama.jp/licsxp-opac/WOpacMsgNewListToTifTilDetailAction.do?tilcod=2002222335686</t>
  </si>
  <si>
    <t>https://opac.libnet.pref.okayama.jp/licsxp-opac/WOpacMsgNewListToTifTilDetailAction.do?tilcod=2002222302128</t>
  </si>
  <si>
    <t>https://opac.libnet.pref.okayama.jp/licsxp-opac/WOpacMsgNewListToTifTilDetailAction.do?tilcod=2002222282701</t>
  </si>
  <si>
    <t>https://opac.libnet.pref.okayama.jp/licsxp-opac/WOpacMsgNewListToTifTilDetailAction.do?tilcod=2002222283923</t>
  </si>
  <si>
    <t>https://opac.libnet.pref.okayama.jp/licsxp-opac/WOpacMsgNewListToTifTilDetailAction.do?tilcod=2002222283933</t>
  </si>
  <si>
    <t>https://opac.libnet.pref.okayama.jp/licsxp-opac/WOpacMsgNewListToTifTilDetailAction.do?tilcod=2002222285231</t>
  </si>
  <si>
    <t>https://opac.libnet.pref.okayama.jp/licsxp-opac/WOpacMsgNewListToTifTilDetailAction.do?tilcod=2002222283943</t>
  </si>
  <si>
    <t>https://opac.libnet.pref.okayama.jp/licsxp-opac/WOpacMsgNewListToTifTilDetailAction.do?tilcod=2002222283953</t>
  </si>
  <si>
    <t>https://opac.libnet.pref.okayama.jp/licsxp-opac/WOpacMsgNewListToTifTilDetailAction.do?tilcod=2002222291791</t>
  </si>
  <si>
    <t>https://opac.libnet.pref.okayama.jp/licsxp-opac/WOpacMsgNewListToTifTilDetailAction.do?tilcod=2002222280724</t>
  </si>
  <si>
    <t>https://opac.libnet.pref.okayama.jp/licsxp-opac/WOpacMsgNewListToTifTilDetailAction.do?tilcod=2002222301469</t>
  </si>
  <si>
    <t>https://opac.libnet.pref.okayama.jp/licsxp-opac/WOpacMsgNewListToTifTilDetailAction.do?tilcod=2002222302103</t>
  </si>
  <si>
    <t>https://opac.libnet.pref.okayama.jp/licsxp-opac/WOpacMsgNewListToTifTilDetailAction.do?tilcod=2002222339450</t>
  </si>
  <si>
    <t>https://opac.libnet.pref.okayama.jp/licsxp-opac/WOpacMsgNewListToTifTilDetailAction.do?tilcod=2002222344010</t>
  </si>
  <si>
    <t>https://opac.libnet.pref.okayama.jp/licsxp-opac/WOpacMsgNewListToTifTilDetailAction.do?tilcod=2002222316247</t>
  </si>
  <si>
    <t>https://opac.libnet.pref.okayama.jp/licsxp-opac/WOpacMsgNewListToTifTilDetailAction.do?tilcod=2002222338871</t>
  </si>
  <si>
    <t>https://opac.libnet.pref.okayama.jp/licsxp-opac/WOpacMsgNewListToTifTilDetailAction.do?tilcod=2002222339312</t>
  </si>
  <si>
    <t>https://opac.libnet.pref.okayama.jp/licsxp-opac/WOpacMsgNewListToTifTilDetailAction.do?tilcod=2002222294031</t>
  </si>
  <si>
    <t>https://opac.libnet.pref.okayama.jp/licsxp-opac/WOpacMsgNewListToTifTilDetailAction.do?tilcod=2002222301829</t>
  </si>
  <si>
    <t>https://opac.libnet.pref.okayama.jp/licsxp-opac/WOpacMsgNewListToTifTilDetailAction.do?tilcod=2002222300526</t>
  </si>
  <si>
    <t>https://opac.libnet.pref.okayama.jp/licsxp-opac/WOpacMsgNewListToTifTilDetailAction.do?tilcod=2002222300515</t>
  </si>
  <si>
    <t>https://opac.libnet.pref.okayama.jp/licsxp-opac/WOpacMsgNewListToTifTilDetailAction.do?tilcod=2002222301195</t>
  </si>
  <si>
    <t>https://opac.libnet.pref.okayama.jp/licsxp-opac/WOpacMsgNewListToTifTilDetailAction.do?tilcod=2002222300523</t>
  </si>
  <si>
    <t>https://opac.libnet.pref.okayama.jp/licsxp-opac/WOpacMsgNewListToTifTilDetailAction.do?tilcod=2002222301950</t>
  </si>
  <si>
    <t>https://opac.libnet.pref.okayama.jp/licsxp-opac/WOpacMsgNewListToTifTilDetailAction.do?tilcod=2002222302060</t>
  </si>
  <si>
    <t>https://opac.libnet.pref.okayama.jp/licsxp-opac/WOpacMsgNewListToTifTilDetailAction.do?tilcod=2002222300739</t>
  </si>
  <si>
    <t>https://opac.libnet.pref.okayama.jp/licsxp-opac/WOpacMsgNewListToTifTilDetailAction.do?tilcod=2002222301862</t>
  </si>
  <si>
    <t>https://opac.libnet.pref.okayama.jp/licsxp-opac/WOpacMsgNewListToTifTilDetailAction.do?tilcod=2002222300938</t>
  </si>
  <si>
    <t>https://opac.libnet.pref.okayama.jp/licsxp-opac/WOpacMsgNewListToTifTilDetailAction.do?tilcod=2002222300185</t>
  </si>
  <si>
    <t>https://opac.libnet.pref.okayama.jp/licsxp-opac/WOpacMsgNewListToTifTilDetailAction.do?tilcod=2002222302401</t>
  </si>
  <si>
    <t>https://opac.libnet.pref.okayama.jp/licsxp-opac/WOpacMsgNewListToTifTilDetailAction.do?tilcod=2002222283001</t>
  </si>
  <si>
    <t>https://opac.libnet.pref.okayama.jp/licsxp-opac/WOpacMsgNewListToTifTilDetailAction.do?tilcod=2002222283071</t>
  </si>
  <si>
    <t>https://opac.libnet.pref.okayama.jp/licsxp-opac/WOpacMsgNewListToTifTilDetailAction.do?tilcod=2002222301199</t>
  </si>
  <si>
    <t>https://opac.libnet.pref.okayama.jp/licsxp-opac/WOpacMsgNewListToTifTilDetailAction.do?tilcod=2002222301198</t>
  </si>
  <si>
    <t>https://opac.libnet.pref.okayama.jp/licsxp-opac/WOpacMsgNewListToTifTilDetailAction.do?tilcod=2002222300527</t>
  </si>
  <si>
    <t>https://opac.libnet.pref.okayama.jp/licsxp-opac/WOpacMsgNewListToTifTilDetailAction.do?tilcod=2002222300528</t>
  </si>
  <si>
    <t>https://opac.libnet.pref.okayama.jp/licsxp-opac/WOpacMsgNewListToTifTilDetailAction.do?tilcod=2002222301160</t>
  </si>
  <si>
    <t>https://opac.libnet.pref.okayama.jp/licsxp-opac/WOpacMsgNewListToTifTilDetailAction.do?tilcod=2002222301406</t>
  </si>
  <si>
    <t>https://opac.libnet.pref.okayama.jp/licsxp-opac/WOpacMsgNewListToTifTilDetailAction.do?tilcod=2002222335606</t>
  </si>
  <si>
    <t>https://opac.libnet.pref.okayama.jp/licsxp-opac/WOpacMsgNewListToTifTilDetailAction.do?tilcod=2002222342710</t>
  </si>
  <si>
    <t>https://opac.libnet.pref.okayama.jp/licsxp-opac/WOpacMsgNewListToTifTilDetailAction.do?tilcod=2002222283983</t>
  </si>
  <si>
    <t>https://opac.libnet.pref.okayama.jp/licsxp-opac/WOpacMsgNewListToTifTilDetailAction.do?tilcod=2002222342278</t>
  </si>
  <si>
    <t>https://opac.libnet.pref.okayama.jp/licsxp-opac/WOpacMsgNewListToTifTilDetailAction.do?tilcod=2002222293841</t>
  </si>
  <si>
    <t>https://opac.libnet.pref.okayama.jp/licsxp-opac/WOpacMsgNewListToTifTilDetailAction.do?tilcod=2002222280531</t>
  </si>
  <si>
    <t>https://opac.libnet.pref.okayama.jp/licsxp-opac/WOpacMsgNewListToTifTilDetailAction.do?tilcod=2002222282341</t>
  </si>
  <si>
    <t>https://opac.libnet.pref.okayama.jp/licsxp-opac/WOpacMsgNewListToTifTilDetailAction.do?tilcod=2002222292901</t>
  </si>
  <si>
    <t>https://opac.libnet.pref.okayama.jp/licsxp-opac/WOpacMsgNewListToTifTilDetailAction.do?tilcod=2002222301497</t>
  </si>
  <si>
    <t>https://opac.libnet.pref.okayama.jp/licsxp-opac/WOpacMsgNewListToTifTilDetailAction.do?tilcod=2002222283973</t>
  </si>
  <si>
    <t>https://opac.libnet.pref.okayama.jp/licsxp-opac/WOpacMsgNewListToTifTilDetailAction.do?tilcod=2002222291511</t>
  </si>
  <si>
    <t>https://opac.libnet.pref.okayama.jp/licsxp-opac/WOpacMsgNewListToTifTilDetailAction.do?tilcod=2002222302416</t>
  </si>
  <si>
    <t>https://opac.libnet.pref.okayama.jp/licsxp-opac/WOpacMsgNewListToTifTilDetailAction.do?tilcod=2002222291521</t>
  </si>
  <si>
    <t>https://opac.libnet.pref.okayama.jp/licsxp-opac/WOpacMsgNewListToTifTilDetailAction.do?tilcod=2002222330187</t>
  </si>
  <si>
    <t>https://opac.libnet.pref.okayama.jp/licsxp-opac/WOpacMsgNewListToTifTilDetailAction.do?tilcod=2002222302450</t>
  </si>
  <si>
    <t>https://opac.libnet.pref.okayama.jp/licsxp-opac/WOpacMsgNewListToTifTilDetailAction.do?tilcod=2002222282271</t>
  </si>
  <si>
    <t>https://opac.libnet.pref.okayama.jp/licsxp-opac/WOpacMsgNewListToTifTilDetailAction.do?tilcod=2002222331416</t>
  </si>
  <si>
    <t>https://opac.libnet.pref.okayama.jp/licsxp-opac/WOpacMsgNewListToTifTilDetailAction.do?tilcod=2002222301120</t>
  </si>
  <si>
    <t>https://opac.libnet.pref.okayama.jp/licsxp-opac/WOpacMsgNewListToTifTilDetailAction.do?tilcod=2002222301117</t>
  </si>
  <si>
    <t>https://opac.libnet.pref.okayama.jp/licsxp-opac/WOpacMsgNewListToTifTilDetailAction.do?tilcod=2002222332828</t>
  </si>
  <si>
    <t>https://opac.libnet.pref.okayama.jp/licsxp-opac/WOpacMsgNewListToTifTilDetailAction.do?tilcod=2002222301177</t>
  </si>
  <si>
    <t>https://opac.libnet.pref.okayama.jp/licsxp-opac/WOpacMsgNewListToTifTilDetailAction.do?tilcod=2002222300488</t>
  </si>
  <si>
    <t>https://opac.libnet.pref.okayama.jp/licsxp-opac/WOpacMsgNewListToTifTilDetailAction.do?tilcod=2002222282891</t>
  </si>
  <si>
    <t>https://opac.libnet.pref.okayama.jp/licsxp-opac/WOpacMsgNewListToTifTilDetailAction.do?tilcod=2002222301850</t>
  </si>
  <si>
    <t>https://opac.libnet.pref.okayama.jp/licsxp-opac/WOpacMsgNewListToTifTilDetailAction.do?tilcod=2002222338872</t>
  </si>
  <si>
    <t>https://opac.libnet.pref.okayama.jp/licsxp-opac/WOpacMsgNewListToTifTilDetailAction.do?tilcod=2002222301738</t>
  </si>
  <si>
    <t>https://opac.libnet.pref.okayama.jp/licsxp-opac/WOpacMsgNewListToTifTilDetailAction.do?tilcod=2002222283993</t>
  </si>
  <si>
    <t>https://opac.libnet.pref.okayama.jp/licsxp-opac/WOpacMsgNewListToTifTilDetailAction.do?tilcod=2002222343810</t>
  </si>
  <si>
    <t>https://opac.libnet.pref.okayama.jp/licsxp-opac/WOpacMsgNewListToTifTilDetailAction.do?tilcod=2002222323986</t>
  </si>
  <si>
    <t>https://opac.libnet.pref.okayama.jp/licsxp-opac/WOpacMsgNewListToTifTilDetailAction.do?tilcod=2002222284003</t>
  </si>
  <si>
    <t>https://opac.libnet.pref.okayama.jp/licsxp-opac/WOpacMsgNewListToTifTilDetailAction.do?tilcod=2002222281821</t>
  </si>
  <si>
    <t>https://opac.libnet.pref.okayama.jp/licsxp-opac/WOpacMsgNewListToTifTilDetailAction.do?tilcod=2002222341351</t>
  </si>
  <si>
    <t>https://opac.libnet.pref.okayama.jp/licsxp-opac/WOpacMsgNewListToTifTilDetailAction.do?tilcod=2002222340550</t>
  </si>
  <si>
    <t>https://opac.libnet.pref.okayama.jp/licsxp-opac/WOpacMsgNewListToTifTilDetailAction.do?tilcod=2002222293991</t>
  </si>
  <si>
    <t>https://opac.libnet.pref.okayama.jp/licsxp-opac/WOpacMsgNewListToTifTilDetailAction.do?tilcod=2002222285051</t>
  </si>
  <si>
    <t>https://opac.libnet.pref.okayama.jp/licsxp-opac/WOpacMsgNewListToTifTilDetailAction.do?tilcod=2002222284013</t>
  </si>
  <si>
    <t>https://opac.libnet.pref.okayama.jp/licsxp-opac/WOpacMsgNewListToTifTilDetailAction.do?tilcod=2002222302095</t>
  </si>
  <si>
    <t>https://opac.libnet.pref.okayama.jp/licsxp-opac/WOpacMsgNewListToTifTilDetailAction.do?tilcod=2002222300939</t>
  </si>
  <si>
    <t>https://opac.libnet.pref.okayama.jp/licsxp-opac/WOpacMsgNewListToTifTilDetailAction.do?tilcod=2002222284023</t>
  </si>
  <si>
    <t>https://opac.libnet.pref.okayama.jp/licsxp-opac/WOpacMsgNewListToTifTilDetailAction.do?tilcod=2002222284033</t>
  </si>
  <si>
    <t>https://opac.libnet.pref.okayama.jp/licsxp-opac/WOpacMsgNewListToTifTilDetailAction.do?tilcod=2002222284043</t>
  </si>
  <si>
    <t>https://opac.libnet.pref.okayama.jp/licsxp-opac/WOpacMsgNewListToTifTilDetailAction.do?tilcod=2002222314946</t>
  </si>
  <si>
    <t>https://opac.libnet.pref.okayama.jp/licsxp-opac/WOpacMsgNewListToTifTilDetailAction.do?tilcod=2002222281461</t>
  </si>
  <si>
    <t>https://opac.libnet.pref.okayama.jp/licsxp-opac/WOpacMsgNewListToTifTilDetailAction.do?tilcod=2002222284053</t>
  </si>
  <si>
    <t>https://opac.libnet.pref.okayama.jp/licsxp-opac/WOpacMsgNewListToTifTilDetailAction.do?tilcod=2002222284073</t>
  </si>
  <si>
    <t>https://opac.libnet.pref.okayama.jp/licsxp-opac/WOpacMsgNewListToTifTilDetailAction.do?tilcod=2002222302361</t>
  </si>
  <si>
    <t>https://opac.libnet.pref.okayama.jp/licsxp-opac/WOpacMsgNewListToTifTilDetailAction.do?tilcod=2002222284063</t>
  </si>
  <si>
    <t>https://opac.libnet.pref.okayama.jp/licsxp-opac/WOpacMsgNewListToTifTilDetailAction.do?tilcod=2002222302431</t>
  </si>
  <si>
    <t>https://opac.libnet.pref.okayama.jp/licsxp-opac/WOpacMsgNewListToTifTilDetailAction.do?tilcod=2002222344211</t>
  </si>
  <si>
    <t>https://opac.libnet.pref.okayama.jp/licsxp-opac/WOpacMsgNewListToTifTilDetailAction.do?tilcod=2002222301762</t>
  </si>
  <si>
    <t>https://opac.libnet.pref.okayama.jp/licsxp-opac/WOpacMsgNewListToTifTilDetailAction.do?tilcod=2002222285151</t>
  </si>
  <si>
    <t>https://opac.libnet.pref.okayama.jp/licsxp-opac/WOpacMsgNewListToTifTilDetailAction.do?tilcod=2002222285251</t>
  </si>
  <si>
    <t>https://opac.libnet.pref.okayama.jp/licsxp-opac/WOpacMsgNewListToTifTilDetailAction.do?tilcod=2002222280581</t>
  </si>
  <si>
    <t>https://opac.libnet.pref.okayama.jp/licsxp-opac/WOpacMsgNewListToTifTilDetailAction.do?tilcod=2002222284083</t>
  </si>
  <si>
    <t>https://opac.libnet.pref.okayama.jp/licsxp-opac/WOpacMsgNewListToTifTilDetailAction.do?tilcod=2002222334828</t>
  </si>
  <si>
    <t>https://opac.libnet.pref.okayama.jp/licsxp-opac/WOpacMsgNewListToTifTilDetailAction.do?tilcod=2002222301250</t>
  </si>
  <si>
    <t>https://opac.libnet.pref.okayama.jp/licsxp-opac/WOpacMsgNewListToTifTilDetailAction.do?tilcod=2002222300502</t>
  </si>
  <si>
    <t>https://opac.libnet.pref.okayama.jp/licsxp-opac/WOpacMsgNewListToTifTilDetailAction.do?tilcod=2002222301251</t>
  </si>
  <si>
    <t>https://opac.libnet.pref.okayama.jp/licsxp-opac/WOpacMsgNewListToTifTilDetailAction.do?tilcod=2002222300507</t>
  </si>
  <si>
    <t>https://opac.libnet.pref.okayama.jp/licsxp-opac/WOpacMsgNewListToTifTilDetailAction.do?tilcod=2002222300940</t>
  </si>
  <si>
    <t>https://opac.libnet.pref.okayama.jp/licsxp-opac/WOpacMsgNewListToTifTilDetailAction.do?tilcod=2002222307426</t>
  </si>
  <si>
    <t>https://opac.libnet.pref.okayama.jp/licsxp-opac/WOpacMsgNewListToTifTilDetailAction.do?tilcod=2002222301555</t>
  </si>
  <si>
    <t>https://opac.libnet.pref.okayama.jp/licsxp-opac/WOpacMsgNewListToTifTilDetailAction.do?tilcod=2002222301958</t>
  </si>
  <si>
    <t>https://opac.libnet.pref.okayama.jp/licsxp-opac/WOpacMsgNewListToTifTilDetailAction.do?tilcod=2002222301366</t>
  </si>
  <si>
    <t>https://opac.libnet.pref.okayama.jp/licsxp-opac/WOpacMsgNewListToTifTilDetailAction.do?tilcod=2002222284531</t>
  </si>
  <si>
    <t>https://opac.libnet.pref.okayama.jp/licsxp-opac/WOpacMsgNewListToTifTilDetailAction.do?tilcod=2002222330286</t>
  </si>
  <si>
    <t>https://opac.libnet.pref.okayama.jp/licsxp-opac/WOpacMsgNewListToTifTilDetailAction.do?tilcod=2002222301945</t>
  </si>
  <si>
    <t>https://opac.libnet.pref.okayama.jp/licsxp-opac/WOpacMsgNewListToTifTilDetailAction.do?tilcod=2002222301965</t>
  </si>
  <si>
    <t>https://opac.libnet.pref.okayama.jp/licsxp-opac/WOpacMsgNewListToTifTilDetailAction.do?tilcod=2002222301183</t>
  </si>
  <si>
    <t>https://opac.libnet.pref.okayama.jp/licsxp-opac/WOpacMsgNewListToTifTilDetailAction.do?tilcod=2002222300512</t>
  </si>
  <si>
    <t>https://opac.libnet.pref.okayama.jp/licsxp-opac/WOpacMsgNewListToTifTilDetailAction.do?tilcod=2002222301472</t>
  </si>
  <si>
    <t>https://opac.libnet.pref.okayama.jp/licsxp-opac/WOpacMsgNewListToTifTilDetailAction.do?tilcod=2002222301552</t>
  </si>
  <si>
    <t>https://opac.libnet.pref.okayama.jp/licsxp-opac/WOpacMsgNewListToTifTilDetailAction.do?tilcod=2002222301184</t>
  </si>
  <si>
    <t>https://opac.libnet.pref.okayama.jp/licsxp-opac/WOpacMsgNewListToTifTilDetailAction.do?tilcod=2002222300513</t>
  </si>
  <si>
    <t>https://opac.libnet.pref.okayama.jp/licsxp-opac/WOpacMsgNewListToTifTilDetailAction.do?tilcod=2002222301784</t>
  </si>
  <si>
    <t>https://opac.libnet.pref.okayama.jp/licsxp-opac/WOpacMsgNewListToTifTilDetailAction.do?tilcod=2002222302040</t>
  </si>
  <si>
    <t>https://opac.libnet.pref.okayama.jp/licsxp-opac/WOpacMsgNewListToTifTilDetailAction.do?tilcod=2002222301841</t>
  </si>
  <si>
    <t>https://opac.libnet.pref.okayama.jp/licsxp-opac/WOpacMsgNewListToTifTilDetailAction.do?tilcod=2002222293801</t>
  </si>
  <si>
    <t>https://opac.libnet.pref.okayama.jp/licsxp-opac/WOpacMsgNewListToTifTilDetailAction.do?tilcod=2002222301050</t>
  </si>
  <si>
    <t>https://opac.libnet.pref.okayama.jp/licsxp-opac/WOpacMsgNewListToTifTilDetailAction.do?tilcod=2002222330307</t>
  </si>
  <si>
    <t>https://opac.libnet.pref.okayama.jp/licsxp-opac/WOpacMsgNewListToTifTilDetailAction.do?tilcod=2002222300941</t>
  </si>
  <si>
    <t>https://opac.libnet.pref.okayama.jp/licsxp-opac/WOpacMsgNewListToTifTilDetailAction.do?tilcod=2002222293831</t>
  </si>
  <si>
    <t>https://opac.libnet.pref.okayama.jp/licsxp-opac/WOpacMsgNewListToTifTilDetailAction.do?tilcod=2002222339290</t>
  </si>
  <si>
    <t>https://opac.libnet.pref.okayama.jp/licsxp-opac/WOpacMsgNewListToTifTilDetailAction.do?tilcod=2002222284113</t>
  </si>
  <si>
    <t>https://opac.libnet.pref.okayama.jp/licsxp-opac/WOpacMsgNewListToTifTilDetailAction.do?tilcod=2002222285851</t>
  </si>
  <si>
    <t>https://opac.libnet.pref.okayama.jp/licsxp-opac/WOpacMsgNewListToTifTilDetailAction.do?tilcod=2002222319608</t>
  </si>
  <si>
    <t>https://opac.libnet.pref.okayama.jp/licsxp-opac/WOpacMsgNewListToTifTilDetailAction.do?tilcod=2002222284133</t>
  </si>
  <si>
    <t>https://opac.libnet.pref.okayama.jp/licsxp-opac/WOpacMsgNewListToTifTilDetailAction.do?tilcod=2002222330308</t>
  </si>
  <si>
    <t>https://opac.libnet.pref.okayama.jp/licsxp-opac/WOpacMsgNewListToTifTilDetailAction.do?tilcod=2002222301202</t>
  </si>
  <si>
    <t>https://opac.libnet.pref.okayama.jp/licsxp-opac/WOpacMsgNewListToTifTilDetailAction.do?tilcod=2002222300554</t>
  </si>
  <si>
    <t>https://opac.libnet.pref.okayama.jp/licsxp-opac/WOpacMsgNewListToTifTilDetailAction.do?tilcod=2002222284103</t>
  </si>
  <si>
    <t>https://opac.libnet.pref.okayama.jp/licsxp-opac/WOpacMsgNewListToTifTilDetailAction.do?tilcod=2002222301919</t>
  </si>
  <si>
    <t>https://opac.libnet.pref.okayama.jp/licsxp-opac/WOpacMsgNewListToTifTilDetailAction.do?tilcod=2002222329927</t>
  </si>
  <si>
    <t>https://opac.libnet.pref.okayama.jp/licsxp-opac/WOpacMsgNewListToTifTilDetailAction.do?tilcod=2002222301203</t>
  </si>
  <si>
    <t>https://opac.libnet.pref.okayama.jp/licsxp-opac/WOpacMsgNewListToTifTilDetailAction.do?tilcod=2002222300555</t>
  </si>
  <si>
    <t>https://opac.libnet.pref.okayama.jp/licsxp-opac/WOpacMsgNewListToTifTilDetailAction.do?tilcod=2002222284143</t>
  </si>
  <si>
    <t>https://opac.libnet.pref.okayama.jp/licsxp-opac/WOpacMsgNewListToTifTilDetailAction.do?tilcod=2002222301553</t>
  </si>
  <si>
    <t>https://opac.libnet.pref.okayama.jp/licsxp-opac/WOpacMsgNewListToTifTilDetailAction.do?tilcod=2002222331940</t>
  </si>
  <si>
    <t>https://opac.libnet.pref.okayama.jp/licsxp-opac/WOpacMsgNewListToTifTilDetailAction.do?tilcod=2002222312327</t>
  </si>
  <si>
    <t>https://opac.libnet.pref.okayama.jp/licsxp-opac/WOpacMsgNewListToTifTilDetailAction.do?tilcod=2002222285221</t>
  </si>
  <si>
    <t>https://opac.libnet.pref.okayama.jp/licsxp-opac/WOpacMsgNewListToTifTilDetailAction.do?tilcod=2002222292911</t>
  </si>
  <si>
    <t>https://opac.libnet.pref.okayama.jp/licsxp-opac/WOpacMsgNewListToTifTilDetailAction.do?tilcod=2002222284173</t>
  </si>
  <si>
    <t>https://opac.libnet.pref.okayama.jp/licsxp-opac/WOpacMsgNewListToTifTilDetailAction.do?tilcod=2002222280591</t>
  </si>
  <si>
    <t>https://opac.libnet.pref.okayama.jp/licsxp-opac/WOpacMsgNewListToTifTilDetailAction.do?tilcod=2002222284183</t>
  </si>
  <si>
    <t>https://opac.libnet.pref.okayama.jp/licsxp-opac/WOpacMsgNewListToTifTilDetailAction.do?tilcod=2002222284193</t>
  </si>
  <si>
    <t>https://opac.libnet.pref.okayama.jp/licsxp-opac/WOpacMsgNewListToTifTilDetailAction.do?tilcod=2002222301306</t>
  </si>
  <si>
    <t>https://opac.libnet.pref.okayama.jp/licsxp-opac/WOpacMsgNewListToTifTilDetailAction.do?tilcod=2002222280684</t>
  </si>
  <si>
    <t>https://opac.libnet.pref.okayama.jp/licsxp-opac/WOpacMsgNewListToTifTilDetailAction.do?tilcod=2002222307387</t>
  </si>
  <si>
    <t>https://opac.libnet.pref.okayama.jp/licsxp-opac/WOpacMsgNewListToTifTilDetailAction.do?tilcod=2002222327086</t>
  </si>
  <si>
    <t>https://opac.libnet.pref.okayama.jp/licsxp-opac/WOpacMsgNewListToTifTilDetailAction.do?tilcod=2002222280674</t>
  </si>
  <si>
    <t>https://opac.libnet.pref.okayama.jp/licsxp-opac/WOpacMsgNewListToTifTilDetailAction.do?tilcod=2002222301293</t>
  </si>
  <si>
    <t>https://opac.libnet.pref.okayama.jp/licsxp-opac/WOpacMsgNewListToTifTilDetailAction.do?tilcod=2002222300601</t>
  </si>
  <si>
    <t>https://opac.libnet.pref.okayama.jp/licsxp-opac/WOpacMsgNewListToTifTilDetailAction.do?tilcod=2002222301832</t>
  </si>
  <si>
    <t>https://opac.libnet.pref.okayama.jp/licsxp-opac/WOpacMsgNewListToTifTilDetailAction.do?tilcod=2002222284203</t>
  </si>
  <si>
    <t>https://opac.libnet.pref.okayama.jp/licsxp-opac/WOpacMsgNewListToTifTilDetailAction.do?tilcod=2002222336647</t>
  </si>
  <si>
    <t>https://opac.libnet.pref.okayama.jp/licsxp-opac/WOpacMsgNewListToTifTilDetailAction.do?tilcod=2002222292921</t>
  </si>
  <si>
    <t>https://opac.libnet.pref.okayama.jp/licsxp-opac/WOpacMsgNewListToTifTilDetailAction.do?tilcod=2002222284233</t>
  </si>
  <si>
    <t>https://opac.libnet.pref.okayama.jp/licsxp-opac/WOpacMsgNewListToTifTilDetailAction.do?tilcod=2002222300024</t>
  </si>
  <si>
    <t>https://opac.libnet.pref.okayama.jp/licsxp-opac/WOpacMsgNewListToTifTilDetailAction.do?tilcod=2002222291531</t>
  </si>
  <si>
    <t>https://opac.libnet.pref.okayama.jp/licsxp-opac/WOpacMsgNewListToTifTilDetailAction.do?tilcod=2002222300441</t>
  </si>
  <si>
    <t>https://opac.libnet.pref.okayama.jp/licsxp-opac/WOpacMsgNewListToTifTilDetailAction.do?tilcod=2002222284243</t>
  </si>
  <si>
    <t>https://opac.libnet.pref.okayama.jp/licsxp-opac/WOpacMsgNewListToTifTilDetailAction.do?tilcod=2002222285751</t>
  </si>
  <si>
    <t>https://opac.libnet.pref.okayama.jp/licsxp-opac/WOpacMsgNewListToTifTilDetailAction.do?tilcod=2002222284253</t>
  </si>
  <si>
    <t>https://opac.libnet.pref.okayama.jp/licsxp-opac/WOpacMsgNewListToTifTilDetailAction.do?tilcod=2002222294000</t>
  </si>
  <si>
    <t>https://opac.libnet.pref.okayama.jp/licsxp-opac/WOpacMsgNewListToTifTilDetailAction.do?tilcod=2002222284263</t>
  </si>
  <si>
    <t>https://opac.libnet.pref.okayama.jp/licsxp-opac/WOpacMsgNewListToTifTilDetailAction.do?tilcod=2002222314867</t>
  </si>
  <si>
    <t>https://opac.libnet.pref.okayama.jp/licsxp-opac/WOpacMsgNewListToTifTilDetailAction.do?tilcod=2002222292931</t>
  </si>
  <si>
    <t>https://opac.libnet.pref.okayama.jp/licsxp-opac/WOpacMsgNewListToTifTilDetailAction.do?tilcod=2002222301097</t>
  </si>
  <si>
    <t>https://opac.libnet.pref.okayama.jp/licsxp-opac/WOpacMsgNewListToTifTilDetailAction.do?tilcod=2002222302312</t>
  </si>
  <si>
    <t>https://opac.libnet.pref.okayama.jp/licsxp-opac/WOpacMsgNewListToTifTilDetailAction.do?tilcod=2002222284273</t>
  </si>
  <si>
    <t>https://opac.libnet.pref.okayama.jp/licsxp-opac/WOpacMsgNewListToTifTilDetailAction.do?tilcod=2002222343812</t>
  </si>
  <si>
    <t>https://opac.libnet.pref.okayama.jp/licsxp-opac/WOpacMsgNewListToTifTilDetailAction.do?tilcod=2002222328206</t>
  </si>
  <si>
    <t>https://opac.libnet.pref.okayama.jp/licsxp-opac/WOpacMsgNewListToTifTilDetailAction.do?tilcod=2002222287703</t>
  </si>
  <si>
    <t>https://opac.libnet.pref.okayama.jp/licsxp-opac/WOpacMsgNewListToTifTilDetailAction.do?tilcod=2002222281474</t>
  </si>
  <si>
    <t>https://opac.libnet.pref.okayama.jp/licsxp-opac/WOpacMsgNewListToTifTilDetailAction.do?tilcod=2002222300053</t>
  </si>
  <si>
    <t>https://opac.libnet.pref.okayama.jp/licsxp-opac/WOpacMsgNewListToTifTilDetailAction.do?tilcod=2002222282034</t>
  </si>
  <si>
    <t>https://opac.libnet.pref.okayama.jp/licsxp-opac/WOpacMsgNewListToTifTilDetailAction.do?tilcod=2002222326366</t>
  </si>
  <si>
    <t>https://opac.libnet.pref.okayama.jp/licsxp-opac/WOpacMsgNewListToTifTilDetailAction.do?tilcod=2002222335688</t>
  </si>
  <si>
    <t>https://opac.libnet.pref.okayama.jp/licsxp-opac/WOpacMsgNewListToTifTilDetailAction.do?tilcod=2002222284283</t>
  </si>
  <si>
    <t>https://opac.libnet.pref.okayama.jp/licsxp-opac/WOpacMsgNewListToTifTilDetailAction.do?tilcod=2002222284293</t>
  </si>
  <si>
    <t>https://opac.libnet.pref.okayama.jp/licsxp-opac/WOpacMsgNewListToTifTilDetailAction.do?tilcod=2002222293691</t>
  </si>
  <si>
    <t>https://opac.libnet.pref.okayama.jp/licsxp-opac/WOpacMsgNewListToTifTilDetailAction.do?tilcod=2002222337046</t>
  </si>
  <si>
    <t>https://opac.libnet.pref.okayama.jp/licsxp-opac/WOpacMsgNewListToTifTilDetailAction.do?tilcod=2002222300942</t>
  </si>
  <si>
    <t>https://opac.libnet.pref.okayama.jp/licsxp-opac/WOpacMsgNewListToTifTilDetailAction.do?tilcod=2002222335294</t>
  </si>
  <si>
    <t>https://opac.libnet.pref.okayama.jp/licsxp-opac/WOpacMsgNewListToTifTilDetailAction.do?tilcod=2002222302154</t>
  </si>
  <si>
    <t>https://opac.libnet.pref.okayama.jp/licsxp-opac/WOpacMsgNewListToTifTilDetailAction.do?tilcod=2002222293711</t>
  </si>
  <si>
    <t>https://opac.libnet.pref.okayama.jp/licsxp-opac/WOpacMsgNewListToTifTilDetailAction.do?tilcod=2002222284313</t>
  </si>
  <si>
    <t>https://opac.libnet.pref.okayama.jp/licsxp-opac/WOpacMsgNewListToTifTilDetailAction.do?tilcod=2002222309587</t>
  </si>
  <si>
    <t>https://opac.libnet.pref.okayama.jp/licsxp-opac/WOpacMsgNewListToTifTilDetailAction.do?tilcod=2002222284303</t>
  </si>
  <si>
    <t>https://opac.libnet.pref.okayama.jp/licsxp-opac/WOpacMsgNewListToTifTilDetailAction.do?tilcod=2002222284323</t>
  </si>
  <si>
    <t>https://opac.libnet.pref.okayama.jp/licsxp-opac/WOpacMsgNewListToTifTilDetailAction.do?tilcod=2002222285951</t>
  </si>
  <si>
    <t>https://opac.libnet.pref.okayama.jp/licsxp-opac/WOpacMsgNewListToTifTilDetailAction.do?tilcod=2002222285961</t>
  </si>
  <si>
    <t>https://opac.libnet.pref.okayama.jp/licsxp-opac/WOpacMsgNewListToTifTilDetailAction.do?tilcod=2002222284333</t>
  </si>
  <si>
    <t>https://opac.libnet.pref.okayama.jp/licsxp-opac/WOpacMsgNewListToTifTilDetailAction.do?tilcod=2002222284343</t>
  </si>
  <si>
    <t>https://opac.libnet.pref.okayama.jp/licsxp-opac/WOpacMsgNewListToTifTilDetailAction.do?tilcod=2002222301006</t>
  </si>
  <si>
    <t>https://opac.libnet.pref.okayama.jp/licsxp-opac/WOpacMsgNewListToTifTilDetailAction.do?tilcod=2002222302113</t>
  </si>
  <si>
    <t>https://opac.libnet.pref.okayama.jp/licsxp-opac/WOpacMsgNewListToTifTilDetailAction.do?tilcod=2002222281284</t>
  </si>
  <si>
    <t>https://opac.libnet.pref.okayama.jp/licsxp-opac/WOpacMsgNewListToTifTilDetailAction.do?tilcod=2002222281814</t>
  </si>
  <si>
    <t>https://opac.libnet.pref.okayama.jp/licsxp-opac/WOpacMsgNewListToTifTilDetailAction.do?tilcod=2002222284363</t>
  </si>
  <si>
    <t>https://opac.libnet.pref.okayama.jp/licsxp-opac/WOpacMsgNewListToTifTilDetailAction.do?tilcod=2002222284353</t>
  </si>
  <si>
    <t>https://opac.libnet.pref.okayama.jp/licsxp-opac/WOpacMsgNewListToTifTilDetailAction.do?tilcod=2002222300943</t>
  </si>
  <si>
    <t>https://opac.libnet.pref.okayama.jp/licsxp-opac/WOpacMsgNewListToTifTilDetailAction.do?tilcod=2002222300944</t>
  </si>
  <si>
    <t>https://opac.libnet.pref.okayama.jp/licsxp-opac/WOpacMsgNewListToTifTilDetailAction.do?tilcod=2002222302008</t>
  </si>
  <si>
    <t>https://opac.libnet.pref.okayama.jp/licsxp-opac/WOpacMsgNewListToTifTilDetailAction.do?tilcod=2002222294461</t>
  </si>
  <si>
    <t>https://opac.libnet.pref.okayama.jp/licsxp-opac/WOpacMsgNewListToTifTilDetailAction.do?tilcod=2002222276722</t>
  </si>
  <si>
    <t>https://opac.libnet.pref.okayama.jp/licsxp-opac/WOpacMsgNewListToTifTilDetailAction.do?tilcod=2002222301517</t>
  </si>
  <si>
    <t>https://opac.libnet.pref.okayama.jp/licsxp-opac/WOpacMsgNewListToTifTilDetailAction.do?tilcod=2002222284373</t>
  </si>
  <si>
    <t>https://opac.libnet.pref.okayama.jp/licsxp-opac/WOpacMsgNewListToTifTilDetailAction.do?tilcod=2002222301007</t>
  </si>
  <si>
    <t>https://opac.libnet.pref.okayama.jp/licsxp-opac/WOpacMsgNewListToTifTilDetailAction.do?tilcod=2002222284383</t>
  </si>
  <si>
    <t>https://opac.libnet.pref.okayama.jp/licsxp-opac/WOpacMsgNewListToTifTilDetailAction.do?tilcod=2002222284393</t>
  </si>
  <si>
    <t>https://opac.libnet.pref.okayama.jp/licsxp-opac/WOpacMsgNewListToTifTilDetailAction.do?tilcod=2002222335627</t>
  </si>
  <si>
    <t>https://opac.libnet.pref.okayama.jp/licsxp-opac/WOpacMsgNewListToTifTilDetailAction.do?tilcod=2002222301756</t>
  </si>
  <si>
    <t>https://opac.libnet.pref.okayama.jp/licsxp-opac/WOpacMsgNewListToTifTilDetailAction.do?tilcod=2002222301008</t>
  </si>
  <si>
    <t>https://opac.libnet.pref.okayama.jp/licsxp-opac/WOpacMsgNewListToTifTilDetailAction.do?tilcod=2002222301009</t>
  </si>
  <si>
    <t>https://opac.libnet.pref.okayama.jp/licsxp-opac/WOpacMsgNewListToTifTilDetailAction.do?tilcod=2002222284403</t>
  </si>
  <si>
    <t>https://opac.libnet.pref.okayama.jp/licsxp-opac/WOpacMsgNewListToTifTilDetailAction.do?tilcod=2002222301737</t>
  </si>
  <si>
    <t>https://opac.libnet.pref.okayama.jp/licsxp-opac/WOpacMsgNewListToTifTilDetailAction.do?tilcod=2002222284413</t>
  </si>
  <si>
    <t>https://opac.libnet.pref.okayama.jp/licsxp-opac/WOpacMsgNewListToTifTilDetailAction.do?tilcod=2002222301723</t>
  </si>
  <si>
    <t>https://opac.libnet.pref.okayama.jp/licsxp-opac/WOpacMsgNewListToTifTilDetailAction.do?tilcod=2002222284423</t>
  </si>
  <si>
    <t>https://opac.libnet.pref.okayama.jp/licsxp-opac/WOpacMsgNewListToTifTilDetailAction.do?tilcod=2002222301010</t>
  </si>
  <si>
    <t>https://opac.libnet.pref.okayama.jp/licsxp-opac/WOpacMsgNewListToTifTilDetailAction.do?tilcod=2002222300945</t>
  </si>
  <si>
    <t>https://opac.libnet.pref.okayama.jp/licsxp-opac/WOpacMsgNewListToTifTilDetailAction.do?tilcod=2002222336770</t>
  </si>
  <si>
    <t>https://opac.libnet.pref.okayama.jp/licsxp-opac/WOpacMsgNewListToTifTilDetailAction.do?tilcod=2002222284443</t>
  </si>
  <si>
    <t>https://opac.libnet.pref.okayama.jp/licsxp-opac/WOpacMsgNewListToTifTilDetailAction.do?tilcod=2002222293741</t>
  </si>
  <si>
    <t>https://opac.libnet.pref.okayama.jp/licsxp-opac/WOpacMsgNewListToTifTilDetailAction.do?tilcod=2002222300384</t>
  </si>
  <si>
    <t>https://opac.libnet.pref.okayama.jp/licsxp-opac/WOpacMsgNewListToTifTilDetailAction.do?tilcod=2002222284371</t>
  </si>
  <si>
    <t>https://opac.libnet.pref.okayama.jp/licsxp-opac/WOpacMsgNewListToTifTilDetailAction.do?tilcod=2002222301298</t>
  </si>
  <si>
    <t>https://opac.libnet.pref.okayama.jp/licsxp-opac/WOpacMsgNewListToTifTilDetailAction.do?tilcod=2002222280654</t>
  </si>
  <si>
    <t>https://opac.libnet.pref.okayama.jp/licsxp-opac/WOpacMsgNewListToTifTilDetailAction.do?tilcod=2002222301632</t>
  </si>
  <si>
    <t>https://opac.libnet.pref.okayama.jp/licsxp-opac/WOpacMsgNewListToTifTilDetailAction.do?tilcod=2002222301664</t>
  </si>
  <si>
    <t>https://opac.libnet.pref.okayama.jp/licsxp-opac/WOpacMsgNewListToTifTilDetailAction.do?tilcod=2002222301682</t>
  </si>
  <si>
    <t>https://opac.libnet.pref.okayama.jp/licsxp-opac/WOpacMsgNewListToTifTilDetailAction.do?tilcod=2002222284613</t>
  </si>
  <si>
    <t>https://opac.libnet.pref.okayama.jp/licsxp-opac/WOpacMsgNewListToTifTilDetailAction.do?tilcod=2002222284753</t>
  </si>
  <si>
    <t>https://opac.libnet.pref.okayama.jp/licsxp-opac/WOpacMsgNewListToTifTilDetailAction.do?tilcod=2002222300412</t>
  </si>
  <si>
    <t>https://opac.libnet.pref.okayama.jp/licsxp-opac/WOpacMsgNewListToTifTilDetailAction.do?tilcod=2002222284463</t>
  </si>
  <si>
    <t>https://opac.libnet.pref.okayama.jp/licsxp-opac/WOpacMsgNewListToTifTilDetailAction.do?tilcod=2002222331147</t>
  </si>
  <si>
    <t>https://opac.libnet.pref.okayama.jp/licsxp-opac/WOpacMsgNewListToTifTilDetailAction.do?tilcod=2002222286041</t>
  </si>
  <si>
    <t>https://opac.libnet.pref.okayama.jp/licsxp-opac/WOpacMsgNewListToTifTilDetailAction.do?tilcod=2002222301078</t>
  </si>
  <si>
    <t>https://opac.libnet.pref.okayama.jp/licsxp-opac/WOpacMsgNewListToTifTilDetailAction.do?tilcod=2002222281434</t>
  </si>
  <si>
    <t>https://opac.libnet.pref.okayama.jp/licsxp-opac/WOpacMsgNewListToTifTilDetailAction.do?tilcod=2002222284473</t>
  </si>
  <si>
    <t>https://opac.libnet.pref.okayama.jp/licsxp-opac/WOpacMsgNewListToTifTilDetailAction.do?tilcod=2002222284483</t>
  </si>
  <si>
    <t>https://opac.libnet.pref.okayama.jp/licsxp-opac/WOpacMsgNewListToTifTilDetailAction.do?tilcod=2002222284503</t>
  </si>
  <si>
    <t>https://opac.libnet.pref.okayama.jp/licsxp-opac/WOpacMsgNewListToTifTilDetailAction.do?tilcod=2002222284493</t>
  </si>
  <si>
    <t>https://opac.libnet.pref.okayama.jp/licsxp-opac/WOpacMsgNewListToTifTilDetailAction.do?tilcod=2002222280644</t>
  </si>
  <si>
    <t>https://opac.libnet.pref.okayama.jp/licsxp-opac/WOpacMsgNewListToTifTilDetailAction.do?tilcod=2002222334052</t>
  </si>
  <si>
    <t>https://opac.libnet.pref.okayama.jp/licsxp-opac/WOpacMsgNewListToTifTilDetailAction.do?tilcod=2002222284523</t>
  </si>
  <si>
    <t>https://opac.libnet.pref.okayama.jp/licsxp-opac/WOpacMsgNewListToTifTilDetailAction.do?tilcod=2002222284533</t>
  </si>
  <si>
    <t>https://opac.libnet.pref.okayama.jp/licsxp-opac/WOpacMsgNewListToTifTilDetailAction.do?tilcod=2002222334647</t>
  </si>
  <si>
    <t>https://opac.libnet.pref.okayama.jp/licsxp-opac/WOpacMsgNewListToTifTilDetailAction.do?tilcod=2002222338370</t>
  </si>
  <si>
    <t>https://opac.libnet.pref.okayama.jp/licsxp-opac/WOpacMsgNewListToTifTilDetailAction.do?tilcod=2002222301660</t>
  </si>
  <si>
    <t>https://opac.libnet.pref.okayama.jp/licsxp-opac/WOpacMsgNewListToTifTilDetailAction.do?tilcod=2002222340932</t>
  </si>
  <si>
    <t>https://opac.libnet.pref.okayama.jp/licsxp-opac/WOpacMsgNewListToTifTilDetailAction.do?tilcod=2002222340930</t>
  </si>
  <si>
    <t>https://opac.libnet.pref.okayama.jp/licsxp-opac/WOpacMsgNewListToTifTilDetailAction.do?tilcod=2002222284543</t>
  </si>
  <si>
    <t>https://opac.libnet.pref.okayama.jp/licsxp-opac/WOpacMsgNewListToTifTilDetailAction.do?tilcod=2002222301907</t>
  </si>
  <si>
    <t>https://opac.libnet.pref.okayama.jp/licsxp-opac/WOpacMsgNewListToTifTilDetailAction.do?tilcod=2002222280601</t>
  </si>
  <si>
    <t>https://opac.libnet.pref.okayama.jp/licsxp-opac/WOpacMsgNewListToTifTilDetailAction.do?tilcod=2002222284553</t>
  </si>
  <si>
    <t>https://opac.libnet.pref.okayama.jp/licsxp-opac/WOpacMsgNewListToTifTilDetailAction.do?tilcod=2002222284763</t>
  </si>
  <si>
    <t>https://opac.libnet.pref.okayama.jp/licsxp-opac/WOpacMsgNewListToTifTilDetailAction.do?tilcod=2002222302117</t>
  </si>
  <si>
    <t>https://opac.libnet.pref.okayama.jp/licsxp-opac/WOpacMsgNewListToTifTilDetailAction.do?tilcod=2002222284563</t>
  </si>
  <si>
    <t>https://opac.libnet.pref.okayama.jp/licsxp-opac/WOpacMsgNewListToTifTilDetailAction.do?tilcod=2002222335666</t>
  </si>
  <si>
    <t>https://opac.libnet.pref.okayama.jp/licsxp-opac/WOpacMsgNewListToTifTilDetailAction.do?tilcod=2002222339310</t>
  </si>
  <si>
    <t>https://opac.libnet.pref.okayama.jp/licsxp-opac/WOpacMsgNewListToTifTilDetailAction.do?tilcod=2002222336976</t>
  </si>
  <si>
    <t>https://opac.libnet.pref.okayama.jp/licsxp-opac/WOpacMsgNewListToTifTilDetailAction.do?tilcod=2002222284573</t>
  </si>
  <si>
    <t>https://opac.libnet.pref.okayama.jp/licsxp-opac/WOpacMsgNewListToTifTilDetailAction.do?tilcod=2002222292951</t>
  </si>
  <si>
    <t>https://opac.libnet.pref.okayama.jp/licsxp-opac/WOpacMsgNewListToTifTilDetailAction.do?tilcod=2002222284583</t>
  </si>
  <si>
    <t>https://opac.libnet.pref.okayama.jp/licsxp-opac/WOpacMsgNewListToTifTilDetailAction.do?tilcod=2002222280611</t>
  </si>
  <si>
    <t>https://opac.libnet.pref.okayama.jp/licsxp-opac/WOpacMsgNewListToTifTilDetailAction.do?tilcod=2002222292941</t>
  </si>
  <si>
    <t>https://opac.libnet.pref.okayama.jp/licsxp-opac/WOpacMsgNewListToTifTilDetailAction.do?tilcod=2002222307506</t>
  </si>
  <si>
    <t>https://opac.libnet.pref.okayama.jp/licsxp-opac/WOpacMsgNewListToTifTilDetailAction.do?tilcod=2002222284773</t>
  </si>
  <si>
    <t>https://opac.libnet.pref.okayama.jp/licsxp-opac/WOpacMsgNewListToTifTilDetailAction.do?tilcod=2002222284593</t>
  </si>
  <si>
    <t>https://opac.libnet.pref.okayama.jp/licsxp-opac/WOpacMsgNewListToTifTilDetailAction.do?tilcod=2002222329586</t>
  </si>
  <si>
    <t>https://opac.libnet.pref.okayama.jp/licsxp-opac/WOpacMsgNewListToTifTilDetailAction.do?tilcod=2002222300746</t>
  </si>
  <si>
    <t>https://opac.libnet.pref.okayama.jp/licsxp-opac/WOpacMsgNewListToTifTilDetailAction.do?tilcod=2002222301279</t>
  </si>
  <si>
    <t>https://opac.libnet.pref.okayama.jp/licsxp-opac/WOpacMsgNewListToTifTilDetailAction.do?tilcod=2002222300510</t>
  </si>
  <si>
    <t>https://opac.libnet.pref.okayama.jp/licsxp-opac/WOpacMsgNewListToTifTilDetailAction.do?tilcod=2002222301276</t>
  </si>
  <si>
    <t>https://opac.libnet.pref.okayama.jp/licsxp-opac/WOpacMsgNewListToTifTilDetailAction.do?tilcod=2002222300589</t>
  </si>
  <si>
    <t>https://opac.libnet.pref.okayama.jp/licsxp-opac/WOpacMsgNewListToTifTilDetailAction.do?tilcod=2002222293901</t>
  </si>
  <si>
    <t>https://opac.libnet.pref.okayama.jp/licsxp-opac/WOpacMsgNewListToTifTilDetailAction.do?tilcod=2002222302051</t>
  </si>
  <si>
    <t>https://opac.libnet.pref.okayama.jp/licsxp-opac/WOpacMsgNewListToTifTilDetailAction.do?tilcod=2002222300734</t>
  </si>
  <si>
    <t>https://opac.libnet.pref.okayama.jp/licsxp-opac/WOpacMsgNewListToTifTilDetailAction.do?tilcod=2002222301086</t>
  </si>
  <si>
    <t>https://opac.libnet.pref.okayama.jp/licsxp-opac/WOpacMsgNewListToTifTilDetailAction.do?tilcod=2002222301447</t>
  </si>
  <si>
    <t>https://opac.libnet.pref.okayama.jp/licsxp-opac/WOpacMsgNewListToTifTilDetailAction.do?tilcod=2002222301468</t>
  </si>
  <si>
    <t>https://opac.libnet.pref.okayama.jp/licsxp-opac/WOpacMsgNewListToTifTilDetailAction.do?tilcod=2002222284603</t>
  </si>
  <si>
    <t>https://opac.libnet.pref.okayama.jp/licsxp-opac/WOpacMsgNewListToTifTilDetailAction.do?tilcod=2002222301280</t>
  </si>
  <si>
    <t>https://opac.libnet.pref.okayama.jp/licsxp-opac/WOpacMsgNewListToTifTilDetailAction.do?tilcod=2002222300508</t>
  </si>
  <si>
    <t>https://opac.libnet.pref.okayama.jp/licsxp-opac/WOpacMsgNewListToTifTilDetailAction.do?tilcod=2002222300615</t>
  </si>
  <si>
    <t>https://opac.libnet.pref.okayama.jp/licsxp-opac/WOpacMsgNewListToTifTilDetailAction.do?tilcod=2002222280291</t>
  </si>
  <si>
    <t>https://opac.libnet.pref.okayama.jp/licsxp-opac/WOpacMsgNewListToTifTilDetailAction.do?tilcod=2002222301844</t>
  </si>
  <si>
    <t>https://opac.libnet.pref.okayama.jp/licsxp-opac/WOpacMsgNewListToTifTilDetailAction.do?tilcod=2002222301928</t>
  </si>
  <si>
    <t>https://opac.libnet.pref.okayama.jp/licsxp-opac/WOpacMsgNewListToTifTilDetailAction.do?tilcod=2002222300565</t>
  </si>
  <si>
    <t>https://opac.libnet.pref.okayama.jp/licsxp-opac/WOpacMsgNewListToTifTilDetailAction.do?tilcod=2002222337530</t>
  </si>
  <si>
    <t>https://opac.libnet.pref.okayama.jp/licsxp-opac/WOpacMsgNewListToTifTilDetailAction.do?tilcod=2002222282151</t>
  </si>
  <si>
    <t>https://opac.libnet.pref.okayama.jp/licsxp-opac/WOpacMsgNewListToTifTilDetailAction.do?tilcod=2002222323286</t>
  </si>
  <si>
    <t>https://opac.libnet.pref.okayama.jp/licsxp-opac/WOpacMsgNewListToTifTilDetailAction.do?tilcod=2002222330106</t>
  </si>
  <si>
    <t>https://opac.libnet.pref.okayama.jp/licsxp-opac/WOpacMsgNewListToTifTilDetailAction.do?tilcod=2002222301957</t>
  </si>
  <si>
    <t>https://opac.libnet.pref.okayama.jp/licsxp-opac/WOpacMsgNewListToTifTilDetailAction.do?tilcod=2002222301281</t>
  </si>
  <si>
    <t>https://opac.libnet.pref.okayama.jp/licsxp-opac/WOpacMsgNewListToTifTilDetailAction.do?tilcod=2002222300723</t>
  </si>
  <si>
    <t>https://opac.libnet.pref.okayama.jp/licsxp-opac/WOpacMsgNewListToTifTilDetailAction.do?tilcod=2002222284633</t>
  </si>
  <si>
    <t>https://opac.libnet.pref.okayama.jp/licsxp-opac/WOpacMsgNewListToTifTilDetailAction.do?tilcod=2002222284623</t>
  </si>
  <si>
    <t>https://opac.libnet.pref.okayama.jp/licsxp-opac/WOpacMsgNewListToTifTilDetailAction.do?tilcod=2002222300893</t>
  </si>
  <si>
    <t>https://opac.libnet.pref.okayama.jp/licsxp-opac/WOpacMsgNewListToTifTilDetailAction.do?tilcod=2002222282014</t>
  </si>
  <si>
    <t>https://opac.libnet.pref.okayama.jp/licsxp-opac/WOpacMsgNewListToTifTilDetailAction.do?tilcod=2002222294011</t>
  </si>
  <si>
    <t>https://opac.libnet.pref.okayama.jp/licsxp-opac/WOpacMsgNewListToTifTilDetailAction.do?tilcod=2002222337066</t>
  </si>
  <si>
    <t>https://opac.libnet.pref.okayama.jp/licsxp-opac/WOpacMsgNewListToTifTilDetailAction.do?tilcod=2002222285631</t>
  </si>
  <si>
    <t>https://opac.libnet.pref.okayama.jp/licsxp-opac/WOpacMsgNewListToTifTilDetailAction.do?tilcod=2002222301085</t>
  </si>
  <si>
    <t>https://opac.libnet.pref.okayama.jp/licsxp-opac/WOpacMsgNewListToTifTilDetailAction.do?tilcod=2002222301282</t>
  </si>
  <si>
    <t>https://opac.libnet.pref.okayama.jp/licsxp-opac/WOpacMsgNewListToTifTilDetailAction.do?tilcod=2002222300511</t>
  </si>
  <si>
    <t>https://opac.libnet.pref.okayama.jp/licsxp-opac/WOpacMsgNewListToTifTilDetailAction.do?tilcod=2002222301936</t>
  </si>
  <si>
    <t>https://opac.libnet.pref.okayama.jp/licsxp-opac/WOpacMsgNewListToTifTilDetailAction.do?tilcod=2002222294771</t>
  </si>
  <si>
    <t>https://opac.libnet.pref.okayama.jp/licsxp-opac/WOpacMsgNewListToTifTilDetailAction.do?tilcod=2002222293571</t>
  </si>
  <si>
    <t>https://opac.libnet.pref.okayama.jp/licsxp-opac/WOpacMsgNewListToTifTilDetailAction.do?tilcod=2002222302223</t>
  </si>
  <si>
    <t>https://opac.libnet.pref.okayama.jp/licsxp-opac/WOpacMsgNewListToTifTilDetailAction.do?tilcod=2002222284653</t>
  </si>
  <si>
    <t>https://opac.libnet.pref.okayama.jp/licsxp-opac/WOpacMsgNewListToTifTilDetailAction.do?tilcod=2002222293061</t>
  </si>
  <si>
    <t>https://opac.libnet.pref.okayama.jp/licsxp-opac/WOpacMsgNewListToTifTilDetailAction.do?tilcod=2002222282913</t>
  </si>
  <si>
    <t>https://opac.libnet.pref.okayama.jp/licsxp-opac/WOpacMsgNewListToTifTilDetailAction.do?tilcod=2002222336771</t>
  </si>
  <si>
    <t>https://opac.libnet.pref.okayama.jp/licsxp-opac/WOpacMsgNewListToTifTilDetailAction.do?tilcod=2002222281704</t>
  </si>
  <si>
    <t>https://opac.libnet.pref.okayama.jp/licsxp-opac/WOpacMsgNewListToTifTilDetailAction.do?tilcod=2002222282991</t>
  </si>
  <si>
    <t>https://opac.libnet.pref.okayama.jp/licsxp-opac/WOpacMsgNewListToTifTilDetailAction.do?tilcod=2002222281211</t>
  </si>
  <si>
    <t>https://opac.libnet.pref.okayama.jp/licsxp-opac/WOpacMsgNewListToTifTilDetailAction.do?tilcod=2002222321627</t>
  </si>
  <si>
    <t>https://opac.libnet.pref.okayama.jp/licsxp-opac/WOpacMsgNewListToTifTilDetailAction.do?tilcod=2002222282471</t>
  </si>
  <si>
    <t>https://opac.libnet.pref.okayama.jp/licsxp-opac/WOpacMsgNewListToTifTilDetailAction.do?tilcod=2002222284643</t>
  </si>
  <si>
    <t>https://opac.libnet.pref.okayama.jp/licsxp-opac/WOpacMsgNewListToTifTilDetailAction.do?tilcod=2002222302079</t>
  </si>
  <si>
    <t>https://opac.libnet.pref.okayama.jp/licsxp-opac/WOpacMsgNewListToTifTilDetailAction.do?tilcod=2002222309567</t>
  </si>
  <si>
    <t>https://opac.libnet.pref.okayama.jp/licsxp-opac/WOpacMsgNewListToTifTilDetailAction.do?tilcod=2002222331027</t>
  </si>
  <si>
    <t>https://opac.libnet.pref.okayama.jp/licsxp-opac/WOpacMsgNewListToTifTilDetailAction.do?tilcod=2002222334149</t>
  </si>
  <si>
    <t>https://opac.libnet.pref.okayama.jp/licsxp-opac/WOpacMsgNewListToTifTilDetailAction.do?tilcod=2002222301649</t>
  </si>
  <si>
    <t>https://opac.libnet.pref.okayama.jp/licsxp-opac/WOpacMsgNewListToTifTilDetailAction.do?tilcod=2002222314666</t>
  </si>
  <si>
    <t>https://opac.libnet.pref.okayama.jp/licsxp-opac/WOpacMsgNewListToTifTilDetailAction.do?tilcod=2002222301925</t>
  </si>
  <si>
    <t>https://opac.libnet.pref.okayama.jp/licsxp-opac/WOpacMsgNewListToTifTilDetailAction.do?tilcod=2002222329106</t>
  </si>
  <si>
    <t>https://opac.libnet.pref.okayama.jp/licsxp-opac/WOpacMsgNewListToTifTilDetailAction.do?tilcod=2002222300947</t>
  </si>
  <si>
    <t>https://opac.libnet.pref.okayama.jp/licsxp-opac/WOpacMsgNewListToTifTilDetailAction.do?tilcod=2002222336186</t>
  </si>
  <si>
    <t>https://opac.libnet.pref.okayama.jp/licsxp-opac/WOpacMsgNewListToTifTilDetailAction.do?tilcod=2002222283161</t>
  </si>
  <si>
    <t>https://opac.libnet.pref.okayama.jp/licsxp-opac/WOpacMsgNewListToTifTilDetailAction.do?tilcod=2002222331419</t>
  </si>
  <si>
    <t>https://opac.libnet.pref.okayama.jp/licsxp-opac/WOpacMsgNewListToTifTilDetailAction.do?tilcod=2002222322007</t>
  </si>
  <si>
    <t>https://opac.libnet.pref.okayama.jp/licsxp-opac/WOpacMsgNewListToTifTilDetailAction.do?tilcod=2002222301128</t>
  </si>
  <si>
    <t>https://opac.libnet.pref.okayama.jp/licsxp-opac/WOpacMsgNewListToTifTilDetailAction.do?tilcod=2002222302446</t>
  </si>
  <si>
    <t>https://opac.libnet.pref.okayama.jp/licsxp-opac/WOpacMsgNewListToTifTilDetailAction.do?tilcod=2002222301378</t>
  </si>
  <si>
    <t>https://opac.libnet.pref.okayama.jp/licsxp-opac/WOpacMsgNewListToTifTilDetailAction.do?tilcod=2002222280694</t>
  </si>
  <si>
    <t>https://opac.libnet.pref.okayama.jp/licsxp-opac/WOpacMsgNewListToTifTilDetailAction.do?tilcod=2002222284783</t>
  </si>
  <si>
    <t>https://opac.libnet.pref.okayama.jp/licsxp-opac/WOpacMsgNewListToTifTilDetailAction.do?tilcod=2002222319734</t>
  </si>
  <si>
    <t>https://opac.libnet.pref.okayama.jp/licsxp-opac/WOpacMsgNewListToTifTilDetailAction.do?tilcod=2002222302305</t>
  </si>
  <si>
    <t>https://opac.libnet.pref.okayama.jp/licsxp-opac/WOpacMsgNewListToTifTilDetailAction.do?tilcod=2002222284673</t>
  </si>
  <si>
    <t>https://opac.libnet.pref.okayama.jp/licsxp-opac/WOpacMsgNewListToTifTilDetailAction.do?tilcod=2002222300419</t>
  </si>
  <si>
    <t>https://opac.libnet.pref.okayama.jp/licsxp-opac/WOpacMsgNewListToTifTilDetailAction.do?tilcod=2002222292961</t>
  </si>
  <si>
    <t>https://opac.libnet.pref.okayama.jp/licsxp-opac/WOpacMsgNewListToTifTilDetailAction.do?tilcod=2002222301681</t>
  </si>
  <si>
    <t>https://opac.libnet.pref.okayama.jp/licsxp-opac/WOpacMsgNewListToTifTilDetailAction.do?tilcod=2002222281311</t>
  </si>
  <si>
    <t>https://opac.libnet.pref.okayama.jp/licsxp-opac/WOpacMsgNewListToTifTilDetailAction.do?tilcod=2002222334106</t>
  </si>
  <si>
    <t>https://opac.libnet.pref.okayama.jp/licsxp-opac/WOpacMsgNewListToTifTilDetailAction.do?tilcod=2002222319609</t>
  </si>
  <si>
    <t>https://opac.libnet.pref.okayama.jp/licsxp-opac/WOpacMsgNewListToTifTilDetailAction.do?tilcod=2002222274951</t>
  </si>
  <si>
    <t>https://opac.libnet.pref.okayama.jp/licsxp-opac/WOpacMsgNewListToTifTilDetailAction.do?tilcod=2002222284683</t>
  </si>
  <si>
    <t>https://opac.libnet.pref.okayama.jp/licsxp-opac/WOpacMsgNewListToTifTilDetailAction.do?tilcod=2002222301482</t>
  </si>
  <si>
    <t>https://opac.libnet.pref.okayama.jp/licsxp-opac/WOpacMsgNewListToTifTilDetailAction.do?tilcod=2002222281201</t>
  </si>
  <si>
    <t>https://opac.libnet.pref.okayama.jp/licsxp-opac/WOpacMsgNewListToTifTilDetailAction.do?tilcod=2002222284703</t>
  </si>
  <si>
    <t>https://opac.libnet.pref.okayama.jp/licsxp-opac/WOpacMsgNewListToTifTilDetailAction.do?tilcod=2002222284693</t>
  </si>
  <si>
    <t>https://opac.libnet.pref.okayama.jp/licsxp-opac/WOpacMsgNewListToTifTilDetailAction.do?tilcod=2002222292981</t>
  </si>
  <si>
    <t>https://opac.libnet.pref.okayama.jp/licsxp-opac/WOpacMsgNewListToTifTilDetailAction.do?tilcod=2002222283963</t>
  </si>
  <si>
    <t>https://opac.libnet.pref.okayama.jp/licsxp-opac/WOpacMsgNewListToTifTilDetailAction.do?tilcod=2002222301831</t>
  </si>
  <si>
    <t>https://opac.libnet.pref.okayama.jp/licsxp-opac/WOpacMsgNewListToTifTilDetailAction.do?tilcod=2002222284793</t>
  </si>
  <si>
    <t>https://opac.libnet.pref.okayama.jp/licsxp-opac/WOpacMsgNewListToTifTilDetailAction.do?tilcod=2002222321866</t>
  </si>
  <si>
    <t>https://opac.libnet.pref.okayama.jp/licsxp-opac/WOpacMsgNewListToTifTilDetailAction.do?tilcod=2002222284713</t>
  </si>
  <si>
    <t>https://opac.libnet.pref.okayama.jp/licsxp-opac/WOpacMsgNewListToTifTilDetailAction.do?tilcod=2002222292991</t>
  </si>
  <si>
    <t>https://opac.libnet.pref.okayama.jp/licsxp-opac/WOpacMsgNewListToTifTilDetailAction.do?tilcod=2002222284981</t>
  </si>
  <si>
    <t>https://opac.libnet.pref.okayama.jp/licsxp-opac/WOpacMsgNewListToTifTilDetailAction.do?tilcod=2002222280634</t>
  </si>
  <si>
    <t>https://opac.libnet.pref.okayama.jp/licsxp-opac/WOpacMsgNewListToTifTilDetailAction.do?tilcod=2002222285881</t>
  </si>
  <si>
    <t>https://opac.libnet.pref.okayama.jp/licsxp-opac/WOpacMsgNewListToTifTilDetailAction.do?tilcod=2002222340990</t>
  </si>
  <si>
    <t>https://opac.libnet.pref.okayama.jp/licsxp-opac/WOpacMsgNewListToTifTilDetailAction.do?tilcod=2002222324826</t>
  </si>
  <si>
    <t>https://opac.libnet.pref.okayama.jp/licsxp-opac/WOpacMsgNewListToTifTilDetailAction.do?tilcod=2002222300862</t>
  </si>
  <si>
    <t>https://opac.libnet.pref.okayama.jp/licsxp-opac/WOpacMsgNewListToTifTilDetailAction.do?tilcod=2002222284723</t>
  </si>
  <si>
    <t>https://opac.libnet.pref.okayama.jp/licsxp-opac/WOpacMsgNewListToTifTilDetailAction.do?tilcod=2002222300948</t>
  </si>
  <si>
    <t>https://opac.libnet.pref.okayama.jp/licsxp-opac/WOpacMsgNewListToTifTilDetailAction.do?tilcod=2002222337951</t>
  </si>
  <si>
    <t>https://opac.libnet.pref.okayama.jp/licsxp-opac/WOpacMsgNewListToTifTilDetailAction.do?tilcod=2002222319606</t>
  </si>
  <si>
    <t>https://opac.libnet.pref.okayama.jp/licsxp-opac/WOpacMsgNewListToTifTilDetailAction.do?tilcod=2002222333370</t>
  </si>
  <si>
    <t>https://opac.libnet.pref.okayama.jp/licsxp-opac/WOpacMsgNewListToTifTilDetailAction.do?tilcod=2002222285003</t>
  </si>
  <si>
    <t>https://opac.libnet.pref.okayama.jp/licsxp-opac/WOpacMsgNewListToTifTilDetailAction.do?tilcod=2002222285023</t>
  </si>
  <si>
    <t>https://opac.libnet.pref.okayama.jp/licsxp-opac/WOpacMsgNewListToTifTilDetailAction.do?tilcod=2002222331421</t>
  </si>
  <si>
    <t>https://opac.libnet.pref.okayama.jp/licsxp-opac/WOpacMsgNewListToTifTilDetailAction.do?tilcod=2002222285013</t>
  </si>
  <si>
    <t>https://opac.libnet.pref.okayama.jp/licsxp-opac/WOpacMsgNewListToTifTilDetailAction.do?tilcod=2002222285033</t>
  </si>
  <si>
    <t>https://opac.libnet.pref.okayama.jp/licsxp-opac/WOpacMsgNewListToTifTilDetailAction.do?tilcod=2002222317147</t>
  </si>
  <si>
    <t>https://opac.libnet.pref.okayama.jp/licsxp-opac/WOpacMsgNewListToTifTilDetailAction.do?tilcod=2002222280884</t>
  </si>
  <si>
    <t>https://opac.libnet.pref.okayama.jp/licsxp-opac/WOpacMsgNewListToTifTilDetailAction.do?tilcod=2002222291541</t>
  </si>
  <si>
    <t>https://opac.libnet.pref.okayama.jp/licsxp-opac/WOpacMsgNewListToTifTilDetailAction.do?tilcod=2002222301683</t>
  </si>
  <si>
    <t>https://opac.libnet.pref.okayama.jp/licsxp-opac/WOpacMsgNewListToTifTilDetailAction.do?tilcod=2002222285073</t>
  </si>
  <si>
    <t>https://opac.libnet.pref.okayama.jp/licsxp-opac/WOpacMsgNewListToTifTilDetailAction.do?tilcod=2002222280824</t>
  </si>
  <si>
    <t>https://opac.libnet.pref.okayama.jp/licsxp-opac/WOpacMsgNewListToTifTilDetailAction.do?tilcod=2002222336971</t>
  </si>
  <si>
    <t>https://opac.libnet.pref.okayama.jp/licsxp-opac/WOpacMsgNewListToTifTilDetailAction.do?tilcod=2002222285103</t>
  </si>
  <si>
    <t>https://opac.libnet.pref.okayama.jp/licsxp-opac/WOpacMsgNewListToTifTilDetailAction.do?tilcod=2002222325766</t>
  </si>
  <si>
    <t>https://opac.libnet.pref.okayama.jp/licsxp-opac/WOpacMsgNewListToTifTilDetailAction.do?tilcod=2002222309328</t>
  </si>
  <si>
    <t>https://opac.libnet.pref.okayama.jp/licsxp-opac/WOpacMsgNewListToTifTilDetailAction.do?tilcod=2002222285061</t>
  </si>
  <si>
    <t>https://opac.libnet.pref.okayama.jp/licsxp-opac/WOpacMsgNewListToTifTilDetailAction.do?tilcod=2002222302385</t>
  </si>
  <si>
    <t>https://opac.libnet.pref.okayama.jp/licsxp-opac/WOpacMsgNewListToTifTilDetailAction.do?tilcod=2002222301142</t>
  </si>
  <si>
    <t>https://opac.libnet.pref.okayama.jp/licsxp-opac/WOpacMsgNewListToTifTilDetailAction.do?tilcod=2002222285113</t>
  </si>
  <si>
    <t>https://opac.libnet.pref.okayama.jp/licsxp-opac/WOpacMsgNewListToTifTilDetailAction.do?tilcod=2002222293001</t>
  </si>
  <si>
    <t>https://opac.libnet.pref.okayama.jp/licsxp-opac/WOpacMsgNewListToTifTilDetailAction.do?tilcod=2002222281833</t>
  </si>
  <si>
    <t>https://opac.libnet.pref.okayama.jp/licsxp-opac/WOpacMsgNewListToTifTilDetailAction.do?tilcod=2002222337047</t>
  </si>
  <si>
    <t>https://opac.libnet.pref.okayama.jp/licsxp-opac/WOpacMsgNewListToTifTilDetailAction.do?tilcod=2002222281544</t>
  </si>
  <si>
    <t>https://opac.libnet.pref.okayama.jp/licsxp-opac/WOpacMsgNewListToTifTilDetailAction.do?tilcod=2002222285123</t>
  </si>
  <si>
    <t>https://opac.libnet.pref.okayama.jp/licsxp-opac/WOpacMsgNewListToTifTilDetailAction.do?tilcod=2002222319688</t>
  </si>
  <si>
    <t>https://opac.libnet.pref.okayama.jp/licsxp-opac/WOpacMsgNewListToTifTilDetailAction.do?tilcod=2002222285133</t>
  </si>
  <si>
    <t>https://opac.libnet.pref.okayama.jp/licsxp-opac/WOpacMsgNewListToTifTilDetailAction.do?tilcod=2002222301463</t>
  </si>
  <si>
    <t>https://opac.libnet.pref.okayama.jp/licsxp-opac/WOpacMsgNewListToTifTilDetailAction.do?tilcod=2002222300900</t>
  </si>
  <si>
    <t>https://opac.libnet.pref.okayama.jp/licsxp-opac/WOpacMsgNewListToTifTilDetailAction.do?tilcod=2002222293981</t>
  </si>
  <si>
    <t>https://opac.libnet.pref.okayama.jp/licsxp-opac/WOpacMsgNewListToTifTilDetailAction.do?tilcod=2002222300600</t>
  </si>
  <si>
    <t>https://opac.libnet.pref.okayama.jp/licsxp-opac/WOpacMsgNewListToTifTilDetailAction.do?tilcod=2002222284471</t>
  </si>
  <si>
    <t>https://opac.libnet.pref.okayama.jp/licsxp-opac/WOpacMsgNewListToTifTilDetailAction.do?tilcod=2002222285143</t>
  </si>
  <si>
    <t>https://opac.libnet.pref.okayama.jp/licsxp-opac/WOpacMsgNewListToTifTilDetailAction.do?tilcod=2002222285153</t>
  </si>
  <si>
    <t>https://opac.libnet.pref.okayama.jp/licsxp-opac/WOpacMsgNewListToTifTilDetailAction.do?tilcod=2002222293011</t>
  </si>
  <si>
    <t>https://opac.libnet.pref.okayama.jp/licsxp-opac/WOpacMsgNewListToTifTilDetailAction.do?tilcod=2002222343310</t>
  </si>
  <si>
    <t>https://opac.libnet.pref.okayama.jp/licsxp-opac/WOpacMsgNewListToTifTilDetailAction.do?tilcod=2002222300451</t>
  </si>
  <si>
    <t>https://opac.libnet.pref.okayama.jp/licsxp-opac/WOpacMsgNewListToTifTilDetailAction.do?tilcod=2002222285163</t>
  </si>
  <si>
    <t>https://opac.libnet.pref.okayama.jp/licsxp-opac/WOpacMsgNewListToTifTilDetailAction.do?tilcod=2002222300949</t>
  </si>
  <si>
    <t>https://opac.libnet.pref.okayama.jp/licsxp-opac/WOpacMsgNewListToTifTilDetailAction.do?tilcod=2002222284851</t>
  </si>
  <si>
    <t>https://opac.libnet.pref.okayama.jp/licsxp-opac/WOpacMsgNewListToTifTilDetailAction.do?tilcod=2002222307089</t>
  </si>
  <si>
    <t>https://opac.libnet.pref.okayama.jp/licsxp-opac/WOpacMsgNewListToTifTilDetailAction.do?tilcod=2002222281204</t>
  </si>
  <si>
    <t>https://opac.libnet.pref.okayama.jp/licsxp-opac/WOpacMsgNewListToTifTilDetailAction.do?tilcod=2002222285173</t>
  </si>
  <si>
    <t>https://opac.libnet.pref.okayama.jp/licsxp-opac/WOpacMsgNewListToTifTilDetailAction.do?tilcod=2002222281794</t>
  </si>
  <si>
    <t>https://opac.libnet.pref.okayama.jp/licsxp-opac/WOpacMsgNewListToTifTilDetailAction.do?tilcod=2002222302307</t>
  </si>
  <si>
    <t>https://opac.libnet.pref.okayama.jp/licsxp-opac/WOpacMsgNewListToTifTilDetailAction.do?tilcod=2002222300696</t>
  </si>
  <si>
    <t>https://opac.libnet.pref.okayama.jp/licsxp-opac/WOpacMsgNewListToTifTilDetailAction.do?tilcod=2002222301087</t>
  </si>
  <si>
    <t>https://opac.libnet.pref.okayama.jp/licsxp-opac/WOpacMsgNewListToTifTilDetailAction.do?tilcod=2002222300950</t>
  </si>
  <si>
    <t>https://opac.libnet.pref.okayama.jp/licsxp-opac/WOpacMsgNewListToTifTilDetailAction.do?tilcod=2002222285223</t>
  </si>
  <si>
    <t>https://opac.libnet.pref.okayama.jp/licsxp-opac/WOpacMsgNewListToTifTilDetailAction.do?tilcod=2002222285213</t>
  </si>
  <si>
    <t>https://opac.libnet.pref.okayama.jp/licsxp-opac/WOpacMsgNewListToTifTilDetailAction.do?tilcod=2002222285203</t>
  </si>
  <si>
    <t>https://opac.libnet.pref.okayama.jp/licsxp-opac/WOpacMsgNewListToTifTilDetailAction.do?tilcod=2002222301169</t>
  </si>
  <si>
    <t>https://opac.libnet.pref.okayama.jp/licsxp-opac/WOpacMsgNewListToTifTilDetailAction.do?tilcod=2002222284881</t>
  </si>
  <si>
    <t>https://opac.libnet.pref.okayama.jp/licsxp-opac/WOpacMsgNewListToTifTilDetailAction.do?tilcod=2002222329627</t>
  </si>
  <si>
    <t>https://opac.libnet.pref.okayama.jp/licsxp-opac/WOpacMsgNewListToTifTilDetailAction.do?tilcod=2002222285243</t>
  </si>
  <si>
    <t>https://opac.libnet.pref.okayama.jp/licsxp-opac/WOpacMsgNewListToTifTilDetailAction.do?tilcod=2002222342251</t>
  </si>
  <si>
    <t>https://opac.libnet.pref.okayama.jp/licsxp-opac/WOpacMsgNewListToTifTilDetailAction.do?tilcod=2002222300951</t>
  </si>
  <si>
    <t>https://opac.libnet.pref.okayama.jp/licsxp-opac/WOpacMsgNewListToTifTilDetailAction.do?tilcod=2002222281784</t>
  </si>
  <si>
    <t>https://opac.libnet.pref.okayama.jp/licsxp-opac/WOpacMsgNewListToTifTilDetailAction.do?tilcod=2002222293021</t>
  </si>
  <si>
    <t>https://opac.libnet.pref.okayama.jp/licsxp-opac/WOpacMsgNewListToTifTilDetailAction.do?tilcod=2002222341379</t>
  </si>
  <si>
    <t>https://opac.libnet.pref.okayama.jp/licsxp-opac/WOpacMsgNewListToTifTilDetailAction.do?tilcod=2002222286091</t>
  </si>
  <si>
    <t>https://opac.libnet.pref.okayama.jp/licsxp-opac/WOpacMsgNewListToTifTilDetailAction.do?tilcod=2002222333146</t>
  </si>
  <si>
    <t>https://opac.libnet.pref.okayama.jp/licsxp-opac/WOpacMsgNewListToTifTilDetailAction.do?tilcod=2002222285253</t>
  </si>
  <si>
    <t>https://opac.libnet.pref.okayama.jp/licsxp-opac/WOpacMsgNewListToTifTilDetailAction.do?tilcod=2002222281441</t>
  </si>
  <si>
    <t>https://opac.libnet.pref.okayama.jp/licsxp-opac/WOpacMsgNewListToTifTilDetailAction.do?tilcod=2002222285273</t>
  </si>
  <si>
    <t>https://opac.libnet.pref.okayama.jp/licsxp-opac/WOpacMsgNewListToTifTilDetailAction.do?tilcod=2002222293031</t>
  </si>
  <si>
    <t>https://opac.libnet.pref.okayama.jp/licsxp-opac/WOpacMsgNewListToTifTilDetailAction.do?tilcod=2002222293041</t>
  </si>
  <si>
    <t>https://opac.libnet.pref.okayama.jp/licsxp-opac/WOpacMsgNewListToTifTilDetailAction.do?tilcod=2002222315766</t>
  </si>
  <si>
    <t>https://opac.libnet.pref.okayama.jp/licsxp-opac/WOpacMsgNewListToTifTilDetailAction.do?tilcod=2002222285263</t>
  </si>
  <si>
    <t>https://opac.libnet.pref.okayama.jp/licsxp-opac/WOpacMsgNewListToTifTilDetailAction.do?tilcod=2002222285283</t>
  </si>
  <si>
    <t>https://opac.libnet.pref.okayama.jp/licsxp-opac/WOpacMsgNewListToTifTilDetailAction.do?tilcod=2002222302134</t>
  </si>
  <si>
    <t>https://opac.libnet.pref.okayama.jp/licsxp-opac/WOpacMsgNewListToTifTilDetailAction.do?tilcod=2002222329508</t>
  </si>
  <si>
    <t>https://opac.libnet.pref.okayama.jp/licsxp-opac/WOpacMsgNewListToTifTilDetailAction.do?tilcod=2002222285303</t>
  </si>
  <si>
    <t>https://opac.libnet.pref.okayama.jp/licsxp-opac/WOpacMsgNewListToTifTilDetailAction.do?tilcod=2002222285313</t>
  </si>
  <si>
    <t>https://opac.libnet.pref.okayama.jp/licsxp-opac/WOpacMsgNewListToTifTilDetailAction.do?tilcod=2002222333150</t>
  </si>
  <si>
    <t>https://opac.libnet.pref.okayama.jp/licsxp-opac/WOpacMsgNewListToTifTilDetailAction.do?tilcod=2002222324448</t>
  </si>
  <si>
    <t>https://opac.libnet.pref.okayama.jp/licsxp-opac/WOpacMsgNewListToTifTilDetailAction.do?tilcod=2002222307272</t>
  </si>
  <si>
    <t>https://opac.libnet.pref.okayama.jp/licsxp-opac/WOpacMsgNewListToTifTilDetailAction.do?tilcod=2002222301837</t>
  </si>
  <si>
    <t>https://opac.libnet.pref.okayama.jp/licsxp-opac/WOpacMsgNewListToTifTilDetailAction.do?tilcod=2002222285323</t>
  </si>
  <si>
    <t>https://opac.libnet.pref.okayama.jp/licsxp-opac/WOpacMsgNewListToTifTilDetailAction.do?tilcod=2002222335969</t>
  </si>
  <si>
    <t>https://opac.libnet.pref.okayama.jp/licsxp-opac/WOpacMsgNewListToTifTilDetailAction.do?tilcod=2002222300983</t>
  </si>
  <si>
    <t>https://opac.libnet.pref.okayama.jp/licsxp-opac/WOpacMsgNewListToTifTilDetailAction.do?tilcod=2002222300268</t>
  </si>
  <si>
    <t>https://opac.libnet.pref.okayama.jp/licsxp-opac/WOpacMsgNewListToTifTilDetailAction.do?tilcod=2002222331412</t>
  </si>
  <si>
    <t>https://opac.libnet.pref.okayama.jp/licsxp-opac/WOpacMsgNewListToTifTilDetailAction.do?tilcod=2002222280904</t>
  </si>
  <si>
    <t>https://opac.libnet.pref.okayama.jp/licsxp-opac/WOpacMsgNewListToTifTilDetailAction.do?tilcod=2002222285333</t>
  </si>
  <si>
    <t>https://opac.libnet.pref.okayama.jp/licsxp-opac/WOpacMsgNewListToTifTilDetailAction.do?tilcod=2002222321890</t>
  </si>
  <si>
    <t>https://opac.libnet.pref.okayama.jp/licsxp-opac/WOpacMsgNewListToTifTilDetailAction.do?tilcod=2002222329146</t>
  </si>
  <si>
    <t>https://opac.libnet.pref.okayama.jp/licsxp-opac/WOpacMsgNewListToTifTilDetailAction.do?tilcod=2002222285353</t>
  </si>
  <si>
    <t>https://opac.libnet.pref.okayama.jp/licsxp-opac/WOpacMsgNewListToTifTilDetailAction.do?tilcod=2002222334846</t>
  </si>
  <si>
    <t>https://opac.libnet.pref.okayama.jp/licsxp-opac/WOpacMsgNewListToTifTilDetailAction.do?tilcod=2002222333726</t>
  </si>
  <si>
    <t>https://opac.libnet.pref.okayama.jp/licsxp-opac/WOpacMsgNewListToTifTilDetailAction.do?tilcod=2002222337206</t>
  </si>
  <si>
    <t>https://opac.libnet.pref.okayama.jp/licsxp-opac/WOpacMsgNewListToTifTilDetailAction.do?tilcod=2002222285363</t>
  </si>
  <si>
    <t>https://opac.libnet.pref.okayama.jp/licsxp-opac/WOpacMsgNewListToTifTilDetailAction.do?tilcod=2002222285373</t>
  </si>
  <si>
    <t>https://opac.libnet.pref.okayama.jp/licsxp-opac/WOpacMsgNewListToTifTilDetailAction.do?tilcod=2002222301143</t>
  </si>
  <si>
    <t>https://opac.libnet.pref.okayama.jp/licsxp-opac/WOpacMsgNewListToTifTilDetailAction.do?tilcod=2002222320246</t>
  </si>
  <si>
    <t>https://opac.libnet.pref.okayama.jp/licsxp-opac/WOpacMsgNewListToTifTilDetailAction.do?tilcod=2002222343891</t>
  </si>
  <si>
    <t>https://opac.libnet.pref.okayama.jp/licsxp-opac/WOpacMsgNewListToTifTilDetailAction.do?tilcod=2002222336809</t>
  </si>
  <si>
    <t>https://opac.libnet.pref.okayama.jp/licsxp-opac/WOpacMsgNewListToTifTilDetailAction.do?tilcod=2002222285383</t>
  </si>
  <si>
    <t>https://opac.libnet.pref.okayama.jp/licsxp-opac/WOpacMsgNewListToTifTilDetailAction.do?tilcod=2002222337050</t>
  </si>
  <si>
    <t>https://opac.libnet.pref.okayama.jp/licsxp-opac/WOpacMsgNewListToTifTilDetailAction.do?tilcod=2002222285393</t>
  </si>
  <si>
    <t>https://opac.libnet.pref.okayama.jp/licsxp-opac/WOpacMsgNewListToTifTilDetailAction.do?tilcod=2002222326028</t>
  </si>
  <si>
    <t>https://opac.libnet.pref.okayama.jp/licsxp-opac/WOpacMsgNewListToTifTilDetailAction.do?tilcod=2002222293661</t>
  </si>
  <si>
    <t>https://opac.libnet.pref.okayama.jp/licsxp-opac/WOpacMsgNewListToTifTilDetailAction.do?tilcod=2002222285403</t>
  </si>
  <si>
    <t>https://opac.libnet.pref.okayama.jp/licsxp-opac/WOpacMsgNewListToTifTilDetailAction.do?tilcod=2002222280861</t>
  </si>
  <si>
    <t>https://opac.libnet.pref.okayama.jp/licsxp-opac/WOpacMsgNewListToTifTilDetailAction.do?tilcod=2002222281161</t>
  </si>
  <si>
    <t>https://opac.libnet.pref.okayama.jp/licsxp-opac/WOpacMsgNewListToTifTilDetailAction.do?tilcod=2002222281171</t>
  </si>
  <si>
    <t>https://opac.libnet.pref.okayama.jp/licsxp-opac/WOpacMsgNewListToTifTilDetailAction.do?tilcod=2002222332111</t>
  </si>
  <si>
    <t>https://opac.libnet.pref.okayama.jp/licsxp-opac/WOpacMsgNewListToTifTilDetailAction.do?tilcod=2002222285833</t>
  </si>
  <si>
    <t>https://opac.libnet.pref.okayama.jp/licsxp-opac/WOpacMsgNewListToTifTilDetailAction.do?tilcod=2002222285423</t>
  </si>
  <si>
    <t>https://opac.libnet.pref.okayama.jp/licsxp-opac/WOpacMsgNewListToTifTilDetailAction.do?tilcod=2002222285413</t>
  </si>
  <si>
    <t>https://opac.libnet.pref.okayama.jp/licsxp-opac/WOpacMsgNewListToTifTilDetailAction.do?tilcod=2002222332768</t>
  </si>
  <si>
    <t>https://opac.libnet.pref.okayama.jp/licsxp-opac/WOpacMsgNewListToTifTilDetailAction.do?tilcod=2002222280321</t>
  </si>
  <si>
    <t>https://opac.libnet.pref.okayama.jp/licsxp-opac/WOpacMsgNewListToTifTilDetailAction.do?tilcod=2002222320491</t>
  </si>
  <si>
    <t>https://opac.libnet.pref.okayama.jp/licsxp-opac/WOpacMsgNewListToTifTilDetailAction.do?tilcod=2002222320490</t>
  </si>
  <si>
    <t>https://opac.libnet.pref.okayama.jp/licsxp-opac/WOpacMsgNewListToTifTilDetailAction.do?tilcod=2002222320492</t>
  </si>
  <si>
    <t>https://opac.libnet.pref.okayama.jp/licsxp-opac/WOpacMsgNewListToTifTilDetailAction.do?tilcod=2002222320493</t>
  </si>
  <si>
    <t>https://opac.libnet.pref.okayama.jp/licsxp-opac/WOpacMsgNewListToTifTilDetailAction.do?tilcod=2002222301427</t>
  </si>
  <si>
    <t>https://opac.libnet.pref.okayama.jp/licsxp-opac/WOpacMsgNewListToTifTilDetailAction.do?tilcod=2002222280011</t>
  </si>
  <si>
    <t>https://opac.libnet.pref.okayama.jp/licsxp-opac/WOpacMsgNewListToTifTilDetailAction.do?tilcod=2002222341130</t>
  </si>
  <si>
    <t>https://opac.libnet.pref.okayama.jp/licsxp-opac/WOpacMsgNewListToTifTilDetailAction.do?tilcod=2002222334827</t>
  </si>
  <si>
    <t>https://opac.libnet.pref.okayama.jp/licsxp-opac/WOpacMsgNewListToTifTilDetailAction.do?tilcod=2002222302478</t>
  </si>
  <si>
    <t>https://opac.libnet.pref.okayama.jp/licsxp-opac/WOpacMsgNewListToTifTilDetailAction.do?tilcod=2002222302407</t>
  </si>
  <si>
    <t>https://opac.libnet.pref.okayama.jp/licsxp-opac/WOpacMsgNewListToTifTilDetailAction.do?tilcod=2002222319731</t>
  </si>
  <si>
    <t>https://opac.libnet.pref.okayama.jp/licsxp-opac/WOpacMsgNewListToTifTilDetailAction.do?tilcod=2002222300224</t>
  </si>
  <si>
    <t>https://opac.libnet.pref.okayama.jp/licsxp-opac/WOpacMsgNewListToTifTilDetailAction.do?tilcod=2002222312328</t>
  </si>
  <si>
    <t>https://opac.libnet.pref.okayama.jp/licsxp-opac/WOpacMsgNewListToTifTilDetailAction.do?tilcod=2002222285433</t>
  </si>
  <si>
    <t>https://opac.libnet.pref.okayama.jp/licsxp-opac/WOpacMsgNewListToTifTilDetailAction.do?tilcod=2002222301869</t>
  </si>
  <si>
    <t>https://opac.libnet.pref.okayama.jp/licsxp-opac/WOpacMsgNewListToTifTilDetailAction.do?tilcod=2002222300541</t>
  </si>
  <si>
    <t>https://opac.libnet.pref.okayama.jp/licsxp-opac/WOpacMsgNewListToTifTilDetailAction.do?tilcod=2002222301867</t>
  </si>
  <si>
    <t>https://opac.libnet.pref.okayama.jp/licsxp-opac/WOpacMsgNewListToTifTilDetailAction.do?tilcod=2002222330306</t>
  </si>
  <si>
    <t>https://opac.libnet.pref.okayama.jp/licsxp-opac/WOpacMsgNewListToTifTilDetailAction.do?tilcod=2002222293621</t>
  </si>
  <si>
    <t>https://opac.libnet.pref.okayama.jp/licsxp-opac/WOpacMsgNewListToTifTilDetailAction.do?tilcod=2002222284411</t>
  </si>
  <si>
    <t>https://opac.libnet.pref.okayama.jp/licsxp-opac/WOpacMsgNewListToTifTilDetailAction.do?tilcod=2002222338130</t>
  </si>
  <si>
    <t>https://opac.libnet.pref.okayama.jp/licsxp-opac/WOpacMsgNewListToTifTilDetailAction.do?tilcod=2002222300952</t>
  </si>
  <si>
    <t>https://opac.libnet.pref.okayama.jp/licsxp-opac/WOpacMsgNewListToTifTilDetailAction.do?tilcod=2002222300953</t>
  </si>
  <si>
    <t>https://opac.libnet.pref.okayama.jp/licsxp-opac/WOpacMsgNewListToTifTilDetailAction.do?tilcod=2002222285453</t>
  </si>
  <si>
    <t>https://opac.libnet.pref.okayama.jp/licsxp-opac/WOpacMsgNewListToTifTilDetailAction.do?tilcod=2002222285463</t>
  </si>
  <si>
    <t>https://opac.libnet.pref.okayama.jp/licsxp-opac/WOpacMsgNewListToTifTilDetailAction.do?tilcod=2002222337029</t>
  </si>
  <si>
    <t>https://opac.libnet.pref.okayama.jp/licsxp-opac/WOpacMsgNewListToTifTilDetailAction.do?tilcod=2002222302096</t>
  </si>
  <si>
    <t>https://opac.libnet.pref.okayama.jp/licsxp-opac/WOpacMsgNewListToTifTilDetailAction.do?tilcod=2002222300728</t>
  </si>
  <si>
    <t>https://opac.libnet.pref.okayama.jp/licsxp-opac/WOpacMsgNewListToTifTilDetailAction.do?tilcod=2002222284501</t>
  </si>
  <si>
    <t>https://opac.libnet.pref.okayama.jp/licsxp-opac/WOpacMsgNewListToTifTilDetailAction.do?tilcod=2002222285473</t>
  </si>
  <si>
    <t>https://opac.libnet.pref.okayama.jp/licsxp-opac/WOpacMsgNewListToTifTilDetailAction.do?tilcod=2002222300721</t>
  </si>
  <si>
    <t>https://opac.libnet.pref.okayama.jp/licsxp-opac/WOpacMsgNewListToTifTilDetailAction.do?tilcod=2002222301275</t>
  </si>
  <si>
    <t>https://opac.libnet.pref.okayama.jp/licsxp-opac/WOpacMsgNewListToTifTilDetailAction.do?tilcod=2002222300529</t>
  </si>
  <si>
    <t>https://opac.libnet.pref.okayama.jp/licsxp-opac/WOpacMsgNewListToTifTilDetailAction.do?tilcod=2002222301749</t>
  </si>
  <si>
    <t>https://opac.libnet.pref.okayama.jp/licsxp-opac/WOpacMsgNewListToTifTilDetailAction.do?tilcod=2002222302024</t>
  </si>
  <si>
    <t>https://opac.libnet.pref.okayama.jp/licsxp-opac/WOpacMsgNewListToTifTilDetailAction.do?tilcod=2002222282681</t>
  </si>
  <si>
    <t>https://opac.libnet.pref.okayama.jp/licsxp-opac/WOpacMsgNewListToTifTilDetailAction.do?tilcod=2002222300244</t>
  </si>
  <si>
    <t>https://opac.libnet.pref.okayama.jp/licsxp-opac/WOpacMsgNewListToTifTilDetailAction.do?tilcod=2002222302427</t>
  </si>
  <si>
    <t>https://opac.libnet.pref.okayama.jp/licsxp-opac/WOpacMsgNewListToTifTilDetailAction.do?tilcod=2002222332769</t>
  </si>
  <si>
    <t>https://opac.libnet.pref.okayama.jp/licsxp-opac/WOpacMsgNewListToTifTilDetailAction.do?tilcod=2002222301015</t>
  </si>
  <si>
    <t>https://opac.libnet.pref.okayama.jp/licsxp-opac/WOpacMsgNewListToTifTilDetailAction.do?tilcod=2002222294511</t>
  </si>
  <si>
    <t>https://opac.libnet.pref.okayama.jp/licsxp-opac/WOpacMsgNewListToTifTilDetailAction.do?tilcod=2002222333646</t>
  </si>
  <si>
    <t>https://opac.libnet.pref.okayama.jp/licsxp-opac/WOpacMsgNewListToTifTilDetailAction.do?tilcod=2002222285483</t>
  </si>
  <si>
    <t>https://opac.libnet.pref.okayama.jp/licsxp-opac/WOpacMsgNewListToTifTilDetailAction.do?tilcod=2002222302371</t>
  </si>
  <si>
    <t>https://opac.libnet.pref.okayama.jp/licsxp-opac/WOpacMsgNewListToTifTilDetailAction.do?tilcod=2002222281964</t>
  </si>
  <si>
    <t>https://opac.libnet.pref.okayama.jp/licsxp-opac/WOpacMsgNewListToTifTilDetailAction.do?tilcod=2002222288263</t>
  </si>
  <si>
    <t>https://opac.libnet.pref.okayama.jp/licsxp-opac/WOpacMsgNewListToTifTilDetailAction.do?tilcod=2002222302391</t>
  </si>
  <si>
    <t>https://opac.libnet.pref.okayama.jp/licsxp-opac/WOpacMsgNewListToTifTilDetailAction.do?tilcod=2002222341510</t>
  </si>
  <si>
    <t>https://opac.libnet.pref.okayama.jp/licsxp-opac/WOpacMsgNewListToTifTilDetailAction.do?tilcod=2002222306403</t>
  </si>
  <si>
    <t>https://opac.libnet.pref.okayama.jp/licsxp-opac/WOpacMsgNewListToTifTilDetailAction.do?tilcod=2002222281021</t>
  </si>
  <si>
    <t>https://opac.libnet.pref.okayama.jp/licsxp-opac/WOpacMsgNewListToTifTilDetailAction.do?tilcod=2002222329466</t>
  </si>
  <si>
    <t>https://opac.libnet.pref.okayama.jp/licsxp-opac/WOpacMsgNewListToTifTilDetailAction.do?tilcod=2002222334829</t>
  </si>
  <si>
    <t>https://opac.libnet.pref.okayama.jp/licsxp-opac/WOpacMsgNewListToTifTilDetailAction.do?tilcod=2002222328946</t>
  </si>
  <si>
    <t>https://opac.libnet.pref.okayama.jp/licsxp-opac/WOpacMsgNewListToTifTilDetailAction.do?tilcod=2002222285513</t>
  </si>
  <si>
    <t>https://opac.libnet.pref.okayama.jp/licsxp-opac/WOpacMsgNewListToTifTilDetailAction.do?tilcod=2002222302309</t>
  </si>
  <si>
    <t>https://opac.libnet.pref.okayama.jp/licsxp-opac/WOpacMsgNewListToTifTilDetailAction.do?tilcod=2002222292701</t>
  </si>
  <si>
    <t>https://opac.libnet.pref.okayama.jp/licsxp-opac/WOpacMsgNewListToTifTilDetailAction.do?tilcod=2002222300954</t>
  </si>
  <si>
    <t>https://opac.libnet.pref.okayama.jp/licsxp-opac/WOpacMsgNewListToTifTilDetailAction.do?tilcod=2002222333706</t>
  </si>
  <si>
    <t>https://opac.libnet.pref.okayama.jp/licsxp-opac/WOpacMsgNewListToTifTilDetailAction.do?tilcod=2002222285493</t>
  </si>
  <si>
    <t>https://opac.libnet.pref.okayama.jp/licsxp-opac/WOpacMsgNewListToTifTilDetailAction.do?tilcod=2002222338771</t>
  </si>
  <si>
    <t>https://opac.libnet.pref.okayama.jp/licsxp-opac/WOpacMsgNewListToTifTilDetailAction.do?tilcod=2002222285503</t>
  </si>
  <si>
    <t>https://opac.libnet.pref.okayama.jp/licsxp-opac/WOpacMsgNewListToTifTilDetailAction.do?tilcod=2002222328507</t>
  </si>
  <si>
    <t>https://opac.libnet.pref.okayama.jp/licsxp-opac/WOpacMsgNewListToTifTilDetailAction.do?tilcod=2002222285321</t>
  </si>
  <si>
    <t>https://opac.libnet.pref.okayama.jp/licsxp-opac/WOpacMsgNewListToTifTilDetailAction.do?tilcod=2002222281494</t>
  </si>
  <si>
    <t>https://opac.libnet.pref.okayama.jp/licsxp-opac/WOpacMsgNewListToTifTilDetailAction.do?tilcod=2002222300189</t>
  </si>
  <si>
    <t>https://opac.libnet.pref.okayama.jp/licsxp-opac/WOpacMsgNewListToTifTilDetailAction.do?tilcod=2002222302067</t>
  </si>
  <si>
    <t>https://opac.libnet.pref.okayama.jp/licsxp-opac/WOpacMsgNewListToTifTilDetailAction.do?tilcod=2002222285331</t>
  </si>
  <si>
    <t>https://opac.libnet.pref.okayama.jp/licsxp-opac/WOpacMsgNewListToTifTilDetailAction.do?tilcod=2002222301358</t>
  </si>
  <si>
    <t>https://opac.libnet.pref.okayama.jp/licsxp-opac/WOpacMsgNewListToTifTilDetailAction.do?tilcod=2002222285523</t>
  </si>
  <si>
    <t>https://opac.libnet.pref.okayama.jp/licsxp-opac/WOpacMsgNewListToTifTilDetailAction.do?tilcod=2002222293071</t>
  </si>
  <si>
    <t>https://opac.libnet.pref.okayama.jp/licsxp-opac/WOpacMsgNewListToTifTilDetailAction.do?tilcod=2002222301728</t>
  </si>
  <si>
    <t>https://opac.libnet.pref.okayama.jp/licsxp-opac/WOpacMsgNewListToTifTilDetailAction.do?tilcod=2002222301887</t>
  </si>
  <si>
    <t>https://opac.libnet.pref.okayama.jp/licsxp-opac/WOpacMsgNewListToTifTilDetailAction.do?tilcod=2002222285543</t>
  </si>
  <si>
    <t>https://opac.libnet.pref.okayama.jp/licsxp-opac/WOpacMsgNewListToTifTilDetailAction.do?tilcod=2002222308406</t>
  </si>
  <si>
    <t>https://opac.libnet.pref.okayama.jp/licsxp-opac/WOpacMsgNewListToTifTilDetailAction.do?tilcod=2002222285553</t>
  </si>
  <si>
    <t>https://opac.libnet.pref.okayama.jp/licsxp-opac/WOpacMsgNewListToTifTilDetailAction.do?tilcod=2002222285563</t>
  </si>
  <si>
    <t>https://opac.libnet.pref.okayama.jp/licsxp-opac/WOpacMsgNewListToTifTilDetailAction.do?tilcod=2002222300955</t>
  </si>
  <si>
    <t>https://opac.libnet.pref.okayama.jp/licsxp-opac/WOpacMsgNewListToTifTilDetailAction.do?tilcod=2002222341250</t>
  </si>
  <si>
    <t>https://opac.libnet.pref.okayama.jp/licsxp-opac/WOpacMsgNewListToTifTilDetailAction.do?tilcod=2002222301902</t>
  </si>
  <si>
    <t>https://opac.libnet.pref.okayama.jp/licsxp-opac/WOpacMsgNewListToTifTilDetailAction.do?tilcod=2002222311167</t>
  </si>
  <si>
    <t>https://opac.libnet.pref.okayama.jp/licsxp-opac/WOpacMsgNewListToTifTilDetailAction.do?tilcod=2002222301898</t>
  </si>
  <si>
    <t>https://opac.libnet.pref.okayama.jp/licsxp-opac/WOpacMsgNewListToTifTilDetailAction.do?tilcod=2002222281931</t>
  </si>
  <si>
    <t>https://opac.libnet.pref.okayama.jp/licsxp-opac/WOpacMsgNewListToTifTilDetailAction.do?tilcod=2002222301904</t>
  </si>
  <si>
    <t>https://opac.libnet.pref.okayama.jp/licsxp-opac/WOpacMsgNewListToTifTilDetailAction.do?tilcod=2002222301903</t>
  </si>
  <si>
    <t>https://opac.libnet.pref.okayama.jp/licsxp-opac/WOpacMsgNewListToTifTilDetailAction.do?tilcod=2002222301901</t>
  </si>
  <si>
    <t>https://opac.libnet.pref.okayama.jp/licsxp-opac/WOpacMsgNewListToTifTilDetailAction.do?tilcod=2002222307866</t>
  </si>
  <si>
    <t>https://opac.libnet.pref.okayama.jp/licsxp-opac/WOpacMsgNewListToTifTilDetailAction.do?tilcod=2002222301897</t>
  </si>
  <si>
    <t>https://opac.libnet.pref.okayama.jp/licsxp-opac/WOpacMsgNewListToTifTilDetailAction.do?tilcod=2002222301900</t>
  </si>
  <si>
    <t>https://opac.libnet.pref.okayama.jp/licsxp-opac/WOpacMsgNewListToTifTilDetailAction.do?tilcod=2002222319618</t>
  </si>
  <si>
    <t>https://opac.libnet.pref.okayama.jp/licsxp-opac/WOpacMsgNewListToTifTilDetailAction.do?tilcod=2002222300956</t>
  </si>
  <si>
    <t>https://opac.libnet.pref.okayama.jp/licsxp-opac/WOpacMsgNewListToTifTilDetailAction.do?tilcod=2002222280871</t>
  </si>
  <si>
    <t>https://opac.libnet.pref.okayama.jp/licsxp-opac/WOpacMsgNewListToTifTilDetailAction.do?tilcod=2002222342230</t>
  </si>
  <si>
    <t>https://opac.libnet.pref.okayama.jp/licsxp-opac/WOpacMsgNewListToTifTilDetailAction.do?tilcod=2002222285573</t>
  </si>
  <si>
    <t>https://opac.libnet.pref.okayama.jp/licsxp-opac/WOpacMsgNewListToTifTilDetailAction.do?tilcod=2002222307811</t>
  </si>
  <si>
    <t>https://opac.libnet.pref.okayama.jp/licsxp-opac/WOpacMsgNewListToTifTilDetailAction.do?tilcod=2002222280914</t>
  </si>
  <si>
    <t>https://opac.libnet.pref.okayama.jp/licsxp-opac/WOpacMsgNewListToTifTilDetailAction.do?tilcod=2002222327387</t>
  </si>
  <si>
    <t>https://opac.libnet.pref.okayama.jp/licsxp-opac/WOpacMsgNewListToTifTilDetailAction.do?tilcod=2002222301864</t>
  </si>
  <si>
    <t>https://opac.libnet.pref.okayama.jp/licsxp-opac/WOpacMsgNewListToTifTilDetailAction.do?tilcod=2002222301865</t>
  </si>
  <si>
    <t>https://opac.libnet.pref.okayama.jp/licsxp-opac/WOpacMsgNewListToTifTilDetailAction.do?tilcod=2002222300547</t>
  </si>
  <si>
    <t>https://opac.libnet.pref.okayama.jp/licsxp-opac/WOpacMsgNewListToTifTilDetailAction.do?tilcod=2002222301866</t>
  </si>
  <si>
    <t>https://opac.libnet.pref.okayama.jp/licsxp-opac/WOpacMsgNewListToTifTilDetailAction.do?tilcod=2002222301161</t>
  </si>
  <si>
    <t>https://opac.libnet.pref.okayama.jp/licsxp-opac/WOpacMsgNewListToTifTilDetailAction.do?tilcod=2002222285593</t>
  </si>
  <si>
    <t>https://opac.libnet.pref.okayama.jp/licsxp-opac/WOpacMsgNewListToTifTilDetailAction.do?tilcod=2002222300957</t>
  </si>
  <si>
    <t>https://opac.libnet.pref.okayama.jp/licsxp-opac/WOpacMsgNewListToTifTilDetailAction.do?tilcod=2002222328527</t>
  </si>
  <si>
    <t>https://opac.libnet.pref.okayama.jp/licsxp-opac/WOpacMsgNewListToTifTilDetailAction.do?tilcod=2002222293081</t>
  </si>
  <si>
    <t>https://opac.libnet.pref.okayama.jp/licsxp-opac/WOpacMsgNewListToTifTilDetailAction.do?tilcod=2002222293511</t>
  </si>
  <si>
    <t>https://opac.libnet.pref.okayama.jp/licsxp-opac/WOpacMsgNewListToTifTilDetailAction.do?tilcod=2002222307648</t>
  </si>
  <si>
    <t>https://opac.libnet.pref.okayama.jp/licsxp-opac/WOpacMsgNewListToTifTilDetailAction.do?tilcod=2002222281431</t>
  </si>
  <si>
    <t>https://opac.libnet.pref.okayama.jp/licsxp-opac/WOpacMsgNewListToTifTilDetailAction.do?tilcod=2002222285603</t>
  </si>
  <si>
    <t>https://opac.libnet.pref.okayama.jp/licsxp-opac/WOpacMsgNewListToTifTilDetailAction.do?tilcod=2002222291551</t>
  </si>
  <si>
    <t>https://opac.libnet.pref.okayama.jp/licsxp-opac/WOpacMsgNewListToTifTilDetailAction.do?tilcod=2002222301515</t>
  </si>
  <si>
    <t>https://opac.libnet.pref.okayama.jp/licsxp-opac/WOpacMsgNewListToTifTilDetailAction.do?tilcod=2002222285613</t>
  </si>
  <si>
    <t>https://opac.libnet.pref.okayama.jp/licsxp-opac/WOpacMsgNewListToTifTilDetailAction.do?tilcod=2002222285623</t>
  </si>
  <si>
    <t>https://opac.libnet.pref.okayama.jp/licsxp-opac/WOpacMsgNewListToTifTilDetailAction.do?tilcod=2002222300428</t>
  </si>
  <si>
    <t>https://opac.libnet.pref.okayama.jp/licsxp-opac/WOpacMsgNewListToTifTilDetailAction.do?tilcod=2002222302180</t>
  </si>
  <si>
    <t>https://opac.libnet.pref.okayama.jp/licsxp-opac/WOpacMsgNewListToTifTilDetailAction.do?tilcod=2002222301808</t>
  </si>
  <si>
    <t>https://opac.libnet.pref.okayama.jp/licsxp-opac/WOpacMsgNewListToTifTilDetailAction.do?tilcod=2002222282981</t>
  </si>
  <si>
    <t>https://opac.libnet.pref.okayama.jp/licsxp-opac/WOpacMsgNewListToTifTilDetailAction.do?tilcod=2002222283231</t>
  </si>
  <si>
    <t>https://opac.libnet.pref.okayama.jp/licsxp-opac/WOpacMsgNewListToTifTilDetailAction.do?tilcod=2002222293091</t>
  </si>
  <si>
    <t>https://opac.libnet.pref.okayama.jp/licsxp-opac/WOpacMsgNewListToTifTilDetailAction.do?tilcod=2002222341230</t>
  </si>
  <si>
    <t>https://opac.libnet.pref.okayama.jp/licsxp-opac/WOpacMsgNewListToTifTilDetailAction.do?tilcod=2002222285633</t>
  </si>
  <si>
    <t>https://opac.libnet.pref.okayama.jp/licsxp-opac/WOpacMsgNewListToTifTilDetailAction.do?tilcod=2002222301750</t>
  </si>
  <si>
    <t>https://opac.libnet.pref.okayama.jp/licsxp-opac/WOpacMsgNewListToTifTilDetailAction.do?tilcod=2002222284771</t>
  </si>
  <si>
    <t>https://opac.libnet.pref.okayama.jp/licsxp-opac/WOpacMsgNewListToTifTilDetailAction.do?tilcod=2002222285643</t>
  </si>
  <si>
    <t>https://opac.libnet.pref.okayama.jp/licsxp-opac/WOpacMsgNewListToTifTilDetailAction.do?tilcod=2002222285673</t>
  </si>
  <si>
    <t>https://opac.libnet.pref.okayama.jp/licsxp-opac/WOpacMsgNewListToTifTilDetailAction.do?tilcod=2002222285683</t>
  </si>
  <si>
    <t>https://opac.libnet.pref.okayama.jp/licsxp-opac/WOpacMsgNewListToTifTilDetailAction.do?tilcod=2002222285653</t>
  </si>
  <si>
    <t>https://opac.libnet.pref.okayama.jp/licsxp-opac/WOpacMsgNewListToTifTilDetailAction.do?tilcod=2002222285663</t>
  </si>
  <si>
    <t>https://opac.libnet.pref.okayama.jp/licsxp-opac/WOpacMsgNewListToTifTilDetailAction.do?tilcod=2002222335007</t>
  </si>
  <si>
    <t>https://opac.libnet.pref.okayama.jp/licsxp-opac/WOpacMsgNewListToTifTilDetailAction.do?tilcod=2002222285693</t>
  </si>
  <si>
    <t>https://opac.libnet.pref.okayama.jp/licsxp-opac/WOpacMsgNewListToTifTilDetailAction.do?tilcod=2002222285703</t>
  </si>
  <si>
    <t>https://opac.libnet.pref.okayama.jp/licsxp-opac/WOpacMsgNewListToTifTilDetailAction.do?tilcod=2002222285723</t>
  </si>
  <si>
    <t>https://opac.libnet.pref.okayama.jp/licsxp-opac/WOpacMsgNewListToTifTilDetailAction.do?tilcod=2002222285743</t>
  </si>
  <si>
    <t>https://opac.libnet.pref.okayama.jp/licsxp-opac/WOpacMsgNewListToTifTilDetailAction.do?tilcod=2002222280541</t>
  </si>
  <si>
    <t>https://opac.libnet.pref.okayama.jp/licsxp-opac/WOpacMsgNewListToTifTilDetailAction.do?tilcod=2002222285753</t>
  </si>
  <si>
    <t>https://opac.libnet.pref.okayama.jp/licsxp-opac/WOpacMsgNewListToTifTilDetailAction.do?tilcod=2002222285773</t>
  </si>
  <si>
    <t>https://opac.libnet.pref.okayama.jp/licsxp-opac/WOpacMsgNewListToTifTilDetailAction.do?tilcod=2002222285783</t>
  </si>
  <si>
    <t>https://opac.libnet.pref.okayama.jp/licsxp-opac/WOpacMsgNewListToTifTilDetailAction.do?tilcod=2002222285793</t>
  </si>
  <si>
    <t>https://opac.libnet.pref.okayama.jp/licsxp-opac/WOpacMsgNewListToTifTilDetailAction.do?tilcod=2002222285803</t>
  </si>
  <si>
    <t>https://opac.libnet.pref.okayama.jp/licsxp-opac/WOpacMsgNewListToTifTilDetailAction.do?tilcod=2002222334751</t>
  </si>
  <si>
    <t>https://opac.libnet.pref.okayama.jp/licsxp-opac/WOpacMsgNewListToTifTilDetailAction.do?tilcod=2002222301168</t>
  </si>
  <si>
    <t>https://opac.libnet.pref.okayama.jp/licsxp-opac/WOpacMsgNewListToTifTilDetailAction.do?tilcod=2002222285823</t>
  </si>
  <si>
    <t>https://opac.libnet.pref.okayama.jp/licsxp-opac/WOpacMsgNewListToTifTilDetailAction.do?tilcod=2002222285813</t>
  </si>
  <si>
    <t>https://opac.libnet.pref.okayama.jp/licsxp-opac/WOpacMsgNewListToTifTilDetailAction.do?tilcod=2002222285843</t>
  </si>
  <si>
    <t>https://opac.libnet.pref.okayama.jp/licsxp-opac/WOpacMsgNewListToTifTilDetailAction.do?tilcod=2002222300958</t>
  </si>
  <si>
    <t>https://opac.libnet.pref.okayama.jp/licsxp-opac/WOpacMsgNewListToTifTilDetailAction.do?tilcod=2002222285853</t>
  </si>
  <si>
    <t>https://opac.libnet.pref.okayama.jp/licsxp-opac/WOpacMsgNewListToTifTilDetailAction.do?tilcod=2002222285863</t>
  </si>
  <si>
    <t>https://opac.libnet.pref.okayama.jp/licsxp-opac/WOpacMsgNewListToTifTilDetailAction.do?tilcod=2002222321027</t>
  </si>
  <si>
    <t>https://opac.libnet.pref.okayama.jp/licsxp-opac/WOpacMsgNewListToTifTilDetailAction.do?tilcod=2002222285873</t>
  </si>
  <si>
    <t>https://opac.libnet.pref.okayama.jp/licsxp-opac/WOpacMsgNewListToTifTilDetailAction.do?tilcod=2002222285883</t>
  </si>
  <si>
    <t>https://opac.libnet.pref.okayama.jp/licsxp-opac/WOpacMsgNewListToTifTilDetailAction.do?tilcod=2002222285903</t>
  </si>
  <si>
    <t>https://opac.libnet.pref.okayama.jp/licsxp-opac/WOpacMsgNewListToTifTilDetailAction.do?tilcod=2002222285913</t>
  </si>
  <si>
    <t>https://opac.libnet.pref.okayama.jp/licsxp-opac/WOpacMsgNewListToTifTilDetailAction.do?tilcod=2002222288643</t>
  </si>
  <si>
    <t>https://opac.libnet.pref.okayama.jp/licsxp-opac/WOpacMsgNewListToTifTilDetailAction.do?tilcod=2002222294571</t>
  </si>
  <si>
    <t>https://opac.libnet.pref.okayama.jp/licsxp-opac/WOpacMsgNewListToTifTilDetailAction.do?tilcod=2002222314190</t>
  </si>
  <si>
    <t>https://opac.libnet.pref.okayama.jp/licsxp-opac/WOpacMsgNewListToTifTilDetailAction.do?tilcod=2002222294451</t>
  </si>
  <si>
    <t>https://opac.libnet.pref.okayama.jp/licsxp-opac/WOpacMsgNewListToTifTilDetailAction.do?tilcod=2002222294561</t>
  </si>
  <si>
    <t>https://opac.libnet.pref.okayama.jp/licsxp-opac/WOpacMsgNewListToTifTilDetailAction.do?tilcod=2002222282951</t>
  </si>
  <si>
    <t>https://opac.libnet.pref.okayama.jp/licsxp-opac/WOpacMsgNewListToTifTilDetailAction.do?tilcod=2002222302138</t>
  </si>
  <si>
    <t>https://opac.libnet.pref.okayama.jp/licsxp-opac/WOpacMsgNewListToTifTilDetailAction.do?tilcod=2002222294441</t>
  </si>
  <si>
    <t>https://opac.libnet.pref.okayama.jp/licsxp-opac/WOpacMsgNewListToTifTilDetailAction.do?tilcod=2002222288623</t>
  </si>
  <si>
    <t>https://opac.libnet.pref.okayama.jp/licsxp-opac/WOpacMsgNewListToTifTilDetailAction.do?tilcod=2002222294411</t>
  </si>
  <si>
    <t>https://opac.libnet.pref.okayama.jp/licsxp-opac/WOpacMsgNewListToTifTilDetailAction.do?tilcod=2002222288653</t>
  </si>
  <si>
    <t>https://opac.libnet.pref.okayama.jp/licsxp-opac/WOpacMsgNewListToTifTilDetailAction.do?tilcod=2002222294421</t>
  </si>
  <si>
    <t>https://opac.libnet.pref.okayama.jp/licsxp-opac/WOpacMsgNewListToTifTilDetailAction.do?tilcod=2002222300433</t>
  </si>
  <si>
    <t>https://opac.libnet.pref.okayama.jp/licsxp-opac/WOpacMsgNewListToTifTilDetailAction.do?tilcod=2002222281511</t>
  </si>
  <si>
    <t>https://opac.libnet.pref.okayama.jp/licsxp-opac/WOpacMsgNewListToTifTilDetailAction.do?tilcod=2002222320906</t>
  </si>
  <si>
    <t>https://opac.libnet.pref.okayama.jp/licsxp-opac/WOpacMsgNewListToTifTilDetailAction.do?tilcod=2002222280961</t>
  </si>
  <si>
    <t>https://opac.libnet.pref.okayama.jp/licsxp-opac/WOpacMsgNewListToTifTilDetailAction.do?tilcod=2002222281531</t>
  </si>
  <si>
    <t>https://opac.libnet.pref.okayama.jp/licsxp-opac/WOpacMsgNewListToTifTilDetailAction.do?tilcod=2002222294431</t>
  </si>
  <si>
    <t>https://opac.libnet.pref.okayama.jp/licsxp-opac/WOpacMsgNewListToTifTilDetailAction.do?tilcod=2002222334166</t>
  </si>
  <si>
    <t>https://opac.libnet.pref.okayama.jp/licsxp-opac/WOpacMsgNewListToTifTilDetailAction.do?tilcod=2002222307486</t>
  </si>
  <si>
    <t>https://opac.libnet.pref.okayama.jp/licsxp-opac/WOpacMsgNewListToTifTilDetailAction.do?tilcod=2002222330291</t>
  </si>
  <si>
    <t>https://opac.libnet.pref.okayama.jp/licsxp-opac/WOpacMsgNewListToTifTilDetailAction.do?tilcod=2002222285923</t>
  </si>
  <si>
    <t>https://opac.libnet.pref.okayama.jp/licsxp-opac/WOpacMsgNewListToTifTilDetailAction.do?tilcod=2002222285933</t>
  </si>
  <si>
    <t>https://opac.libnet.pref.okayama.jp/licsxp-opac/WOpacMsgNewListToTifTilDetailAction.do?tilcod=2002222307846</t>
  </si>
  <si>
    <t>https://opac.libnet.pref.okayama.jp/licsxp-opac/WOpacMsgNewListToTifTilDetailAction.do?tilcod=2002222337990</t>
  </si>
  <si>
    <t>https://opac.libnet.pref.okayama.jp/licsxp-opac/WOpacMsgNewListToTifTilDetailAction.do?tilcod=2002222301591</t>
  </si>
  <si>
    <t>https://opac.libnet.pref.okayama.jp/licsxp-opac/WOpacMsgNewListToTifTilDetailAction.do?tilcod=2002222301592</t>
  </si>
  <si>
    <t>https://opac.libnet.pref.okayama.jp/licsxp-opac/WOpacMsgNewListToTifTilDetailAction.do?tilcod=2002222285983</t>
  </si>
  <si>
    <t>https://opac.libnet.pref.okayama.jp/licsxp-opac/WOpacMsgNewListToTifTilDetailAction.do?tilcod=2002222308607</t>
  </si>
  <si>
    <t>https://opac.libnet.pref.okayama.jp/licsxp-opac/WOpacMsgNewListToTifTilDetailAction.do?tilcod=2002222288323</t>
  </si>
  <si>
    <t>https://opac.libnet.pref.okayama.jp/licsxp-opac/WOpacMsgNewListToTifTilDetailAction.do?tilcod=2002222302297</t>
  </si>
  <si>
    <t>https://opac.libnet.pref.okayama.jp/licsxp-opac/WOpacMsgNewListToTifTilDetailAction.do?tilcod=2002222281554</t>
  </si>
  <si>
    <t>https://opac.libnet.pref.okayama.jp/licsxp-opac/WOpacMsgNewListToTifTilDetailAction.do?tilcod=2002222319646</t>
  </si>
  <si>
    <t>https://opac.libnet.pref.okayama.jp/licsxp-opac/WOpacMsgNewListToTifTilDetailAction.do?tilcod=2002222289003</t>
  </si>
  <si>
    <t>https://opac.libnet.pref.okayama.jp/licsxp-opac/WOpacMsgNewListToTifTilDetailAction.do?tilcod=2002222306049</t>
  </si>
  <si>
    <t>https://opac.libnet.pref.okayama.jp/licsxp-opac/WOpacMsgNewListToTifTilDetailAction.do?tilcod=2002222289013</t>
  </si>
  <si>
    <t>https://opac.libnet.pref.okayama.jp/licsxp-opac/WOpacMsgNewListToTifTilDetailAction.do?tilcod=2002222289023</t>
  </si>
  <si>
    <t>https://opac.libnet.pref.okayama.jp/licsxp-opac/WOpacMsgNewListToTifTilDetailAction.do?tilcod=2002222307126</t>
  </si>
  <si>
    <t>https://opac.libnet.pref.okayama.jp/licsxp-opac/WOpacMsgNewListToTifTilDetailAction.do?tilcod=2002222281121</t>
  </si>
  <si>
    <t>https://opac.libnet.pref.okayama.jp/licsxp-opac/WOpacMsgNewListToTifTilDetailAction.do?tilcod=2002222280924</t>
  </si>
  <si>
    <t>https://opac.libnet.pref.okayama.jp/licsxp-opac/WOpacMsgNewListToTifTilDetailAction.do?tilcod=2002222293111</t>
  </si>
  <si>
    <t>https://opac.libnet.pref.okayama.jp/licsxp-opac/WOpacMsgNewListToTifTilDetailAction.do?tilcod=2002222286071</t>
  </si>
  <si>
    <t>https://opac.libnet.pref.okayama.jp/licsxp-opac/WOpacMsgNewListToTifTilDetailAction.do?tilcod=2002222300312</t>
  </si>
  <si>
    <t>https://opac.libnet.pref.okayama.jp/licsxp-opac/WOpacMsgNewListToTifTilDetailAction.do?tilcod=2002222301707</t>
  </si>
  <si>
    <t>https://opac.libnet.pref.okayama.jp/licsxp-opac/WOpacMsgNewListToTifTilDetailAction.do?tilcod=2002222289033</t>
  </si>
  <si>
    <t>https://opac.libnet.pref.okayama.jp/licsxp-opac/WOpacMsgNewListToTifTilDetailAction.do?tilcod=2002222301345</t>
  </si>
  <si>
    <t>https://opac.libnet.pref.okayama.jp/licsxp-opac/WOpacMsgNewListToTifTilDetailAction.do?tilcod=2002222301357</t>
  </si>
  <si>
    <t>https://opac.libnet.pref.okayama.jp/licsxp-opac/WOpacMsgNewListToTifTilDetailAction.do?tilcod=2002222315409</t>
  </si>
  <si>
    <t>https://opac.libnet.pref.okayama.jp/licsxp-opac/WOpacMsgNewListToTifTilDetailAction.do?tilcod=2002222292761</t>
  </si>
  <si>
    <t>https://opac.libnet.pref.okayama.jp/licsxp-opac/WOpacMsgNewListToTifTilDetailAction.do?tilcod=2002222289043</t>
  </si>
  <si>
    <t>https://opac.libnet.pref.okayama.jp/licsxp-opac/WOpacMsgNewListToTifTilDetailAction.do?tilcod=2002222293921</t>
  </si>
  <si>
    <t>https://opac.libnet.pref.okayama.jp/licsxp-opac/WOpacMsgNewListToTifTilDetailAction.do?tilcod=2002222300789</t>
  </si>
  <si>
    <t>https://opac.libnet.pref.okayama.jp/licsxp-opac/WOpacMsgNewListToTifTilDetailAction.do?tilcod=2002222307609</t>
  </si>
  <si>
    <t>https://opac.libnet.pref.okayama.jp/licsxp-opac/WOpacMsgNewListToTifTilDetailAction.do?tilcod=2002222302120</t>
  </si>
  <si>
    <t>https://opac.libnet.pref.okayama.jp/licsxp-opac/WOpacMsgNewListToTifTilDetailAction.do?tilcod=2002222301818</t>
  </si>
  <si>
    <t>https://opac.libnet.pref.okayama.jp/licsxp-opac/WOpacMsgNewListToTifTilDetailAction.do?tilcod=2002222293121</t>
  </si>
  <si>
    <t>https://opac.libnet.pref.okayama.jp/licsxp-opac/WOpacMsgNewListToTifTilDetailAction.do?tilcod=2002222335648</t>
  </si>
  <si>
    <t>https://opac.libnet.pref.okayama.jp/licsxp-opac/WOpacMsgNewListToTifTilDetailAction.do?tilcod=2002222289063</t>
  </si>
  <si>
    <t>https://opac.libnet.pref.okayama.jp/licsxp-opac/WOpacMsgNewListToTifTilDetailAction.do?tilcod=2002222335446</t>
  </si>
  <si>
    <t>https://opac.libnet.pref.okayama.jp/licsxp-opac/WOpacMsgNewListToTifTilDetailAction.do?tilcod=2002222280551</t>
  </si>
  <si>
    <t>https://opac.libnet.pref.okayama.jp/licsxp-opac/WOpacMsgNewListToTifTilDetailAction.do?tilcod=2002222293131</t>
  </si>
  <si>
    <t>https://opac.libnet.pref.okayama.jp/licsxp-opac/WOpacMsgNewListToTifTilDetailAction.do?tilcod=2002222291561</t>
  </si>
  <si>
    <t>https://opac.libnet.pref.okayama.jp/licsxp-opac/WOpacMsgNewListToTifTilDetailAction.do?tilcod=2002222289073</t>
  </si>
  <si>
    <t>https://opac.libnet.pref.okayama.jp/licsxp-opac/WOpacMsgNewListToTifTilDetailAction.do?tilcod=2002222342733</t>
  </si>
  <si>
    <t>https://opac.libnet.pref.okayama.jp/licsxp-opac/WOpacMsgNewListToTifTilDetailAction.do?tilcod=2002222302334</t>
  </si>
  <si>
    <t>https://opac.libnet.pref.okayama.jp/licsxp-opac/WOpacMsgNewListToTifTilDetailAction.do?tilcod=2002222289093</t>
  </si>
  <si>
    <t>https://opac.libnet.pref.okayama.jp/licsxp-opac/WOpacMsgNewListToTifTilDetailAction.do?tilcod=2002222289103</t>
  </si>
  <si>
    <t>https://opac.libnet.pref.okayama.jp/licsxp-opac/WOpacMsgNewListToTifTilDetailAction.do?tilcod=2002222325847</t>
  </si>
  <si>
    <t>https://opac.libnet.pref.okayama.jp/licsxp-opac/WOpacMsgNewListToTifTilDetailAction.do?tilcod=2002222293141</t>
  </si>
  <si>
    <t>https://opac.libnet.pref.okayama.jp/licsxp-opac/WOpacMsgNewListToTifTilDetailAction.do?tilcod=2002222332328</t>
  </si>
  <si>
    <t>https://opac.libnet.pref.okayama.jp/licsxp-opac/WOpacMsgNewListToTifTilDetailAction.do?tilcod=2002222302386</t>
  </si>
  <si>
    <t>https://opac.libnet.pref.okayama.jp/licsxp-opac/WOpacMsgNewListToTifTilDetailAction.do?tilcod=2002222322266</t>
  </si>
  <si>
    <t>https://opac.libnet.pref.okayama.jp/licsxp-opac/WOpacMsgNewListToTifTilDetailAction.do?tilcod=2002222300337</t>
  </si>
  <si>
    <t>https://opac.libnet.pref.okayama.jp/licsxp-opac/WOpacMsgNewListToTifTilDetailAction.do?tilcod=2002222285761</t>
  </si>
  <si>
    <t>https://opac.libnet.pref.okayama.jp/licsxp-opac/WOpacMsgNewListToTifTilDetailAction.do?tilcod=2002222291581</t>
  </si>
  <si>
    <t>https://opac.libnet.pref.okayama.jp/licsxp-opac/WOpacMsgNewListToTifTilDetailAction.do?tilcod=2002222285771</t>
  </si>
  <si>
    <t>https://opac.libnet.pref.okayama.jp/licsxp-opac/WOpacMsgNewListToTifTilDetailAction.do?tilcod=2002222291591</t>
  </si>
  <si>
    <t>https://opac.libnet.pref.okayama.jp/licsxp-opac/WOpacMsgNewListToTifTilDetailAction.do?tilcod=2002222289133</t>
  </si>
  <si>
    <t>https://opac.libnet.pref.okayama.jp/licsxp-opac/WOpacMsgNewListToTifTilDetailAction.do?tilcod=2002222343650</t>
  </si>
  <si>
    <t>https://opac.libnet.pref.okayama.jp/licsxp-opac/WOpacMsgNewListToTifTilDetailAction.do?tilcod=2002222289113</t>
  </si>
  <si>
    <t>https://opac.libnet.pref.okayama.jp/licsxp-opac/WOpacMsgNewListToTifTilDetailAction.do?tilcod=2002222291471</t>
  </si>
  <si>
    <t>https://opac.libnet.pref.okayama.jp/licsxp-opac/WOpacMsgNewListToTifTilDetailAction.do?tilcod=2002222331414</t>
  </si>
  <si>
    <t>https://opac.libnet.pref.okayama.jp/licsxp-opac/WOpacMsgNewListToTifTilDetailAction.do?tilcod=2002222284701</t>
  </si>
  <si>
    <t>https://opac.libnet.pref.okayama.jp/licsxp-opac/WOpacMsgNewListToTifTilDetailAction.do?tilcod=2002222301922</t>
  </si>
  <si>
    <t>https://opac.libnet.pref.okayama.jp/licsxp-opac/WOpacMsgNewListToTifTilDetailAction.do?tilcod=2002222338371</t>
  </si>
  <si>
    <t>https://opac.libnet.pref.okayama.jp/licsxp-opac/WOpacMsgNewListToTifTilDetailAction.do?tilcod=2002222289143</t>
  </si>
  <si>
    <t>https://opac.libnet.pref.okayama.jp/licsxp-opac/WOpacMsgNewListToTifTilDetailAction.do?tilcod=2002222301056</t>
  </si>
  <si>
    <t>https://opac.libnet.pref.okayama.jp/licsxp-opac/WOpacMsgNewListToTifTilDetailAction.do?tilcod=2002222289153</t>
  </si>
  <si>
    <t>https://opac.libnet.pref.okayama.jp/licsxp-opac/WOpacMsgNewListToTifTilDetailAction.do?tilcod=2002222301899</t>
  </si>
  <si>
    <t>https://opac.libnet.pref.okayama.jp/licsxp-opac/WOpacMsgNewListToTifTilDetailAction.do?tilcod=2002222289163</t>
  </si>
  <si>
    <t>https://opac.libnet.pref.okayama.jp/licsxp-opac/WOpacMsgNewListToTifTilDetailAction.do?tilcod=2002222339971</t>
  </si>
  <si>
    <t>https://opac.libnet.pref.okayama.jp/licsxp-opac/WOpacMsgNewListToTifTilDetailAction.do?tilcod=2002222301167</t>
  </si>
  <si>
    <t>https://opac.libnet.pref.okayama.jp/licsxp-opac/WOpacMsgNewListToTifTilDetailAction.do?tilcod=2002222301781</t>
  </si>
  <si>
    <t>https://opac.libnet.pref.okayama.jp/licsxp-opac/WOpacMsgNewListToTifTilDetailAction.do?tilcod=2002222300711</t>
  </si>
  <si>
    <t>https://opac.libnet.pref.okayama.jp/licsxp-opac/WOpacMsgNewListToTifTilDetailAction.do?tilcod=2002222301292</t>
  </si>
  <si>
    <t>https://opac.libnet.pref.okayama.jp/licsxp-opac/WOpacMsgNewListToTifTilDetailAction.do?tilcod=2002222300549</t>
  </si>
  <si>
    <t>https://opac.libnet.pref.okayama.jp/licsxp-opac/WOpacMsgNewListToTifTilDetailAction.do?tilcod=2002222301478</t>
  </si>
  <si>
    <t>https://opac.libnet.pref.okayama.jp/licsxp-opac/WOpacMsgNewListToTifTilDetailAction.do?tilcod=2002222280301</t>
  </si>
  <si>
    <t>https://opac.libnet.pref.okayama.jp/licsxp-opac/WOpacMsgNewListToTifTilDetailAction.do?tilcod=2002222289173</t>
  </si>
  <si>
    <t>https://opac.libnet.pref.okayama.jp/licsxp-opac/WOpacMsgNewListToTifTilDetailAction.do?tilcod=2002222281631</t>
  </si>
  <si>
    <t>https://opac.libnet.pref.okayama.jp/licsxp-opac/WOpacMsgNewListToTifTilDetailAction.do?tilcod=2002222300195</t>
  </si>
  <si>
    <t>https://opac.libnet.pref.okayama.jp/licsxp-opac/WOpacMsgNewListToTifTilDetailAction.do?tilcod=2002222311847</t>
  </si>
  <si>
    <t>https://opac.libnet.pref.okayama.jp/licsxp-opac/WOpacMsgNewListToTifTilDetailAction.do?tilcod=2002222311910</t>
  </si>
  <si>
    <t>https://opac.libnet.pref.okayama.jp/licsxp-opac/WOpacMsgNewListToTifTilDetailAction.do?tilcod=2002222301121</t>
  </si>
  <si>
    <t>https://opac.libnet.pref.okayama.jp/licsxp-opac/WOpacMsgNewListToTifTilDetailAction.do?tilcod=2002222301116</t>
  </si>
  <si>
    <t>https://opac.libnet.pref.okayama.jp/licsxp-opac/WOpacMsgNewListToTifTilDetailAction.do?tilcod=2002222281714</t>
  </si>
  <si>
    <t>https://opac.libnet.pref.okayama.jp/licsxp-opac/WOpacMsgNewListToTifTilDetailAction.do?tilcod=2002222293821</t>
  </si>
  <si>
    <t>https://opac.libnet.pref.okayama.jp/licsxp-opac/WOpacMsgNewListToTifTilDetailAction.do?tilcod=2002222301949</t>
  </si>
  <si>
    <t>https://opac.libnet.pref.okayama.jp/licsxp-opac/WOpacMsgNewListToTifTilDetailAction.do?tilcod=2002222289183</t>
  </si>
  <si>
    <t>https://opac.libnet.pref.okayama.jp/licsxp-opac/WOpacMsgNewListToTifTilDetailAction.do?tilcod=2002222300959</t>
  </si>
  <si>
    <t>https://opac.libnet.pref.okayama.jp/licsxp-opac/WOpacMsgNewListToTifTilDetailAction.do?tilcod=2002222293151</t>
  </si>
  <si>
    <t>https://opac.libnet.pref.okayama.jp/licsxp-opac/WOpacMsgNewListToTifTilDetailAction.do?tilcod=2002222328227</t>
  </si>
  <si>
    <t>https://opac.libnet.pref.okayama.jp/licsxp-opac/WOpacMsgNewListToTifTilDetailAction.do?tilcod=2002222331939</t>
  </si>
  <si>
    <t>https://opac.libnet.pref.okayama.jp/licsxp-opac/WOpacMsgNewListToTifTilDetailAction.do?tilcod=2002222302069</t>
  </si>
  <si>
    <t>https://opac.libnet.pref.okayama.jp/licsxp-opac/WOpacMsgNewListToTifTilDetailAction.do?tilcod=2002222283241</t>
  </si>
  <si>
    <t>https://opac.libnet.pref.okayama.jp/licsxp-opac/WOpacMsgNewListToTifTilDetailAction.do?tilcod=2002222316708</t>
  </si>
  <si>
    <t>https://opac.libnet.pref.okayama.jp/licsxp-opac/WOpacMsgNewListToTifTilDetailAction.do?tilcod=2002222301049</t>
  </si>
  <si>
    <t>https://opac.libnet.pref.okayama.jp/licsxp-opac/WOpacMsgNewListToTifTilDetailAction.do?tilcod=2002222282961</t>
  </si>
  <si>
    <t>https://opac.libnet.pref.okayama.jp/licsxp-opac/WOpacMsgNewListToTifTilDetailAction.do?tilcod=2002222293561</t>
  </si>
  <si>
    <t>https://opac.libnet.pref.okayama.jp/licsxp-opac/WOpacMsgNewListToTifTilDetailAction.do?tilcod=2002222283081</t>
  </si>
  <si>
    <t>https://opac.libnet.pref.okayama.jp/licsxp-opac/WOpacMsgNewListToTifTilDetailAction.do?tilcod=2002222301486</t>
  </si>
  <si>
    <t>https://opac.libnet.pref.okayama.jp/licsxp-opac/WOpacMsgNewListToTifTilDetailAction.do?tilcod=2002222301297</t>
  </si>
  <si>
    <t>https://opac.libnet.pref.okayama.jp/licsxp-opac/WOpacMsgNewListToTifTilDetailAction.do?tilcod=2002222318646</t>
  </si>
  <si>
    <t>https://opac.libnet.pref.okayama.jp/licsxp-opac/WOpacMsgNewListToTifTilDetailAction.do?tilcod=2002222289193</t>
  </si>
  <si>
    <t>https://opac.libnet.pref.okayama.jp/licsxp-opac/WOpacMsgNewListToTifTilDetailAction.do?tilcod=2002222285921</t>
  </si>
  <si>
    <t>https://opac.libnet.pref.okayama.jp/licsxp-opac/WOpacMsgNewListToTifTilDetailAction.do?tilcod=2002222302109</t>
  </si>
  <si>
    <t>https://opac.libnet.pref.okayama.jp/licsxp-opac/WOpacMsgNewListToTifTilDetailAction.do?tilcod=2002222335706</t>
  </si>
  <si>
    <t>https://opac.libnet.pref.okayama.jp/licsxp-opac/WOpacMsgNewListToTifTilDetailAction.do?tilcod=2002222343173</t>
  </si>
  <si>
    <t>https://opac.libnet.pref.okayama.jp/licsxp-opac/WOpacMsgNewListToTifTilDetailAction.do?tilcod=2002222340935</t>
  </si>
  <si>
    <t>https://opac.libnet.pref.okayama.jp/licsxp-opac/WOpacMsgNewListToTifTilDetailAction.do?tilcod=2002222335707</t>
  </si>
  <si>
    <t>https://opac.libnet.pref.okayama.jp/licsxp-opac/WOpacMsgNewListToTifTilDetailAction.do?tilcod=2002222336769</t>
  </si>
  <si>
    <t>https://opac.libnet.pref.okayama.jp/licsxp-opac/WOpacMsgNewListToTifTilDetailAction.do?tilcod=2002222333368</t>
  </si>
  <si>
    <t>https://opac.libnet.pref.okayama.jp/licsxp-opac/WOpacMsgNewListToTifTilDetailAction.do?tilcod=2002222334790</t>
  </si>
  <si>
    <t>https://opac.libnet.pref.okayama.jp/licsxp-opac/WOpacMsgNewListToTifTilDetailAction.do?tilcod=2002222289203</t>
  </si>
  <si>
    <t>https://opac.libnet.pref.okayama.jp/licsxp-opac/WOpacMsgNewListToTifTilDetailAction.do?tilcod=2002222299161</t>
  </si>
  <si>
    <t>https://opac.libnet.pref.okayama.jp/licsxp-opac/WOpacMsgNewListToTifTilDetailAction.do?tilcod=2002222316248</t>
  </si>
  <si>
    <t>https://opac.libnet.pref.okayama.jp/licsxp-opac/WOpacMsgNewListToTifTilDetailAction.do?tilcod=2002222285711</t>
  </si>
  <si>
    <t>https://opac.libnet.pref.okayama.jp/licsxp-opac/WOpacMsgNewListToTifTilDetailAction.do?tilcod=2002222289213</t>
  </si>
  <si>
    <t>https://opac.libnet.pref.okayama.jp/licsxp-opac/WOpacMsgNewListToTifTilDetailAction.do?tilcod=2002222291601</t>
  </si>
  <si>
    <t>https://opac.libnet.pref.okayama.jp/licsxp-opac/WOpacMsgNewListToTifTilDetailAction.do?tilcod=2002222280794</t>
  </si>
  <si>
    <t>https://opac.libnet.pref.okayama.jp/licsxp-opac/WOpacMsgNewListToTifTilDetailAction.do?tilcod=2002222289223</t>
  </si>
  <si>
    <t>https://opac.libnet.pref.okayama.jp/licsxp-opac/WOpacMsgNewListToTifTilDetailAction.do?tilcod=2002222324606</t>
  </si>
  <si>
    <t>https://opac.libnet.pref.okayama.jp/licsxp-opac/WOpacMsgNewListToTifTilDetailAction.do?tilcod=2002222289233</t>
  </si>
  <si>
    <t>https://opac.libnet.pref.okayama.jp/licsxp-opac/WOpacMsgNewListToTifTilDetailAction.do?tilcod=2002222301370</t>
  </si>
  <si>
    <t>https://opac.libnet.pref.okayama.jp/licsxp-opac/WOpacMsgNewListToTifTilDetailAction.do?tilcod=2002222289243</t>
  </si>
  <si>
    <t>https://opac.libnet.pref.okayama.jp/licsxp-opac/WOpacMsgNewListToTifTilDetailAction.do?tilcod=2002222326668</t>
  </si>
  <si>
    <t>https://opac.libnet.pref.okayama.jp/licsxp-opac/WOpacMsgNewListToTifTilDetailAction.do?tilcod=2002222334787</t>
  </si>
  <si>
    <t>https://opac.libnet.pref.okayama.jp/licsxp-opac/WOpacMsgNewListToTifTilDetailAction.do?tilcod=2002222331766</t>
  </si>
  <si>
    <t>https://opac.libnet.pref.okayama.jp/licsxp-opac/WOpacMsgNewListToTifTilDetailAction.do?tilcod=2002222331768</t>
  </si>
  <si>
    <t>https://opac.libnet.pref.okayama.jp/licsxp-opac/WOpacMsgNewListToTifTilDetailAction.do?tilcod=2002222282731</t>
  </si>
  <si>
    <t>https://opac.libnet.pref.okayama.jp/licsxp-opac/WOpacMsgNewListToTifTilDetailAction.do?tilcod=2002222280561</t>
  </si>
  <si>
    <t>https://opac.libnet.pref.okayama.jp/licsxp-opac/WOpacMsgNewListToTifTilDetailAction.do?tilcod=2002222289323</t>
  </si>
  <si>
    <t>https://opac.libnet.pref.okayama.jp/licsxp-opac/WOpacMsgNewListToTifTilDetailAction.do?tilcod=2002222307813</t>
  </si>
  <si>
    <t>https://opac.libnet.pref.okayama.jp/licsxp-opac/WOpacMsgNewListToTifTilDetailAction.do?tilcod=2002222342931</t>
  </si>
  <si>
    <t>https://opac.libnet.pref.okayama.jp/licsxp-opac/WOpacMsgNewListToTifTilDetailAction.do?tilcod=2002222302417</t>
  </si>
  <si>
    <t>https://opac.libnet.pref.okayama.jp/licsxp-opac/WOpacMsgNewListToTifTilDetailAction.do?tilcod=2002222309568</t>
  </si>
  <si>
    <t>https://opac.libnet.pref.okayama.jp/licsxp-opac/WOpacMsgNewListToTifTilDetailAction.do?tilcod=2002222331769</t>
  </si>
  <si>
    <t>https://opac.libnet.pref.okayama.jp/licsxp-opac/WOpacMsgNewListToTifTilDetailAction.do?tilcod=2002222301180</t>
  </si>
  <si>
    <t>https://opac.libnet.pref.okayama.jp/licsxp-opac/WOpacMsgNewListToTifTilDetailAction.do?tilcod=2002222300491</t>
  </si>
  <si>
    <t>https://opac.libnet.pref.okayama.jp/licsxp-opac/WOpacMsgNewListToTifTilDetailAction.do?tilcod=2002222301655</t>
  </si>
  <si>
    <t>https://opac.libnet.pref.okayama.jp/licsxp-opac/WOpacMsgNewListToTifTilDetailAction.do?tilcod=2002222301974</t>
  </si>
  <si>
    <t>https://opac.libnet.pref.okayama.jp/licsxp-opac/WOpacMsgNewListToTifTilDetailAction.do?tilcod=2002222293651</t>
  </si>
  <si>
    <t>https://opac.libnet.pref.okayama.jp/licsxp-opac/WOpacMsgNewListToTifTilDetailAction.do?tilcod=2002222341251</t>
  </si>
  <si>
    <t>https://opac.libnet.pref.okayama.jp/licsxp-opac/WOpacMsgNewListToTifTilDetailAction.do?tilcod=2002222319611</t>
  </si>
  <si>
    <t>https://opac.libnet.pref.okayama.jp/licsxp-opac/WOpacMsgNewListToTifTilDetailAction.do?tilcod=2002222293181</t>
  </si>
  <si>
    <t>https://opac.libnet.pref.okayama.jp/licsxp-opac/WOpacMsgNewListToTifTilDetailAction.do?tilcod=2002222280854</t>
  </si>
  <si>
    <t>https://opac.libnet.pref.okayama.jp/licsxp-opac/WOpacMsgNewListToTifTilDetailAction.do?tilcod=2002222300960</t>
  </si>
  <si>
    <t>https://opac.libnet.pref.okayama.jp/licsxp-opac/WOpacMsgNewListToTifTilDetailAction.do?tilcod=2002222301731</t>
  </si>
  <si>
    <t>https://opac.libnet.pref.okayama.jp/licsxp-opac/WOpacMsgNewListToTifTilDetailAction.do?tilcod=2002222312386</t>
  </si>
  <si>
    <t>https://opac.libnet.pref.okayama.jp/licsxp-opac/WOpacMsgNewListToTifTilDetailAction.do?tilcod=2002222302118</t>
  </si>
  <si>
    <t>https://opac.libnet.pref.okayama.jp/licsxp-opac/WOpacMsgNewListToTifTilDetailAction.do?tilcod=2002222289263</t>
  </si>
  <si>
    <t>https://opac.libnet.pref.okayama.jp/licsxp-opac/WOpacMsgNewListToTifTilDetailAction.do?tilcod=2002222285901</t>
  </si>
  <si>
    <t>https://opac.libnet.pref.okayama.jp/licsxp-opac/WOpacMsgNewListToTifTilDetailAction.do?tilcod=2002222339631</t>
  </si>
  <si>
    <t>https://opac.libnet.pref.okayama.jp/licsxp-opac/WOpacMsgNewListToTifTilDetailAction.do?tilcod=2002222289273</t>
  </si>
  <si>
    <t>https://opac.libnet.pref.okayama.jp/licsxp-opac/WOpacMsgNewListToTifTilDetailAction.do?tilcod=2002222289283</t>
  </si>
  <si>
    <t>https://opac.libnet.pref.okayama.jp/licsxp-opac/WOpacMsgNewListToTifTilDetailAction.do?tilcod=2002222289293</t>
  </si>
  <si>
    <t>https://opac.libnet.pref.okayama.jp/licsxp-opac/WOpacMsgNewListToTifTilDetailAction.do?tilcod=2002222289303</t>
  </si>
  <si>
    <t>https://opac.libnet.pref.okayama.jp/licsxp-opac/WOpacMsgNewListToTifTilDetailAction.do?tilcod=2002222301197</t>
  </si>
  <si>
    <t>https://opac.libnet.pref.okayama.jp/licsxp-opac/WOpacMsgNewListToTifTilDetailAction.do?tilcod=2002222300605</t>
  </si>
  <si>
    <t>https://opac.libnet.pref.okayama.jp/licsxp-opac/WOpacMsgNewListToTifTilDetailAction.do?tilcod=2002222301000</t>
  </si>
  <si>
    <t>https://opac.libnet.pref.okayama.jp/licsxp-opac/WOpacMsgNewListToTifTilDetailAction.do?tilcod=2002222289313</t>
  </si>
  <si>
    <t>https://opac.libnet.pref.okayama.jp/licsxp-opac/WOpacMsgNewListToTifTilDetailAction.do?tilcod=2002222293191</t>
  </si>
  <si>
    <t>https://opac.libnet.pref.okayama.jp/licsxp-opac/WOpacMsgNewListToTifTilDetailAction.do?tilcod=2002222341070</t>
  </si>
  <si>
    <t>https://opac.libnet.pref.okayama.jp/licsxp-opac/WOpacMsgNewListToTifTilDetailAction.do?tilcod=2002222302112</t>
  </si>
  <si>
    <t>https://opac.libnet.pref.okayama.jp/licsxp-opac/WOpacMsgNewListToTifTilDetailAction.do?tilcod=2002222302433</t>
  </si>
  <si>
    <t>https://opac.libnet.pref.okayama.jp/licsxp-opac/WOpacMsgNewListToTifTilDetailAction.do?tilcod=2002222284213</t>
  </si>
  <si>
    <t>https://opac.libnet.pref.okayama.jp/licsxp-opac/WOpacMsgNewListToTifTilDetailAction.do?tilcod=2002222328986</t>
  </si>
  <si>
    <t>https://opac.libnet.pref.okayama.jp/licsxp-opac/WOpacMsgNewListToTifTilDetailAction.do?tilcod=2002222330947</t>
  </si>
  <si>
    <t>https://opac.libnet.pref.okayama.jp/licsxp-opac/WOpacMsgNewListToTifTilDetailAction.do?tilcod=2002222301100</t>
  </si>
  <si>
    <t>https://opac.libnet.pref.okayama.jp/licsxp-opac/WOpacMsgNewListToTifTilDetailAction.do?tilcod=2002222308989</t>
  </si>
  <si>
    <t>https://opac.libnet.pref.okayama.jp/licsxp-opac/WOpacMsgNewListToTifTilDetailAction.do?tilcod=2002222300023</t>
  </si>
  <si>
    <t>https://opac.libnet.pref.okayama.jp/licsxp-opac/WOpacMsgNewListToTifTilDetailAction.do?tilcod=2002222293201</t>
  </si>
  <si>
    <t>https://opac.libnet.pref.okayama.jp/licsxp-opac/WOpacMsgNewListToTifTilDetailAction.do?tilcod=2002222301607</t>
  </si>
  <si>
    <t>https://opac.libnet.pref.okayama.jp/licsxp-opac/WOpacMsgNewListToTifTilDetailAction.do?tilcod=2002222329868</t>
  </si>
  <si>
    <t>https://opac.libnet.pref.okayama.jp/licsxp-opac/WOpacMsgNewListToTifTilDetailAction.do?tilcod=2002222300706</t>
  </si>
  <si>
    <t>https://opac.libnet.pref.okayama.jp/licsxp-opac/WOpacMsgNewListToTifTilDetailAction.do?tilcod=2002222300530</t>
  </si>
  <si>
    <t>https://opac.libnet.pref.okayama.jp/licsxp-opac/WOpacMsgNewListToTifTilDetailAction.do?tilcod=2002222301630</t>
  </si>
  <si>
    <t>https://opac.libnet.pref.okayama.jp/licsxp-opac/WOpacMsgNewListToTifTilDetailAction.do?tilcod=2002222301969</t>
  </si>
  <si>
    <t>https://opac.libnet.pref.okayama.jp/licsxp-opac/WOpacMsgNewListToTifTilDetailAction.do?tilcod=2002222280021</t>
  </si>
  <si>
    <t>https://opac.libnet.pref.okayama.jp/licsxp-opac/WOpacMsgNewListToTifTilDetailAction.do?tilcod=2002222300935</t>
  </si>
  <si>
    <t>https://opac.libnet.pref.okayama.jp/licsxp-opac/WOpacMsgNewListToTifTilDetailAction.do?tilcod=2002222319308</t>
  </si>
  <si>
    <t>https://opac.libnet.pref.okayama.jp/licsxp-opac/WOpacMsgNewListToTifTilDetailAction.do?tilcod=2002222301190</t>
  </si>
  <si>
    <t>https://opac.libnet.pref.okayama.jp/licsxp-opac/WOpacMsgNewListToTifTilDetailAction.do?tilcod=2002222300531</t>
  </si>
  <si>
    <t>https://opac.libnet.pref.okayama.jp/licsxp-opac/WOpacMsgNewListToTifTilDetailAction.do?tilcod=2002222301849</t>
  </si>
  <si>
    <t>https://opac.libnet.pref.okayama.jp/licsxp-opac/WOpacMsgNewListToTifTilDetailAction.do?tilcod=2002222281504</t>
  </si>
  <si>
    <t>https://opac.libnet.pref.okayama.jp/licsxp-opac/WOpacMsgNewListToTifTilDetailAction.do?tilcod=2002222281534</t>
  </si>
  <si>
    <t>https://opac.libnet.pref.okayama.jp/licsxp-opac/WOpacMsgNewListToTifTilDetailAction.do?tilcod=2002222301201</t>
  </si>
  <si>
    <t>https://opac.libnet.pref.okayama.jp/licsxp-opac/WOpacMsgNewListToTifTilDetailAction.do?tilcod=2002222300564</t>
  </si>
  <si>
    <t>https://opac.libnet.pref.okayama.jp/licsxp-opac/WOpacMsgNewListToTifTilDetailAction.do?tilcod=2002222289333</t>
  </si>
  <si>
    <t>https://opac.libnet.pref.okayama.jp/licsxp-opac/WOpacMsgNewListToTifTilDetailAction.do?tilcod=2002222289343</t>
  </si>
  <si>
    <t>https://opac.libnet.pref.okayama.jp/licsxp-opac/WOpacMsgNewListToTifTilDetailAction.do?tilcod=2002222289363</t>
  </si>
  <si>
    <t>https://opac.libnet.pref.okayama.jp/licsxp-opac/WOpacMsgNewListToTifTilDetailAction.do?tilcod=2002222289353</t>
  </si>
  <si>
    <t>https://opac.libnet.pref.okayama.jp/licsxp-opac/WOpacMsgNewListToTifTilDetailAction.do?tilcod=2002222341374</t>
  </si>
  <si>
    <t>https://opac.libnet.pref.okayama.jp/licsxp-opac/WOpacMsgNewListToTifTilDetailAction.do?tilcod=2002222302331</t>
  </si>
  <si>
    <t>https://opac.libnet.pref.okayama.jp/licsxp-opac/WOpacMsgNewListToTifTilDetailAction.do?tilcod=2002222289373</t>
  </si>
  <si>
    <t>https://opac.libnet.pref.okayama.jp/licsxp-opac/WOpacMsgNewListToTifTilDetailAction.do?tilcod=2002222289383</t>
  </si>
  <si>
    <t>https://opac.libnet.pref.okayama.jp/licsxp-opac/WOpacMsgNewListToTifTilDetailAction.do?tilcod=2002222287993</t>
  </si>
  <si>
    <t>https://opac.libnet.pref.okayama.jp/licsxp-opac/WOpacMsgNewListToTifTilDetailAction.do?tilcod=2002222300961</t>
  </si>
  <si>
    <t>https://opac.libnet.pref.okayama.jp/licsxp-opac/WOpacMsgNewListToTifTilDetailAction.do?tilcod=2002222301713</t>
  </si>
  <si>
    <t>https://opac.libnet.pref.okayama.jp/licsxp-opac/WOpacMsgNewListToTifTilDetailAction.do?tilcod=2002222289393</t>
  </si>
  <si>
    <t>https://opac.libnet.pref.okayama.jp/licsxp-opac/WOpacMsgNewListToTifTilDetailAction.do?tilcod=2002222289403</t>
  </si>
  <si>
    <t>https://opac.libnet.pref.okayama.jp/licsxp-opac/WOpacMsgNewListToTifTilDetailAction.do?tilcod=2002222285261</t>
  </si>
  <si>
    <t>https://opac.libnet.pref.okayama.jp/licsxp-opac/WOpacMsgNewListToTifTilDetailAction.do?tilcod=2002222281241</t>
  </si>
  <si>
    <t>https://opac.libnet.pref.okayama.jp/licsxp-opac/WOpacMsgNewListToTifTilDetailAction.do?tilcod=2002222318326</t>
  </si>
  <si>
    <t>https://opac.libnet.pref.okayama.jp/licsxp-opac/WOpacMsgNewListToTifTilDetailAction.do?tilcod=2002222289413</t>
  </si>
  <si>
    <t>https://opac.libnet.pref.okayama.jp/licsxp-opac/WOpacMsgNewListToTifTilDetailAction.do?tilcod=2002222300962</t>
  </si>
  <si>
    <t>https://opac.libnet.pref.okayama.jp/licsxp-opac/WOpacMsgNewListToTifTilDetailAction.do?tilcod=2002222300963</t>
  </si>
  <si>
    <t>https://opac.libnet.pref.okayama.jp/licsxp-opac/WOpacMsgNewListToTifTilDetailAction.do?tilcod=2002222327826</t>
  </si>
  <si>
    <t>https://opac.libnet.pref.okayama.jp/licsxp-opac/WOpacMsgNewListToTifTilDetailAction.do?tilcod=2002222289423</t>
  </si>
  <si>
    <t>https://opac.libnet.pref.okayama.jp/licsxp-opac/WOpacMsgNewListToTifTilDetailAction.do?tilcod=2002222300964</t>
  </si>
  <si>
    <t>https://opac.libnet.pref.okayama.jp/licsxp-opac/WOpacMsgNewListToTifTilDetailAction.do?tilcod=2002222302451</t>
  </si>
  <si>
    <t>https://opac.libnet.pref.okayama.jp/licsxp-opac/WOpacMsgNewListToTifTilDetailAction.do?tilcod=2002222289433</t>
  </si>
  <si>
    <t>https://opac.libnet.pref.okayama.jp/licsxp-opac/WOpacMsgNewListToTifTilDetailAction.do?tilcod=2002222336648</t>
  </si>
  <si>
    <t>https://opac.libnet.pref.okayama.jp/licsxp-opac/WOpacMsgNewListToTifTilDetailAction.do?tilcod=2002222330366</t>
  </si>
  <si>
    <t>https://opac.libnet.pref.okayama.jp/licsxp-opac/WOpacMsgNewListToTifTilDetailAction.do?tilcod=2002222300965</t>
  </si>
  <si>
    <t>https://opac.libnet.pref.okayama.jp/licsxp-opac/WOpacMsgNewListToTifTilDetailAction.do?tilcod=2002222300894</t>
  </si>
  <si>
    <t>https://opac.libnet.pref.okayama.jp/licsxp-opac/WOpacMsgNewListToTifTilDetailAction.do?tilcod=2002222291621</t>
  </si>
  <si>
    <t>https://opac.libnet.pref.okayama.jp/licsxp-opac/WOpacMsgNewListToTifTilDetailAction.do?tilcod=2002222280874</t>
  </si>
  <si>
    <t>https://opac.libnet.pref.okayama.jp/licsxp-opac/WOpacMsgNewListToTifTilDetailAction.do?tilcod=2002222282861</t>
  </si>
  <si>
    <t>https://opac.libnet.pref.okayama.jp/licsxp-opac/WOpacMsgNewListToTifTilDetailAction.do?tilcod=2002222300966</t>
  </si>
  <si>
    <t>https://opac.libnet.pref.okayama.jp/licsxp-opac/WOpacMsgNewListToTifTilDetailAction.do?tilcod=2002222289443</t>
  </si>
  <si>
    <t>https://opac.libnet.pref.okayama.jp/licsxp-opac/WOpacMsgNewListToTifTilDetailAction.do?tilcod=2002222300298</t>
  </si>
  <si>
    <t>https://opac.libnet.pref.okayama.jp/licsxp-opac/WOpacMsgNewListToTifTilDetailAction.do?tilcod=2002222281364</t>
  </si>
  <si>
    <t>https://opac.libnet.pref.okayama.jp/licsxp-opac/WOpacMsgNewListToTifTilDetailAction.do?tilcod=2002222324589</t>
  </si>
  <si>
    <t>https://opac.libnet.pref.okayama.jp/licsxp-opac/WOpacMsgNewListToTifTilDetailAction.do?tilcod=2002222281414</t>
  </si>
  <si>
    <t>https://opac.libnet.pref.okayama.jp/licsxp-opac/WOpacMsgNewListToTifTilDetailAction.do?tilcod=2002222331008</t>
  </si>
  <si>
    <t>https://opac.libnet.pref.okayama.jp/licsxp-opac/WOpacMsgNewListToTifTilDetailAction.do?tilcod=2002222289453</t>
  </si>
  <si>
    <t>https://opac.libnet.pref.okayama.jp/licsxp-opac/WOpacMsgNewListToTifTilDetailAction.do?tilcod=2002222289463</t>
  </si>
  <si>
    <t>https://opac.libnet.pref.okayama.jp/licsxp-opac/WOpacMsgNewListToTifTilDetailAction.do?tilcod=2002222328446</t>
  </si>
  <si>
    <t>https://opac.libnet.pref.okayama.jp/licsxp-opac/WOpacMsgNewListToTifTilDetailAction.do?tilcod=2002222300167</t>
  </si>
  <si>
    <t>https://opac.libnet.pref.okayama.jp/licsxp-opac/WOpacMsgNewListToTifTilDetailAction.do?tilcod=2002222330310</t>
  </si>
  <si>
    <t>https://opac.libnet.pref.okayama.jp/licsxp-opac/WOpacMsgNewListToTifTilDetailAction.do?tilcod=2002222289473</t>
  </si>
  <si>
    <t>https://opac.libnet.pref.okayama.jp/licsxp-opac/WOpacMsgNewListToTifTilDetailAction.do?tilcod=2002222289483</t>
  </si>
  <si>
    <t>https://opac.libnet.pref.okayama.jp/licsxp-opac/WOpacMsgNewListToTifTilDetailAction.do?tilcod=2002222301001</t>
  </si>
  <si>
    <t>https://opac.libnet.pref.okayama.jp/licsxp-opac/WOpacMsgNewListToTifTilDetailAction.do?tilcod=2002222289493</t>
  </si>
  <si>
    <t>https://opac.libnet.pref.okayama.jp/licsxp-opac/WOpacMsgNewListToTifTilDetailAction.do?tilcod=2002222336927</t>
  </si>
  <si>
    <t>https://opac.libnet.pref.okayama.jp/licsxp-opac/WOpacMsgNewListToTifTilDetailAction.do?tilcod=2002222289053</t>
  </si>
  <si>
    <t>https://opac.libnet.pref.okayama.jp/licsxp-opac/WOpacMsgNewListToTifTilDetailAction.do?tilcod=2002222301287</t>
  </si>
  <si>
    <t>https://opac.libnet.pref.okayama.jp/licsxp-opac/WOpacMsgNewListToTifTilDetailAction.do?tilcod=2002222300545</t>
  </si>
  <si>
    <t>https://opac.libnet.pref.okayama.jp/licsxp-opac/WOpacMsgNewListToTifTilDetailAction.do?tilcod=2002222301462</t>
  </si>
  <si>
    <t>https://opac.libnet.pref.okayama.jp/licsxp-opac/WOpacMsgNewListToTifTilDetailAction.do?tilcod=2002222301840</t>
  </si>
  <si>
    <t>https://opac.libnet.pref.okayama.jp/licsxp-opac/WOpacMsgNewListToTifTilDetailAction.do?tilcod=2002222302390</t>
  </si>
  <si>
    <t>https://opac.libnet.pref.okayama.jp/licsxp-opac/WOpacMsgNewListToTifTilDetailAction.do?tilcod=2002222280004</t>
  </si>
  <si>
    <t>https://opac.libnet.pref.okayama.jp/licsxp-opac/WOpacMsgNewListToTifTilDetailAction.do?tilcod=2002222337095</t>
  </si>
  <si>
    <t>https://opac.libnet.pref.okayama.jp/licsxp-opac/WOpacMsgNewListToTifTilDetailAction.do?tilcod=2002222280014</t>
  </si>
  <si>
    <t>https://opac.libnet.pref.okayama.jp/licsxp-opac/WOpacMsgNewListToTifTilDetailAction.do?tilcod=2002222280024</t>
  </si>
  <si>
    <t>https://opac.libnet.pref.okayama.jp/licsxp-opac/WOpacMsgNewListToTifTilDetailAction.do?tilcod=2002222328906</t>
  </si>
  <si>
    <t>https://opac.libnet.pref.okayama.jp/licsxp-opac/WOpacMsgNewListToTifTilDetailAction.do?tilcod=2002222300349</t>
  </si>
  <si>
    <t>https://opac.libnet.pref.okayama.jp/licsxp-opac/WOpacMsgNewListToTifTilDetailAction.do?tilcod=2002222280034</t>
  </si>
  <si>
    <t>https://opac.libnet.pref.okayama.jp/licsxp-opac/WOpacMsgNewListToTifTilDetailAction.do?tilcod=2002222335206</t>
  </si>
  <si>
    <t>https://opac.libnet.pref.okayama.jp/licsxp-opac/WOpacMsgNewListToTifTilDetailAction.do?tilcod=2002222302153</t>
  </si>
  <si>
    <t>https://opac.libnet.pref.okayama.jp/licsxp-opac/WOpacMsgNewListToTifTilDetailAction.do?tilcod=2002222302278</t>
  </si>
  <si>
    <t>https://opac.libnet.pref.okayama.jp/licsxp-opac/WOpacMsgNewListToTifTilDetailAction.do?tilcod=2002222285541</t>
  </si>
  <si>
    <t>https://opac.libnet.pref.okayama.jp/licsxp-opac/WOpacMsgNewListToTifTilDetailAction.do?tilcod=2002222301477</t>
  </si>
  <si>
    <t>https://opac.libnet.pref.okayama.jp/licsxp-opac/WOpacMsgNewListToTifTilDetailAction.do?tilcod=2002222285441</t>
  </si>
  <si>
    <t>https://opac.libnet.pref.okayama.jp/licsxp-opac/WOpacMsgNewListToTifTilDetailAction.do?tilcod=2002222302210</t>
  </si>
  <si>
    <t>https://opac.libnet.pref.okayama.jp/licsxp-opac/WOpacMsgNewListToTifTilDetailAction.do?tilcod=2002222282191</t>
  </si>
  <si>
    <t>https://opac.libnet.pref.okayama.jp/licsxp-opac/WOpacMsgNewListToTifTilDetailAction.do?tilcod=2002222280044</t>
  </si>
  <si>
    <t>https://opac.libnet.pref.okayama.jp/licsxp-opac/WOpacMsgNewListToTifTilDetailAction.do?tilcod=2002222280811</t>
  </si>
  <si>
    <t>https://opac.libnet.pref.okayama.jp/licsxp-opac/WOpacMsgNewListToTifTilDetailAction.do?tilcod=2002222280054</t>
  </si>
  <si>
    <t>https://opac.libnet.pref.okayama.jp/licsxp-opac/WOpacMsgNewListToTifTilDetailAction.do?tilcod=2002222280064</t>
  </si>
  <si>
    <t>https://opac.libnet.pref.okayama.jp/licsxp-opac/WOpacMsgNewListToTifTilDetailAction.do?tilcod=2002222280074</t>
  </si>
  <si>
    <t>https://opac.libnet.pref.okayama.jp/licsxp-opac/WOpacMsgNewListToTifTilDetailAction.do?tilcod=2002222282853</t>
  </si>
  <si>
    <t>https://opac.libnet.pref.okayama.jp/licsxp-opac/WOpacMsgNewListToTifTilDetailAction.do?tilcod=2002222283021</t>
  </si>
  <si>
    <t>https://opac.libnet.pref.okayama.jp/licsxp-opac/WOpacMsgNewListToTifTilDetailAction.do?tilcod=2002222282893</t>
  </si>
  <si>
    <t>https://opac.libnet.pref.okayama.jp/licsxp-opac/WOpacMsgNewListToTifTilDetailAction.do?tilcod=2002222339810</t>
  </si>
  <si>
    <t>https://opac.libnet.pref.okayama.jp/licsxp-opac/WOpacMsgNewListToTifTilDetailAction.do?tilcod=2002222335967</t>
  </si>
  <si>
    <t>https://opac.libnet.pref.okayama.jp/licsxp-opac/WOpacMsgNewListToTifTilDetailAction.do?tilcod=2002222280084</t>
  </si>
  <si>
    <t>https://opac.libnet.pref.okayama.jp/licsxp-opac/WOpacMsgNewListToTifTilDetailAction.do?tilcod=2002222280094</t>
  </si>
  <si>
    <t>https://opac.libnet.pref.okayama.jp/licsxp-opac/WOpacMsgNewListToTifTilDetailAction.do?tilcod=2002222302041</t>
  </si>
  <si>
    <t>https://opac.libnet.pref.okayama.jp/licsxp-opac/WOpacMsgNewListToTifTilDetailAction.do?tilcod=2002222282863</t>
  </si>
  <si>
    <t>https://opac.libnet.pref.okayama.jp/licsxp-opac/WOpacMsgNewListToTifTilDetailAction.do?tilcod=2002222324506</t>
  </si>
  <si>
    <t>https://opac.libnet.pref.okayama.jp/licsxp-opac/WOpacMsgNewListToTifTilDetailAction.do?tilcod=2002222301970</t>
  </si>
  <si>
    <t>https://opac.libnet.pref.okayama.jp/licsxp-opac/WOpacMsgNewListToTifTilDetailAction.do?tilcod=2002222325289</t>
  </si>
  <si>
    <t>https://opac.libnet.pref.okayama.jp/licsxp-opac/WOpacMsgNewListToTifTilDetailAction.do?tilcod=2002222282044</t>
  </si>
  <si>
    <t>https://opac.libnet.pref.okayama.jp/licsxp-opac/WOpacMsgNewListToTifTilDetailAction.do?tilcod=2002222312366</t>
  </si>
  <si>
    <t>https://opac.libnet.pref.okayama.jp/licsxp-opac/WOpacMsgNewListToTifTilDetailAction.do?tilcod=2002222293871</t>
  </si>
  <si>
    <t>https://opac.libnet.pref.okayama.jp/licsxp-opac/WOpacMsgNewListToTifTilDetailAction.do?tilcod=2002222281331</t>
  </si>
  <si>
    <t>https://opac.libnet.pref.okayama.jp/licsxp-opac/WOpacMsgNewListToTifTilDetailAction.do?tilcod=2002222281984</t>
  </si>
  <si>
    <t>https://opac.libnet.pref.okayama.jp/licsxp-opac/WOpacMsgNewListToTifTilDetailAction.do?tilcod=2002222320554</t>
  </si>
  <si>
    <t>https://opac.libnet.pref.okayama.jp/licsxp-opac/WOpacMsgNewListToTifTilDetailAction.do?tilcod=2002222341375</t>
  </si>
  <si>
    <t>https://opac.libnet.pref.okayama.jp/licsxp-opac/WOpacMsgNewListToTifTilDetailAction.do?tilcod=2002222294021</t>
  </si>
  <si>
    <t>https://opac.libnet.pref.okayama.jp/licsxp-opac/WOpacMsgNewListToTifTilDetailAction.do?tilcod=2002222280804</t>
  </si>
  <si>
    <t>https://opac.libnet.pref.okayama.jp/licsxp-opac/WOpacMsgNewListToTifTilDetailAction.do?tilcod=2002222280691</t>
  </si>
  <si>
    <t>https://opac.libnet.pref.okayama.jp/licsxp-opac/WOpacMsgNewListToTifTilDetailAction.do?tilcod=2002222338112</t>
  </si>
  <si>
    <t>https://opac.libnet.pref.okayama.jp/licsxp-opac/WOpacMsgNewListToTifTilDetailAction.do?tilcod=2002222330246</t>
  </si>
  <si>
    <t>https://opac.libnet.pref.okayama.jp/licsxp-opac/WOpacMsgNewListToTifTilDetailAction.do?tilcod=2002222293221</t>
  </si>
  <si>
    <t>https://opac.libnet.pref.okayama.jp/licsxp-opac/WOpacMsgNewListToTifTilDetailAction.do?tilcod=2002222301385</t>
  </si>
  <si>
    <t>https://opac.libnet.pref.okayama.jp/licsxp-opac/WOpacMsgNewListToTifTilDetailAction.do?tilcod=2002222301383</t>
  </si>
  <si>
    <t>https://opac.libnet.pref.okayama.jp/licsxp-opac/WOpacMsgNewListToTifTilDetailAction.do?tilcod=2002222301185</t>
  </si>
  <si>
    <t>https://opac.libnet.pref.okayama.jp/licsxp-opac/WOpacMsgNewListToTifTilDetailAction.do?tilcod=2002222300722</t>
  </si>
  <si>
    <t>https://opac.libnet.pref.okayama.jp/licsxp-opac/WOpacMsgNewListToTifTilDetailAction.do?tilcod=2002222318006</t>
  </si>
  <si>
    <t>https://opac.libnet.pref.okayama.jp/licsxp-opac/WOpacMsgNewListToTifTilDetailAction.do?tilcod=2002222334789</t>
  </si>
  <si>
    <t>https://opac.libnet.pref.okayama.jp/licsxp-opac/WOpacMsgNewListToTifTilDetailAction.do?tilcod=2002222337471</t>
  </si>
  <si>
    <t>https://opac.libnet.pref.okayama.jp/licsxp-opac/WOpacMsgNewListToTifTilDetailAction.do?tilcod=2002222337510</t>
  </si>
  <si>
    <t>https://opac.libnet.pref.okayama.jp/licsxp-opac/WOpacMsgNewListToTifTilDetailAction.do?tilcod=2002222279872</t>
  </si>
  <si>
    <t>https://opac.libnet.pref.okayama.jp/licsxp-opac/WOpacMsgNewListToTifTilDetailAction.do?tilcod=2002222280114</t>
  </si>
  <si>
    <t>https://opac.libnet.pref.okayama.jp/licsxp-opac/WOpacMsgNewListToTifTilDetailAction.do?tilcod=2002222280124</t>
  </si>
  <si>
    <t>https://opac.libnet.pref.okayama.jp/licsxp-opac/WOpacMsgNewListToTifTilDetailAction.do?tilcod=2002222300967</t>
  </si>
  <si>
    <t>https://opac.libnet.pref.okayama.jp/licsxp-opac/WOpacMsgNewListToTifTilDetailAction.do?tilcod=2002222344016</t>
  </si>
  <si>
    <t>https://opac.libnet.pref.okayama.jp/licsxp-opac/WOpacMsgNewListToTifTilDetailAction.do?tilcod=2002222327386</t>
  </si>
  <si>
    <t>https://opac.libnet.pref.okayama.jp/licsxp-opac/WOpacMsgNewListToTifTilDetailAction.do?tilcod=2002222302412</t>
  </si>
  <si>
    <t>https://opac.libnet.pref.okayama.jp/licsxp-opac/WOpacMsgNewListToTifTilDetailAction.do?tilcod=2002222280134</t>
  </si>
  <si>
    <t>https://opac.libnet.pref.okayama.jp/licsxp-opac/WOpacMsgNewListToTifTilDetailAction.do?tilcod=2002222307988</t>
  </si>
  <si>
    <t>https://opac.libnet.pref.okayama.jp/licsxp-opac/WOpacMsgNewListToTifTilDetailAction.do?tilcod=2002222301554</t>
  </si>
  <si>
    <t>https://opac.libnet.pref.okayama.jp/licsxp-opac/WOpacMsgNewListToTifTilDetailAction.do?tilcod=2002222300968</t>
  </si>
  <si>
    <t>https://opac.libnet.pref.okayama.jp/licsxp-opac/WOpacMsgNewListToTifTilDetailAction.do?tilcod=2002222280144</t>
  </si>
  <si>
    <t>https://opac.libnet.pref.okayama.jp/licsxp-opac/WOpacMsgNewListToTifTilDetailAction.do?tilcod=2002222332350</t>
  </si>
  <si>
    <t>https://opac.libnet.pref.okayama.jp/licsxp-opac/WOpacMsgNewListToTifTilDetailAction.do?tilcod=2002222309787</t>
  </si>
  <si>
    <t>https://opac.libnet.pref.okayama.jp/licsxp-opac/WOpacMsgNewListToTifTilDetailAction.do?tilcod=2002222301716</t>
  </si>
  <si>
    <t>https://opac.libnet.pref.okayama.jp/licsxp-opac/WOpacMsgNewListToTifTilDetailAction.do?tilcod=2002222284461</t>
  </si>
  <si>
    <t>https://opac.libnet.pref.okayama.jp/licsxp-opac/WOpacMsgNewListToTifTilDetailAction.do?tilcod=2002222319306</t>
  </si>
  <si>
    <t>https://opac.libnet.pref.okayama.jp/licsxp-opac/WOpacMsgNewListToTifTilDetailAction.do?tilcod=2002222302308</t>
  </si>
  <si>
    <t>https://opac.libnet.pref.okayama.jp/licsxp-opac/WOpacMsgNewListToTifTilDetailAction.do?tilcod=2002222291631</t>
  </si>
  <si>
    <t>https://opac.libnet.pref.okayama.jp/licsxp-opac/WOpacMsgNewListToTifTilDetailAction.do?tilcod=2002222300342</t>
  </si>
  <si>
    <t>https://opac.libnet.pref.okayama.jp/licsxp-opac/WOpacMsgNewListToTifTilDetailAction.do?tilcod=2002222336190</t>
  </si>
  <si>
    <t>https://opac.libnet.pref.okayama.jp/licsxp-opac/WOpacMsgNewListToTifTilDetailAction.do?tilcod=2002222293721</t>
  </si>
  <si>
    <t>https://opac.libnet.pref.okayama.jp/licsxp-opac/WOpacMsgNewListToTifTilDetailAction.do?tilcod=2002222336189</t>
  </si>
  <si>
    <t>https://opac.libnet.pref.okayama.jp/licsxp-opac/WOpacMsgNewListToTifTilDetailAction.do?tilcod=2002222334747</t>
  </si>
  <si>
    <t>https://opac.libnet.pref.okayama.jp/licsxp-opac/WOpacMsgNewListToTifTilDetailAction.do?tilcod=2002222337853</t>
  </si>
  <si>
    <t>https://opac.libnet.pref.okayama.jp/licsxp-opac/WOpacMsgNewListToTifTilDetailAction.do?tilcod=2002222336087</t>
  </si>
  <si>
    <t>https://opac.libnet.pref.okayama.jp/licsxp-opac/WOpacMsgNewListToTifTilDetailAction.do?tilcod=2002222280154</t>
  </si>
  <si>
    <t>https://opac.libnet.pref.okayama.jp/licsxp-opac/WOpacMsgNewListToTifTilDetailAction.do?tilcod=2002222300892</t>
  </si>
  <si>
    <t>https://opac.libnet.pref.okayama.jp/licsxp-opac/WOpacMsgNewListToTifTilDetailAction.do?tilcod=2002222334287</t>
  </si>
  <si>
    <t>https://opac.libnet.pref.okayama.jp/licsxp-opac/WOpacMsgNewListToTifTilDetailAction.do?tilcod=2002222332109</t>
  </si>
  <si>
    <t>https://opac.libnet.pref.okayama.jp/licsxp-opac/WOpacMsgNewListToTifTilDetailAction.do?tilcod=2002222281791</t>
  </si>
  <si>
    <t>https://opac.libnet.pref.okayama.jp/licsxp-opac/WOpacMsgNewListToTifTilDetailAction.do?tilcod=2002222313586</t>
  </si>
  <si>
    <t>https://opac.libnet.pref.okayama.jp/licsxp-opac/WOpacMsgNewListToTifTilDetailAction.do?tilcod=2002222300340</t>
  </si>
  <si>
    <t>https://opac.libnet.pref.okayama.jp/licsxp-opac/WOpacMsgNewListToTifTilDetailAction.do?tilcod=2002222308847</t>
  </si>
  <si>
    <t>https://opac.libnet.pref.okayama.jp/licsxp-opac/WOpacMsgNewListToTifTilDetailAction.do?tilcod=2002222319207</t>
  </si>
  <si>
    <t>https://opac.libnet.pref.okayama.jp/licsxp-opac/WOpacMsgNewListToTifTilDetailAction.do?tilcod=2002222333626</t>
  </si>
  <si>
    <t>https://opac.libnet.pref.okayama.jp/licsxp-opac/WOpacMsgNewListToTifTilDetailAction.do?tilcod=2002222313926</t>
  </si>
  <si>
    <t>https://opac.libnet.pref.okayama.jp/licsxp-opac/WOpacMsgNewListToTifTilDetailAction.do?tilcod=2002222301661</t>
  </si>
  <si>
    <t>https://opac.libnet.pref.okayama.jp/licsxp-opac/WOpacMsgNewListToTifTilDetailAction.do?tilcod=2002222338930</t>
  </si>
  <si>
    <t>https://opac.libnet.pref.okayama.jp/licsxp-opac/WOpacMsgNewListToTifTilDetailAction.do?tilcod=2002222302133</t>
  </si>
  <si>
    <t>https://opac.libnet.pref.okayama.jp/licsxp-opac/WOpacMsgNewListToTifTilDetailAction.do?tilcod=2002222280184</t>
  </si>
  <si>
    <t>https://opac.libnet.pref.okayama.jp/licsxp-opac/WOpacMsgNewListToTifTilDetailAction.do?tilcod=2002222280194</t>
  </si>
  <si>
    <t>https://opac.libnet.pref.okayama.jp/licsxp-opac/WOpacMsgNewListToTifTilDetailAction.do?tilcod=2002222333148</t>
  </si>
  <si>
    <t>https://opac.libnet.pref.okayama.jp/licsxp-opac/WOpacMsgNewListToTifTilDetailAction.do?tilcod=2002222281351</t>
  </si>
  <si>
    <t>https://opac.libnet.pref.okayama.jp/licsxp-opac/WOpacMsgNewListToTifTilDetailAction.do?tilcod=2002222300969</t>
  </si>
  <si>
    <t>https://opac.libnet.pref.okayama.jp/licsxp-opac/WOpacMsgNewListToTifTilDetailAction.do?tilcod=2002222301422</t>
  </si>
  <si>
    <t>https://opac.libnet.pref.okayama.jp/licsxp-opac/WOpacMsgNewListToTifTilDetailAction.do?tilcod=2002222317868</t>
  </si>
  <si>
    <t>https://opac.libnet.pref.okayama.jp/licsxp-opac/WOpacMsgNewListToTifTilDetailAction.do?tilcod=2002222291651</t>
  </si>
  <si>
    <t>https://opac.libnet.pref.okayama.jp/licsxp-opac/WOpacMsgNewListToTifTilDetailAction.do?tilcod=2002222301151</t>
  </si>
  <si>
    <t>https://opac.libnet.pref.okayama.jp/licsxp-opac/WOpacMsgNewListToTifTilDetailAction.do?tilcod=2002222300970</t>
  </si>
  <si>
    <t>https://opac.libnet.pref.okayama.jp/licsxp-opac/WOpacMsgNewListToTifTilDetailAction.do?tilcod=2002222300971</t>
  </si>
  <si>
    <t>https://opac.libnet.pref.okayama.jp/licsxp-opac/WOpacMsgNewListToTifTilDetailAction.do?tilcod=2002222282291</t>
  </si>
  <si>
    <t>https://opac.libnet.pref.okayama.jp/licsxp-opac/WOpacMsgNewListToTifTilDetailAction.do?tilcod=2002222300786</t>
  </si>
  <si>
    <t>https://opac.libnet.pref.okayama.jp/licsxp-opac/WOpacMsgNewListToTifTilDetailAction.do?tilcod=2002222341382</t>
  </si>
  <si>
    <t>https://opac.libnet.pref.okayama.jp/licsxp-opac/WOpacMsgNewListToTifTilDetailAction.do?tilcod=2002222300443</t>
  </si>
  <si>
    <t>https://opac.libnet.pref.okayama.jp/licsxp-opac/WOpacMsgNewListToTifTilDetailAction.do?tilcod=2002222338090</t>
  </si>
  <si>
    <t>https://opac.libnet.pref.okayama.jp/licsxp-opac/WOpacMsgNewListToTifTilDetailAction.do?tilcod=2002222319610</t>
  </si>
  <si>
    <t>https://opac.libnet.pref.okayama.jp/licsxp-opac/WOpacMsgNewListToTifTilDetailAction.do?tilcod=2002222338076</t>
  </si>
  <si>
    <t>https://opac.libnet.pref.okayama.jp/licsxp-opac/WOpacMsgNewListToTifTilDetailAction.do?tilcod=2002222291661</t>
  </si>
  <si>
    <t>https://opac.libnet.pref.okayama.jp/licsxp-opac/WOpacMsgNewListToTifTilDetailAction.do?tilcod=2002222280214</t>
  </si>
  <si>
    <t>https://opac.libnet.pref.okayama.jp/licsxp-opac/WOpacMsgNewListToTifTilDetailAction.do?tilcod=2002222302330</t>
  </si>
  <si>
    <t>https://opac.libnet.pref.okayama.jp/licsxp-opac/WOpacMsgNewListToTifTilDetailAction.do?tilcod=2002222335291</t>
  </si>
  <si>
    <t>https://opac.libnet.pref.okayama.jp/licsxp-opac/WOpacMsgNewListToTifTilDetailAction.do?tilcod=2002222286051</t>
  </si>
  <si>
    <t>https://opac.libnet.pref.okayama.jp/licsxp-opac/WOpacMsgNewListToTifTilDetailAction.do?tilcod=2002222341551</t>
  </si>
  <si>
    <t>https://opac.libnet.pref.okayama.jp/licsxp-opac/WOpacMsgNewListToTifTilDetailAction.do?tilcod=2002222319430</t>
  </si>
  <si>
    <t>https://opac.libnet.pref.okayama.jp/licsxp-opac/WOpacMsgNewListToTifTilDetailAction.do?tilcod=2002222281734</t>
  </si>
  <si>
    <t>https://opac.libnet.pref.okayama.jp/licsxp-opac/WOpacMsgNewListToTifTilDetailAction.do?tilcod=2002222339651</t>
  </si>
  <si>
    <t>https://opac.libnet.pref.okayama.jp/licsxp-opac/WOpacMsgNewListToTifTilDetailAction.do?tilcod=2002222280224</t>
  </si>
  <si>
    <t>https://opac.libnet.pref.okayama.jp/licsxp-opac/WOpacMsgNewListToTifTilDetailAction.do?tilcod=2002222280234</t>
  </si>
  <si>
    <t>https://opac.libnet.pref.okayama.jp/licsxp-opac/WOpacMsgNewListToTifTilDetailAction.do?tilcod=2002222280244</t>
  </si>
  <si>
    <t>https://opac.libnet.pref.okayama.jp/licsxp-opac/WOpacMsgNewListToTifTilDetailAction.do?tilcod=2002222280254</t>
  </si>
  <si>
    <t>https://opac.libnet.pref.okayama.jp/licsxp-opac/WOpacMsgNewListToTifTilDetailAction.do?tilcod=2002222280264</t>
  </si>
  <si>
    <t>https://opac.libnet.pref.okayama.jp/licsxp-opac/WOpacMsgNewListToTifTilDetailAction.do?tilcod=2002222302146</t>
  </si>
  <si>
    <t>https://opac.libnet.pref.okayama.jp/licsxp-opac/WOpacMsgNewListToTifTilDetailAction.do?tilcod=2002222280274</t>
  </si>
  <si>
    <t>https://opac.libnet.pref.okayama.jp/licsxp-opac/WOpacMsgNewListToTifTilDetailAction.do?tilcod=2002222301765</t>
  </si>
  <si>
    <t>https://opac.libnet.pref.okayama.jp/licsxp-opac/WOpacMsgNewListToTifTilDetailAction.do?tilcod=2002222280284</t>
  </si>
  <si>
    <t>https://opac.libnet.pref.okayama.jp/licsxp-opac/WOpacMsgNewListToTifTilDetailAction.do?tilcod=2002222280294</t>
  </si>
  <si>
    <t>https://opac.libnet.pref.okayama.jp/licsxp-opac/WOpacMsgNewListToTifTilDetailAction.do?tilcod=2002222301768</t>
  </si>
  <si>
    <t>https://opac.libnet.pref.okayama.jp/licsxp-opac/WOpacMsgNewListToTifTilDetailAction.do?tilcod=2002222280314</t>
  </si>
  <si>
    <t>https://opac.libnet.pref.okayama.jp/licsxp-opac/WOpacMsgNewListToTifTilDetailAction.do?tilcod=2002222301299</t>
  </si>
  <si>
    <t>https://opac.libnet.pref.okayama.jp/licsxp-opac/WOpacMsgNewListToTifTilDetailAction.do?tilcod=2002222280304</t>
  </si>
  <si>
    <t>https://opac.libnet.pref.okayama.jp/licsxp-opac/WOpacMsgNewListToTifTilDetailAction.do?tilcod=2002222302132</t>
  </si>
  <si>
    <t>https://opac.libnet.pref.okayama.jp/licsxp-opac/WOpacMsgNewListToTifTilDetailAction.do?tilcod=2002222280764</t>
  </si>
  <si>
    <t>https://opac.libnet.pref.okayama.jp/licsxp-opac/WOpacMsgNewListToTifTilDetailAction.do?tilcod=2002222281304</t>
  </si>
  <si>
    <t>https://opac.libnet.pref.okayama.jp/licsxp-opac/WOpacMsgNewListToTifTilDetailAction.do?tilcod=2002222280754</t>
  </si>
  <si>
    <t>https://opac.libnet.pref.okayama.jp/licsxp-opac/WOpacMsgNewListToTifTilDetailAction.do?tilcod=2002222280324</t>
  </si>
  <si>
    <t>https://opac.libnet.pref.okayama.jp/licsxp-opac/WOpacMsgNewListToTifTilDetailAction.do?tilcod=2002222280334</t>
  </si>
  <si>
    <t>https://opac.libnet.pref.okayama.jp/licsxp-opac/WOpacMsgNewListToTifTilDetailAction.do?tilcod=2002222285071</t>
  </si>
  <si>
    <t>https://opac.libnet.pref.okayama.jp/licsxp-opac/WOpacMsgNewListToTifTilDetailAction.do?tilcod=2002222280344</t>
  </si>
  <si>
    <t>https://opac.libnet.pref.okayama.jp/licsxp-opac/WOpacMsgNewListToTifTilDetailAction.do?tilcod=2002222338030</t>
  </si>
  <si>
    <t>https://opac.libnet.pref.okayama.jp/licsxp-opac/WOpacMsgNewListToTifTilDetailAction.do?tilcod=2002222343790</t>
  </si>
  <si>
    <t>https://opac.libnet.pref.okayama.jp/licsxp-opac/WOpacMsgNewListToTifTilDetailAction.do?tilcod=2002222280354</t>
  </si>
  <si>
    <t>https://opac.libnet.pref.okayama.jp/licsxp-opac/WOpacMsgNewListToTifTilDetailAction.do?tilcod=2002222280364</t>
  </si>
  <si>
    <t>https://opac.libnet.pref.okayama.jp/licsxp-opac/WOpacMsgNewListToTifTilDetailAction.do?tilcod=2002222280374</t>
  </si>
  <si>
    <t>https://opac.libnet.pref.okayama.jp/licsxp-opac/WOpacMsgNewListToTifTilDetailAction.do?tilcod=2002222281244</t>
  </si>
  <si>
    <t>https://opac.libnet.pref.okayama.jp/licsxp-opac/WOpacMsgNewListToTifTilDetailAction.do?tilcod=2002222282751</t>
  </si>
  <si>
    <t>https://opac.libnet.pref.okayama.jp/licsxp-opac/WOpacMsgNewListToTifTilDetailAction.do?tilcod=2002222280744</t>
  </si>
  <si>
    <t>https://opac.libnet.pref.okayama.jp/licsxp-opac/WOpacMsgNewListToTifTilDetailAction.do?tilcod=2002222302337</t>
  </si>
  <si>
    <t>https://opac.libnet.pref.okayama.jp/licsxp-opac/WOpacMsgNewListToTifTilDetailAction.do?tilcod=2002222301411</t>
  </si>
  <si>
    <t>https://opac.libnet.pref.okayama.jp/licsxp-opac/WOpacMsgNewListToTifTilDetailAction.do?tilcod=2002222281713</t>
  </si>
  <si>
    <t>https://opac.libnet.pref.okayama.jp/licsxp-opac/WOpacMsgNewListToTifTilDetailAction.do?tilcod=2002222286141</t>
  </si>
  <si>
    <t>https://opac.libnet.pref.okayama.jp/licsxp-opac/WOpacMsgNewListToTifTilDetailAction.do?tilcod=2002222342252</t>
  </si>
  <si>
    <t>https://opac.libnet.pref.okayama.jp/licsxp-opac/WOpacMsgNewListToTifTilDetailAction.do?tilcod=2002222301852</t>
  </si>
  <si>
    <t>https://opac.libnet.pref.okayama.jp/licsxp-opac/WOpacMsgNewListToTifTilDetailAction.do?tilcod=2002222301207</t>
  </si>
  <si>
    <t>https://opac.libnet.pref.okayama.jp/licsxp-opac/WOpacMsgNewListToTifTilDetailAction.do?tilcod=2002222300575</t>
  </si>
  <si>
    <t>https://opac.libnet.pref.okayama.jp/licsxp-opac/WOpacMsgNewListToTifTilDetailAction.do?tilcod=2002222301853</t>
  </si>
  <si>
    <t>https://opac.libnet.pref.okayama.jp/licsxp-opac/WOpacMsgNewListToTifTilDetailAction.do?tilcod=2002222301054</t>
  </si>
  <si>
    <t>https://opac.libnet.pref.okayama.jp/licsxp-opac/WOpacMsgNewListToTifTilDetailAction.do?tilcod=2002222284803</t>
  </si>
  <si>
    <t>https://opac.libnet.pref.okayama.jp/licsxp-opac/WOpacMsgNewListToTifTilDetailAction.do?tilcod=2002222284813</t>
  </si>
  <si>
    <t>https://opac.libnet.pref.okayama.jp/licsxp-opac/WOpacMsgNewListToTifTilDetailAction.do?tilcod=2002222325846</t>
  </si>
  <si>
    <t>https://opac.libnet.pref.okayama.jp/licsxp-opac/WOpacMsgNewListToTifTilDetailAction.do?tilcod=2002222281711</t>
  </si>
  <si>
    <t>https://opac.libnet.pref.okayama.jp/licsxp-opac/WOpacMsgNewListToTifTilDetailAction.do?tilcod=2002222301002</t>
  </si>
  <si>
    <t>https://opac.libnet.pref.okayama.jp/licsxp-opac/WOpacMsgNewListToTifTilDetailAction.do?tilcod=2002222301301</t>
  </si>
  <si>
    <t>https://opac.libnet.pref.okayama.jp/licsxp-opac/WOpacMsgNewListToTifTilDetailAction.do?tilcod=2002222284823</t>
  </si>
  <si>
    <t>https://opac.libnet.pref.okayama.jp/licsxp-opac/WOpacMsgNewListToTifTilDetailAction.do?tilcod=2002222294401</t>
  </si>
  <si>
    <t>https://opac.libnet.pref.okayama.jp/licsxp-opac/WOpacMsgNewListToTifTilDetailAction.do?tilcod=2002222284833</t>
  </si>
  <si>
    <t>https://opac.libnet.pref.okayama.jp/licsxp-opac/WOpacMsgNewListToTifTilDetailAction.do?tilcod=2002222284843</t>
  </si>
  <si>
    <t>https://opac.libnet.pref.okayama.jp/licsxp-opac/WOpacMsgNewListToTifTilDetailAction.do?tilcod=2002222309846</t>
  </si>
  <si>
    <t>https://opac.libnet.pref.okayama.jp/licsxp-opac/WOpacMsgNewListToTifTilDetailAction.do?tilcod=2002222301942</t>
  </si>
  <si>
    <t>https://opac.libnet.pref.okayama.jp/licsxp-opac/WOpacMsgNewListToTifTilDetailAction.do?tilcod=2002222301003</t>
  </si>
  <si>
    <t>https://opac.libnet.pref.okayama.jp/licsxp-opac/WOpacMsgNewListToTifTilDetailAction.do?tilcod=2002222284853</t>
  </si>
  <si>
    <t>https://opac.libnet.pref.okayama.jp/licsxp-opac/WOpacMsgNewListToTifTilDetailAction.do?tilcod=2002222284863</t>
  </si>
  <si>
    <t>https://opac.libnet.pref.okayama.jp/licsxp-opac/WOpacMsgNewListToTifTilDetailAction.do?tilcod=2002222284883</t>
  </si>
  <si>
    <t>https://opac.libnet.pref.okayama.jp/licsxp-opac/WOpacMsgNewListToTifTilDetailAction.do?tilcod=2002222284873</t>
  </si>
  <si>
    <t>https://opac.libnet.pref.okayama.jp/licsxp-opac/WOpacMsgNewListToTifTilDetailAction.do?tilcod=2002222282993</t>
  </si>
  <si>
    <t>https://opac.libnet.pref.okayama.jp/licsxp-opac/WOpacMsgNewListToTifTilDetailAction.do?tilcod=2002222284893</t>
  </si>
  <si>
    <t>https://opac.libnet.pref.okayama.jp/licsxp-opac/WOpacMsgNewListToTifTilDetailAction.do?tilcod=2002222301637</t>
  </si>
  <si>
    <t>https://opac.libnet.pref.okayama.jp/licsxp-opac/WOpacMsgNewListToTifTilDetailAction.do?tilcod=2002222301595</t>
  </si>
  <si>
    <t>https://opac.libnet.pref.okayama.jp/licsxp-opac/WOpacMsgNewListToTifTilDetailAction.do?tilcod=2002222301605</t>
  </si>
  <si>
    <t>https://opac.libnet.pref.okayama.jp/licsxp-opac/WOpacMsgNewListToTifTilDetailAction.do?tilcod=2002222301714</t>
  </si>
  <si>
    <t>https://opac.libnet.pref.okayama.jp/licsxp-opac/WOpacMsgNewListToTifTilDetailAction.do?tilcod=2002222322566</t>
  </si>
  <si>
    <t>https://opac.libnet.pref.okayama.jp/licsxp-opac/WOpacMsgNewListToTifTilDetailAction.do?tilcod=2002222284913</t>
  </si>
  <si>
    <t>https://opac.libnet.pref.okayama.jp/licsxp-opac/WOpacMsgNewListToTifTilDetailAction.do?tilcod=2002222344017</t>
  </si>
  <si>
    <t>https://opac.libnet.pref.okayama.jp/licsxp-opac/WOpacMsgNewListToTifTilDetailAction.do?tilcod=2002222284923</t>
  </si>
  <si>
    <t>https://opac.libnet.pref.okayama.jp/licsxp-opac/WOpacMsgNewListToTifTilDetailAction.do?tilcod=2002222311366</t>
  </si>
  <si>
    <t>https://opac.libnet.pref.okayama.jp/licsxp-opac/WOpacMsgNewListToTifTilDetailAction.do?tilcod=2002222307266</t>
  </si>
  <si>
    <t>https://opac.libnet.pref.okayama.jp/licsxp-opac/WOpacMsgNewListToTifTilDetailAction.do?tilcod=2002222293251</t>
  </si>
  <si>
    <t>https://opac.libnet.pref.okayama.jp/licsxp-opac/WOpacMsgNewListToTifTilDetailAction.do?tilcod=2002222280681</t>
  </si>
  <si>
    <t>https://opac.libnet.pref.okayama.jp/licsxp-opac/WOpacMsgNewListToTifTilDetailAction.do?tilcod=2002222280711</t>
  </si>
  <si>
    <t>https://opac.libnet.pref.okayama.jp/licsxp-opac/WOpacMsgNewListToTifTilDetailAction.do?tilcod=2002222300470</t>
  </si>
  <si>
    <t>https://opac.libnet.pref.okayama.jp/licsxp-opac/WOpacMsgNewListToTifTilDetailAction.do?tilcod=2002222300200</t>
  </si>
  <si>
    <t>https://opac.libnet.pref.okayama.jp/licsxp-opac/WOpacMsgNewListToTifTilDetailAction.do?tilcod=2002222301359</t>
  </si>
  <si>
    <t>https://opac.libnet.pref.okayama.jp/licsxp-opac/WOpacMsgNewListToTifTilDetailAction.do?tilcod=2002222301506</t>
  </si>
  <si>
    <t>https://opac.libnet.pref.okayama.jp/licsxp-opac/WOpacMsgNewListToTifTilDetailAction.do?tilcod=2002222293261</t>
  </si>
  <si>
    <t>https://opac.libnet.pref.okayama.jp/licsxp-opac/WOpacMsgNewListToTifTilDetailAction.do?tilcod=2002222300025</t>
  </si>
  <si>
    <t>https://opac.libnet.pref.okayama.jp/licsxp-opac/WOpacMsgNewListToTifTilDetailAction.do?tilcod=2002222284933</t>
  </si>
  <si>
    <t>https://opac.libnet.pref.okayama.jp/licsxp-opac/WOpacMsgNewListToTifTilDetailAction.do?tilcod=2002222341530</t>
  </si>
  <si>
    <t>https://opac.libnet.pref.okayama.jp/licsxp-opac/WOpacMsgNewListToTifTilDetailAction.do?tilcod=2002222301770</t>
  </si>
  <si>
    <t>https://opac.libnet.pref.okayama.jp/licsxp-opac/WOpacMsgNewListToTifTilDetailAction.do?tilcod=2002222284953</t>
  </si>
  <si>
    <t>https://opac.libnet.pref.okayama.jp/licsxp-opac/WOpacMsgNewListToTifTilDetailAction.do?tilcod=2002222335528</t>
  </si>
  <si>
    <t>https://opac.libnet.pref.okayama.jp/licsxp-opac/WOpacMsgNewListToTifTilDetailAction.do?tilcod=2002222301381</t>
  </si>
  <si>
    <t>https://opac.libnet.pref.okayama.jp/licsxp-opac/WOpacMsgNewListToTifTilDetailAction.do?tilcod=2002222280651</t>
  </si>
  <si>
    <t>https://opac.libnet.pref.okayama.jp/licsxp-opac/WOpacMsgNewListToTifTilDetailAction.do?tilcod=2002222293271</t>
  </si>
  <si>
    <t>https://opac.libnet.pref.okayama.jp/licsxp-opac/WOpacMsgNewListToTifTilDetailAction.do?tilcod=2002222280661</t>
  </si>
  <si>
    <t>https://opac.libnet.pref.okayama.jp/licsxp-opac/WOpacMsgNewListToTifTilDetailAction.do?tilcod=2002222282873</t>
  </si>
  <si>
    <t>https://opac.libnet.pref.okayama.jp/licsxp-opac/WOpacMsgNewListToTifTilDetailAction.do?tilcod=2002222284973</t>
  </si>
  <si>
    <t>https://opac.libnet.pref.okayama.jp/licsxp-opac/WOpacMsgNewListToTifTilDetailAction.do?tilcod=2002222282971</t>
  </si>
  <si>
    <t>https://opac.libnet.pref.okayama.jp/licsxp-opac/WOpacMsgNewListToTifTilDetailAction.do?tilcod=2002222284983</t>
  </si>
  <si>
    <t>https://opac.libnet.pref.okayama.jp/licsxp-opac/WOpacMsgNewListToTifTilDetailAction.do?tilcod=2002222284993</t>
  </si>
  <si>
    <t>https://opac.libnet.pref.okayama.jp/licsxp-opac/WOpacMsgNewListToTifTilDetailAction.do?tilcod=2002222280671</t>
  </si>
  <si>
    <t>https://opac.libnet.pref.okayama.jp/licsxp-opac/WOpacMsgNewListToTifTilDetailAction.do?tilcod=2002222301372</t>
  </si>
  <si>
    <t>https://opac.libnet.pref.okayama.jp/licsxp-opac/WOpacMsgNewListToTifTilDetailAction.do?tilcod=2002222288273</t>
  </si>
  <si>
    <t>https://opac.libnet.pref.okayama.jp/licsxp-opac/WOpacMsgNewListToTifTilDetailAction.do?tilcod=2002222281994</t>
  </si>
  <si>
    <t>https://opac.libnet.pref.okayama.jp/licsxp-opac/WOpacMsgNewListToTifTilDetailAction.do?tilcod=2002222301803</t>
  </si>
  <si>
    <t>https://opac.libnet.pref.okayama.jp/licsxp-opac/WOpacMsgNewListToTifTilDetailAction.do?tilcod=2002222301051</t>
  </si>
  <si>
    <t>https://opac.libnet.pref.okayama.jp/licsxp-opac/WOpacMsgNewListToTifTilDetailAction.do?tilcod=2002222289853</t>
  </si>
  <si>
    <t>https://opac.libnet.pref.okayama.jp/licsxp-opac/WOpacMsgNewListToTifTilDetailAction.do?tilcod=2002222285671</t>
  </si>
  <si>
    <t>https://opac.libnet.pref.okayama.jp/licsxp-opac/WOpacMsgNewListToTifTilDetailAction.do?tilcod=2002222281084</t>
  </si>
  <si>
    <t>https://opac.libnet.pref.okayama.jp/licsxp-opac/WOpacMsgNewListToTifTilDetailAction.do?tilcod=2002222301839</t>
  </si>
  <si>
    <t>https://opac.libnet.pref.okayama.jp/licsxp-opac/WOpacMsgNewListToTifTilDetailAction.do?tilcod=2002222319736</t>
  </si>
  <si>
    <t>https://opac.libnet.pref.okayama.jp/licsxp-opac/WOpacMsgNewListToTifTilDetailAction.do?tilcod=2002222280701</t>
  </si>
  <si>
    <t>https://opac.libnet.pref.okayama.jp/licsxp-opac/WOpacMsgNewListToTifTilDetailAction.do?tilcod=2002222286013</t>
  </si>
  <si>
    <t>https://opac.libnet.pref.okayama.jp/licsxp-opac/WOpacMsgNewListToTifTilDetailAction.do?tilcod=2002222286023</t>
  </si>
  <si>
    <t>https://opac.libnet.pref.okayama.jp/licsxp-opac/WOpacMsgNewListToTifTilDetailAction.do?tilcod=2002222280834</t>
  </si>
  <si>
    <t>https://opac.libnet.pref.okayama.jp/licsxp-opac/WOpacMsgNewListToTifTilDetailAction.do?tilcod=2002222302343</t>
  </si>
  <si>
    <t>https://opac.libnet.pref.okayama.jp/licsxp-opac/WOpacMsgNewListToTifTilDetailAction.do?tilcod=2002222301776</t>
  </si>
  <si>
    <t>https://opac.libnet.pref.okayama.jp/licsxp-opac/WOpacMsgNewListToTifTilDetailAction.do?tilcod=2002222286033</t>
  </si>
  <si>
    <t>https://opac.libnet.pref.okayama.jp/licsxp-opac/WOpacMsgNewListToTifTilDetailAction.do?tilcod=2002222282024</t>
  </si>
  <si>
    <t>https://opac.libnet.pref.okayama.jp/licsxp-opac/WOpacMsgNewListToTifTilDetailAction.do?tilcod=2002222301480</t>
  </si>
  <si>
    <t>https://opac.libnet.pref.okayama.jp/licsxp-opac/WOpacMsgNewListToTifTilDetailAction.do?tilcod=2002222281231</t>
  </si>
  <si>
    <t>https://opac.libnet.pref.okayama.jp/licsxp-opac/WOpacMsgNewListToTifTilDetailAction.do?tilcod=2002222300347</t>
  </si>
  <si>
    <t>https://opac.libnet.pref.okayama.jp/licsxp-opac/WOpacMsgNewListToTifTilDetailAction.do?tilcod=2002222281314</t>
  </si>
  <si>
    <t>https://opac.libnet.pref.okayama.jp/licsxp-opac/WOpacMsgNewListToTifTilDetailAction.do?tilcod=2002222287693</t>
  </si>
  <si>
    <t>https://opac.libnet.pref.okayama.jp/licsxp-opac/WOpacMsgNewListToTifTilDetailAction.do?tilcod=2002222317986</t>
  </si>
  <si>
    <t>https://opac.libnet.pref.okayama.jp/licsxp-opac/WOpacMsgNewListToTifTilDetailAction.do?tilcod=2002222322826</t>
  </si>
  <si>
    <t>https://opac.libnet.pref.okayama.jp/licsxp-opac/WOpacMsgNewListToTifTilDetailAction.do?tilcod=2002222333149</t>
  </si>
  <si>
    <t>https://opac.libnet.pref.okayama.jp/licsxp-opac/WOpacMsgNewListToTifTilDetailAction.do?tilcod=2002222319612</t>
  </si>
  <si>
    <t>https://opac.libnet.pref.okayama.jp/licsxp-opac/WOpacMsgNewListToTifTilDetailAction.do?tilcod=2002222336808</t>
  </si>
  <si>
    <t>https://opac.libnet.pref.okayama.jp/licsxp-opac/WOpacMsgNewListToTifTilDetailAction.do?tilcod=2002222344011</t>
  </si>
  <si>
    <t>https://opac.libnet.pref.okayama.jp/licsxp-opac/WOpacMsgNewListToTifTilDetailAction.do?tilcod=2002222340351</t>
  </si>
  <si>
    <t>https://opac.libnet.pref.okayama.jp/licsxp-opac/WOpacMsgNewListToTifTilDetailAction.do?tilcod=2002222219175</t>
  </si>
  <si>
    <t>https://opac.libnet.pref.okayama.jp/licsxp-opac/WOpacMsgNewListToTifTilDetailAction.do?tilcod=2002222334526</t>
  </si>
  <si>
    <t>https://opac.libnet.pref.okayama.jp/licsxp-opac/WOpacMsgNewListToTifTilDetailAction.do?tilcod=2002222293281</t>
  </si>
  <si>
    <t>https://opac.libnet.pref.okayama.jp/licsxp-opac/WOpacMsgNewListToTifTilDetailAction.do?tilcod=2002222286073</t>
  </si>
  <si>
    <t>https://opac.libnet.pref.okayama.jp/licsxp-opac/WOpacMsgNewListToTifTilDetailAction.do?tilcod=2002222286053</t>
  </si>
  <si>
    <t>https://opac.libnet.pref.okayama.jp/licsxp-opac/WOpacMsgNewListToTifTilDetailAction.do?tilcod=2002222286063</t>
  </si>
  <si>
    <t>https://opac.libnet.pref.okayama.jp/licsxp-opac/WOpacMsgNewListToTifTilDetailAction.do?tilcod=2002222322246</t>
  </si>
  <si>
    <t>https://opac.libnet.pref.okayama.jp/licsxp-opac/WOpacMsgNewListToTifTilDetailAction.do?tilcod=2002222332429</t>
  </si>
  <si>
    <t>https://opac.libnet.pref.okayama.jp/licsxp-opac/WOpacMsgNewListToTifTilDetailAction.do?tilcod=2002222300400</t>
  </si>
  <si>
    <t>https://opac.libnet.pref.okayama.jp/licsxp-opac/WOpacMsgNewListToTifTilDetailAction.do?tilcod=2002222294181</t>
  </si>
  <si>
    <t>https://opac.libnet.pref.okayama.jp/licsxp-opac/WOpacMsgNewListToTifTilDetailAction.do?tilcod=2002222285681</t>
  </si>
  <si>
    <t>https://opac.libnet.pref.okayama.jp/licsxp-opac/WOpacMsgNewListToTifTilDetailAction.do?tilcod=2002222280774</t>
  </si>
  <si>
    <t>https://opac.libnet.pref.okayama.jp/licsxp-opac/WOpacMsgNewListToTifTilDetailAction.do?tilcod=2002222328506</t>
  </si>
  <si>
    <t>https://opac.libnet.pref.okayama.jp/licsxp-opac/WOpacMsgNewListToTifTilDetailAction.do?tilcod=2002222293291</t>
  </si>
  <si>
    <t>https://opac.libnet.pref.okayama.jp/licsxp-opac/WOpacMsgNewListToTifTilDetailAction.do?tilcod=2002222329749</t>
  </si>
  <si>
    <t>https://opac.libnet.pref.okayama.jp/licsxp-opac/WOpacMsgNewListToTifTilDetailAction.do?tilcod=2002222316326</t>
  </si>
  <si>
    <t>https://opac.libnet.pref.okayama.jp/licsxp-opac/WOpacMsgNewListToTifTilDetailAction.do?tilcod=2002222323706</t>
  </si>
  <si>
    <t>https://opac.libnet.pref.okayama.jp/licsxp-opac/WOpacMsgNewListToTifTilDetailAction.do?tilcod=2002222286093</t>
  </si>
  <si>
    <t>https://opac.libnet.pref.okayama.jp/licsxp-opac/WOpacMsgNewListToTifTilDetailAction.do?tilcod=2002222323647</t>
  </si>
  <si>
    <t>https://opac.libnet.pref.okayama.jp/licsxp-opac/WOpacMsgNewListToTifTilDetailAction.do?tilcod=2002222302280</t>
  </si>
  <si>
    <t>https://opac.libnet.pref.okayama.jp/licsxp-opac/WOpacMsgNewListToTifTilDetailAction.do?tilcod=2002222301635</t>
  </si>
  <si>
    <t>https://opac.libnet.pref.okayama.jp/licsxp-opac/WOpacMsgNewListToTifTilDetailAction.do?tilcod=2002222281144</t>
  </si>
  <si>
    <t>https://opac.libnet.pref.okayama.jp/licsxp-opac/WOpacMsgNewListToTifTilDetailAction.do?tilcod=2002222324406</t>
  </si>
  <si>
    <t>https://opac.libnet.pref.okayama.jp/licsxp-opac/WOpacMsgNewListToTifTilDetailAction.do?tilcod=2002222341370</t>
  </si>
  <si>
    <t>https://opac.libnet.pref.okayama.jp/licsxp-opac/WOpacMsgNewListToTifTilDetailAction.do?tilcod=2002222316786</t>
  </si>
  <si>
    <t>https://opac.libnet.pref.okayama.jp/licsxp-opac/WOpacMsgNewListToTifTilDetailAction.do?tilcod=2002222300972</t>
  </si>
  <si>
    <t>https://opac.libnet.pref.okayama.jp/licsxp-opac/WOpacMsgNewListToTifTilDetailAction.do?tilcod=2002222293301</t>
  </si>
  <si>
    <t>https://opac.libnet.pref.okayama.jp/licsxp-opac/WOpacMsgNewListToTifTilDetailAction.do?tilcod=2002222280721</t>
  </si>
  <si>
    <t>https://opac.libnet.pref.okayama.jp/licsxp-opac/WOpacMsgNewListToTifTilDetailAction.do?tilcod=2002222301966</t>
  </si>
  <si>
    <t>https://opac.libnet.pref.okayama.jp/licsxp-opac/WOpacMsgNewListToTifTilDetailAction.do?tilcod=2002222319621</t>
  </si>
  <si>
    <t>https://opac.libnet.pref.okayama.jp/licsxp-opac/WOpacMsgNewListToTifTilDetailAction.do?tilcod=2002222319617</t>
  </si>
  <si>
    <t>https://opac.libnet.pref.okayama.jp/licsxp-opac/WOpacMsgNewListToTifTilDetailAction.do?tilcod=2002222331770</t>
  </si>
  <si>
    <t>https://opac.libnet.pref.okayama.jp/licsxp-opac/WOpacMsgNewListToTifTilDetailAction.do?tilcod=2002222334788</t>
  </si>
  <si>
    <t>https://opac.libnet.pref.okayama.jp/licsxp-opac/WOpacMsgNewListToTifTilDetailAction.do?tilcod=2002222286103</t>
  </si>
  <si>
    <t>https://opac.libnet.pref.okayama.jp/licsxp-opac/WOpacMsgNewListToTifTilDetailAction.do?tilcod=2002222286113</t>
  </si>
  <si>
    <t>https://opac.libnet.pref.okayama.jp/licsxp-opac/WOpacMsgNewListToTifTilDetailAction.do?tilcod=2002222281381</t>
  </si>
  <si>
    <t>https://opac.libnet.pref.okayama.jp/licsxp-opac/WOpacMsgNewListToTifTilDetailAction.do?tilcod=2002222281271</t>
  </si>
  <si>
    <t>https://opac.libnet.pref.okayama.jp/licsxp-opac/WOpacMsgNewListToTifTilDetailAction.do?tilcod=2002222317887</t>
  </si>
  <si>
    <t>https://opac.libnet.pref.okayama.jp/licsxp-opac/WOpacMsgNewListToTifTilDetailAction.do?tilcod=2002222300310</t>
  </si>
  <si>
    <t>https://opac.libnet.pref.okayama.jp/licsxp-opac/WOpacMsgNewListToTifTilDetailAction.do?tilcod=2002222331648</t>
  </si>
  <si>
    <t>https://opac.libnet.pref.okayama.jp/licsxp-opac/WOpacMsgNewListToTifTilDetailAction.do?tilcod=2002222307276</t>
  </si>
  <si>
    <t>https://opac.libnet.pref.okayama.jp/licsxp-opac/WOpacMsgNewListToTifTilDetailAction.do?tilcod=2002222307278</t>
  </si>
  <si>
    <t>https://opac.libnet.pref.okayama.jp/licsxp-opac/WOpacMsgNewListToTifTilDetailAction.do?tilcod=2002222334969</t>
  </si>
  <si>
    <t>https://opac.libnet.pref.okayama.jp/licsxp-opac/WOpacMsgNewListToTifTilDetailAction.do?tilcod=2002222334748</t>
  </si>
  <si>
    <t>https://opac.libnet.pref.okayama.jp/licsxp-opac/WOpacMsgNewListToTifTilDetailAction.do?tilcod=2002222300973</t>
  </si>
  <si>
    <t>https://opac.libnet.pref.okayama.jp/licsxp-opac/WOpacMsgNewListToTifTilDetailAction.do?tilcod=2002222302273</t>
  </si>
  <si>
    <t>https://opac.libnet.pref.okayama.jp/licsxp-opac/WOpacMsgNewListToTifTilDetailAction.do?tilcod=2002222341630</t>
  </si>
  <si>
    <t>https://opac.libnet.pref.okayama.jp/licsxp-opac/WOpacMsgNewListToTifTilDetailAction.do?tilcod=2002222301382</t>
  </si>
  <si>
    <t>https://opac.libnet.pref.okayama.jp/licsxp-opac/WOpacMsgNewListToTifTilDetailAction.do?tilcod=2002222334968</t>
  </si>
  <si>
    <t>https://opac.libnet.pref.okayama.jp/licsxp-opac/WOpacMsgNewListToTifTilDetailAction.do?tilcod=2002222285801</t>
  </si>
  <si>
    <t>https://opac.libnet.pref.okayama.jp/licsxp-opac/WOpacMsgNewListToTifTilDetailAction.do?tilcod=2002222301074</t>
  </si>
  <si>
    <t>https://opac.libnet.pref.okayama.jp/licsxp-opac/WOpacMsgNewListToTifTilDetailAction.do?tilcod=2002222281411</t>
  </si>
  <si>
    <t>https://opac.libnet.pref.okayama.jp/licsxp-opac/WOpacMsgNewListToTifTilDetailAction.do?tilcod=2002222336430</t>
  </si>
  <si>
    <t>https://opac.libnet.pref.okayama.jp/licsxp-opac/WOpacMsgNewListToTifTilDetailAction.do?tilcod=2002222332566</t>
  </si>
  <si>
    <t>https://opac.libnet.pref.okayama.jp/licsxp-opac/WOpacMsgNewListToTifTilDetailAction.do?tilcod=2002222293591</t>
  </si>
  <si>
    <t>https://opac.libnet.pref.okayama.jp/licsxp-opac/WOpacMsgNewListToTifTilDetailAction.do?tilcod=2002222300367</t>
  </si>
  <si>
    <t>https://opac.libnet.pref.okayama.jp/licsxp-opac/WOpacMsgNewListToTifTilDetailAction.do?tilcod=2002222286133</t>
  </si>
  <si>
    <t>https://opac.libnet.pref.okayama.jp/licsxp-opac/WOpacMsgNewListToTifTilDetailAction.do?tilcod=2002222286143</t>
  </si>
  <si>
    <t>https://opac.libnet.pref.okayama.jp/licsxp-opac/WOpacMsgNewListToTifTilDetailAction.do?tilcod=2002222302425</t>
  </si>
  <si>
    <t>https://opac.libnet.pref.okayama.jp/licsxp-opac/WOpacMsgNewListToTifTilDetailAction.do?tilcod=2002222286153</t>
  </si>
  <si>
    <t>https://opac.libnet.pref.okayama.jp/licsxp-opac/WOpacMsgNewListToTifTilDetailAction.do?tilcod=2002222341270</t>
  </si>
  <si>
    <t>https://opac.libnet.pref.okayama.jp/licsxp-opac/WOpacMsgNewListToTifTilDetailAction.do?tilcod=2002222302135</t>
  </si>
  <si>
    <t>https://opac.libnet.pref.okayama.jp/licsxp-opac/WOpacMsgNewListToTifTilDetailAction.do?tilcod=2002222286163</t>
  </si>
  <si>
    <t>https://opac.libnet.pref.okayama.jp/licsxp-opac/WOpacMsgNewListToTifTilDetailAction.do?tilcod=2002222319874</t>
  </si>
  <si>
    <t>https://opac.libnet.pref.okayama.jp/licsxp-opac/WOpacMsgNewListToTifTilDetailAction.do?tilcod=2002222286173</t>
  </si>
  <si>
    <t>https://opac.libnet.pref.okayama.jp/licsxp-opac/WOpacMsgNewListToTifTilDetailAction.do?tilcod=2002222286413</t>
  </si>
  <si>
    <t>https://opac.libnet.pref.okayama.jp/licsxp-opac/WOpacMsgNewListToTifTilDetailAction.do?tilcod=2002222302247</t>
  </si>
  <si>
    <t>https://opac.libnet.pref.okayama.jp/licsxp-opac/WOpacMsgNewListToTifTilDetailAction.do?tilcod=2002222342631</t>
  </si>
  <si>
    <t>https://opac.libnet.pref.okayama.jp/licsxp-opac/WOpacMsgNewListToTifTilDetailAction.do?tilcod=2002222286183</t>
  </si>
  <si>
    <t>https://opac.libnet.pref.okayama.jp/licsxp-opac/WOpacMsgNewListToTifTilDetailAction.do?tilcod=2002222302042</t>
  </si>
  <si>
    <t>https://opac.libnet.pref.okayama.jp/licsxp-opac/WOpacMsgNewListToTifTilDetailAction.do?tilcod=2002222285011</t>
  </si>
  <si>
    <t>https://opac.libnet.pref.okayama.jp/licsxp-opac/WOpacMsgNewListToTifTilDetailAction.do?tilcod=2002222286193</t>
  </si>
  <si>
    <t>https://opac.libnet.pref.okayama.jp/licsxp-opac/WOpacMsgNewListToTifTilDetailAction.do?tilcod=2002222336432</t>
  </si>
  <si>
    <t>https://opac.libnet.pref.okayama.jp/licsxp-opac/WOpacMsgNewListToTifTilDetailAction.do?tilcod=2002222336708</t>
  </si>
  <si>
    <t>https://opac.libnet.pref.okayama.jp/licsxp-opac/WOpacMsgNewListToTifTilDetailAction.do?tilcod=2002222281104</t>
  </si>
  <si>
    <t>https://opac.libnet.pref.okayama.jp/licsxp-opac/WOpacMsgNewListToTifTilDetailAction.do?tilcod=2002222281114</t>
  </si>
  <si>
    <t>https://opac.libnet.pref.okayama.jp/licsxp-opac/WOpacMsgNewListToTifTilDetailAction.do?tilcod=2002222319667</t>
  </si>
  <si>
    <t>https://opac.libnet.pref.okayama.jp/licsxp-opac/WOpacMsgNewListToTifTilDetailAction.do?tilcod=2002222301710</t>
  </si>
  <si>
    <t>https://opac.libnet.pref.okayama.jp/licsxp-opac/WOpacMsgNewListToTifTilDetailAction.do?tilcod=2002222332068</t>
  </si>
  <si>
    <t>https://opac.libnet.pref.okayama.jp/licsxp-opac/WOpacMsgNewListToTifTilDetailAction.do?tilcod=2002222301688</t>
  </si>
  <si>
    <t>https://opac.libnet.pref.okayama.jp/licsxp-opac/WOpacMsgNewListToTifTilDetailAction.do?tilcod=2002222301779</t>
  </si>
  <si>
    <t>https://opac.libnet.pref.okayama.jp/licsxp-opac/WOpacMsgNewListToTifTilDetailAction.do?tilcod=2002222291671</t>
  </si>
  <si>
    <t>https://opac.libnet.pref.okayama.jp/licsxp-opac/WOpacMsgNewListToTifTilDetailAction.do?tilcod=2002222301533</t>
  </si>
  <si>
    <t>https://opac.libnet.pref.okayama.jp/licsxp-opac/WOpacMsgNewListToTifTilDetailAction.do?tilcod=2002222282511</t>
  </si>
  <si>
    <t>https://opac.libnet.pref.okayama.jp/licsxp-opac/WOpacMsgNewListToTifTilDetailAction.do?tilcod=2002222288501</t>
  </si>
  <si>
    <t>https://opac.libnet.pref.okayama.jp/licsxp-opac/WOpacMsgNewListToTifTilDetailAction.do?tilcod=2002222287673</t>
  </si>
  <si>
    <t>https://opac.libnet.pref.okayama.jp/licsxp-opac/WOpacMsgNewListToTifTilDetailAction.do?tilcod=2002222286203</t>
  </si>
  <si>
    <t>https://opac.libnet.pref.okayama.jp/licsxp-opac/WOpacMsgNewListToTifTilDetailAction.do?tilcod=2002222284711</t>
  </si>
  <si>
    <t>https://opac.libnet.pref.okayama.jp/licsxp-opac/WOpacMsgNewListToTifTilDetailAction.do?tilcod=2002222287813</t>
  </si>
  <si>
    <t>https://opac.libnet.pref.okayama.jp/licsxp-opac/WOpacMsgNewListToTifTilDetailAction.do?tilcod=2002222282983</t>
  </si>
  <si>
    <t>https://opac.libnet.pref.okayama.jp/licsxp-opac/WOpacMsgNewListToTifTilDetailAction.do?tilcod=2002222301245</t>
  </si>
  <si>
    <t>https://opac.libnet.pref.okayama.jp/licsxp-opac/WOpacMsgNewListToTifTilDetailAction.do?tilcod=2002222300504</t>
  </si>
  <si>
    <t>https://opac.libnet.pref.okayama.jp/licsxp-opac/WOpacMsgNewListToTifTilDetailAction.do?tilcod=2002222301826</t>
  </si>
  <si>
    <t>https://opac.libnet.pref.okayama.jp/licsxp-opac/WOpacMsgNewListToTifTilDetailAction.do?tilcod=2002222285341</t>
  </si>
  <si>
    <t>https://opac.libnet.pref.okayama.jp/licsxp-opac/WOpacMsgNewListToTifTilDetailAction.do?tilcod=2002222300974</t>
  </si>
  <si>
    <t>https://opac.libnet.pref.okayama.jp/licsxp-opac/WOpacMsgNewListToTifTilDetailAction.do?tilcod=2002222293311</t>
  </si>
  <si>
    <t>https://opac.libnet.pref.okayama.jp/licsxp-opac/WOpacMsgNewListToTifTilDetailAction.do?tilcod=2002222302254</t>
  </si>
  <si>
    <t>https://opac.libnet.pref.okayama.jp/licsxp-opac/WOpacMsgNewListToTifTilDetailAction.do?tilcod=2002222286213</t>
  </si>
  <si>
    <t>https://opac.libnet.pref.okayama.jp/licsxp-opac/WOpacMsgNewListToTifTilDetailAction.do?tilcod=2002222333830</t>
  </si>
  <si>
    <t>https://opac.libnet.pref.okayama.jp/licsxp-opac/WOpacMsgNewListToTifTilDetailAction.do?tilcod=2002222286233</t>
  </si>
  <si>
    <t>https://opac.libnet.pref.okayama.jp/licsxp-opac/WOpacMsgNewListToTifTilDetailAction.do?tilcod=2002222281851</t>
  </si>
  <si>
    <t>https://opac.libnet.pref.okayama.jp/licsxp-opac/WOpacMsgNewListToTifTilDetailAction.do?tilcod=2002222285091</t>
  </si>
  <si>
    <t>https://opac.libnet.pref.okayama.jp/licsxp-opac/WOpacMsgNewListToTifTilDetailAction.do?tilcod=2002222282561</t>
  </si>
  <si>
    <t>https://opac.libnet.pref.okayama.jp/licsxp-opac/WOpacMsgNewListToTifTilDetailAction.do?tilcod=2002222286243</t>
  </si>
  <si>
    <t>https://opac.libnet.pref.okayama.jp/licsxp-opac/WOpacMsgNewListToTifTilDetailAction.do?tilcod=2002222301743</t>
  </si>
  <si>
    <t>https://opac.libnet.pref.okayama.jp/licsxp-opac/WOpacMsgNewListToTifTilDetailAction.do?tilcod=2002222302436</t>
  </si>
  <si>
    <t>https://opac.libnet.pref.okayama.jp/licsxp-opac/WOpacMsgNewListToTifTilDetailAction.do?tilcod=2002222293321</t>
  </si>
  <si>
    <t>https://opac.libnet.pref.okayama.jp/licsxp-opac/WOpacMsgNewListToTifTilDetailAction.do?tilcod=2002222336188</t>
  </si>
  <si>
    <t>https://opac.libnet.pref.okayama.jp/licsxp-opac/WOpacMsgNewListToTifTilDetailAction.do?tilcod=2002222300735</t>
  </si>
  <si>
    <t>https://opac.libnet.pref.okayama.jp/licsxp-opac/WOpacMsgNewListToTifTilDetailAction.do?tilcod=2002222326906</t>
  </si>
  <si>
    <t>https://opac.libnet.pref.okayama.jp/licsxp-opac/WOpacMsgNewListToTifTilDetailAction.do?tilcod=2002222328826</t>
  </si>
  <si>
    <t>https://opac.libnet.pref.okayama.jp/licsxp-opac/WOpacMsgNewListToTifTilDetailAction.do?tilcod=2002222286253</t>
  </si>
  <si>
    <t>https://opac.libnet.pref.okayama.jp/licsxp-opac/WOpacMsgNewListToTifTilDetailAction.do?tilcod=2002222338890</t>
  </si>
  <si>
    <t>https://opac.libnet.pref.okayama.jp/licsxp-opac/WOpacMsgNewListToTifTilDetailAction.do?tilcod=2002222286263</t>
  </si>
  <si>
    <t>https://opac.libnet.pref.okayama.jp/licsxp-opac/WOpacMsgNewListToTifTilDetailAction.do?tilcod=2002222280964</t>
  </si>
  <si>
    <t>https://opac.libnet.pref.okayama.jp/licsxp-opac/WOpacMsgNewListToTifTilDetailAction.do?tilcod=2002222281764</t>
  </si>
  <si>
    <t>https://opac.libnet.pref.okayama.jp/licsxp-opac/WOpacMsgNewListToTifTilDetailAction.do?tilcod=2002222281094</t>
  </si>
  <si>
    <t>https://opac.libnet.pref.okayama.jp/licsxp-opac/WOpacMsgNewListToTifTilDetailAction.do?tilcod=2002222286273</t>
  </si>
  <si>
    <t>https://opac.libnet.pref.okayama.jp/licsxp-opac/WOpacMsgNewListToTifTilDetailAction.do?tilcod=2002222286283</t>
  </si>
  <si>
    <t>https://opac.libnet.pref.okayama.jp/licsxp-opac/WOpacMsgNewListToTifTilDetailAction.do?tilcod=2002222329966</t>
  </si>
  <si>
    <t>https://opac.libnet.pref.okayama.jp/licsxp-opac/WOpacMsgNewListToTifTilDetailAction.do?tilcod=2002222301390</t>
  </si>
  <si>
    <t>https://opac.libnet.pref.okayama.jp/licsxp-opac/WOpacMsgNewListToTifTilDetailAction.do?tilcod=2002222282281</t>
  </si>
  <si>
    <t>https://opac.libnet.pref.okayama.jp/licsxp-opac/WOpacMsgNewListToTifTilDetailAction.do?tilcod=2002222333653</t>
  </si>
  <si>
    <t>https://opac.libnet.pref.okayama.jp/licsxp-opac/WOpacMsgNewListToTifTilDetailAction.do?tilcod=2002222286303</t>
  </si>
  <si>
    <t>https://opac.libnet.pref.okayama.jp/licsxp-opac/WOpacMsgNewListToTifTilDetailAction.do?tilcod=2002222307274</t>
  </si>
  <si>
    <t>https://opac.libnet.pref.okayama.jp/licsxp-opac/WOpacMsgNewListToTifTilDetailAction.do?tilcod=2002222286313</t>
  </si>
  <si>
    <t>https://opac.libnet.pref.okayama.jp/licsxp-opac/WOpacMsgNewListToTifTilDetailAction.do?tilcod=2002222341350</t>
  </si>
  <si>
    <t>https://opac.libnet.pref.okayama.jp/licsxp-opac/WOpacMsgNewListToTifTilDetailAction.do?tilcod=2002222342930</t>
  </si>
  <si>
    <t>https://opac.libnet.pref.okayama.jp/licsxp-opac/WOpacMsgNewListToTifTilDetailAction.do?tilcod=2002222341388</t>
  </si>
  <si>
    <t>https://opac.libnet.pref.okayama.jp/licsxp-opac/WOpacMsgNewListToTifTilDetailAction.do?tilcod=2002222327528</t>
  </si>
  <si>
    <t>https://opac.libnet.pref.okayama.jp/licsxp-opac/WOpacMsgNewListToTifTilDetailAction.do?tilcod=2002222281571</t>
  </si>
  <si>
    <t>https://opac.libnet.pref.okayama.jp/licsxp-opac/WOpacMsgNewListToTifTilDetailAction.do?tilcod=2002222286323</t>
  </si>
  <si>
    <t>https://opac.libnet.pref.okayama.jp/licsxp-opac/WOpacMsgNewListToTifTilDetailAction.do?tilcod=2002222302443</t>
  </si>
  <si>
    <t>https://opac.libnet.pref.okayama.jp/licsxp-opac/WOpacMsgNewListToTifTilDetailAction.do?tilcod=2002222286333</t>
  </si>
  <si>
    <t>https://opac.libnet.pref.okayama.jp/licsxp-opac/WOpacMsgNewListToTifTilDetailAction.do?tilcod=2002222286353</t>
  </si>
  <si>
    <t>https://opac.libnet.pref.okayama.jp/licsxp-opac/WOpacMsgNewListToTifTilDetailAction.do?tilcod=2002222286343</t>
  </si>
  <si>
    <t>https://opac.libnet.pref.okayama.jp/licsxp-opac/WOpacMsgNewListToTifTilDetailAction.do?tilcod=2002222302156</t>
  </si>
  <si>
    <t>https://opac.libnet.pref.okayama.jp/licsxp-opac/WOpacMsgNewListToTifTilDetailAction.do?tilcod=2002222281354</t>
  </si>
  <si>
    <t>https://opac.libnet.pref.okayama.jp/licsxp-opac/WOpacMsgNewListToTifTilDetailAction.do?tilcod=2002222286363</t>
  </si>
  <si>
    <t>https://opac.libnet.pref.okayama.jp/licsxp-opac/WOpacMsgNewListToTifTilDetailAction.do?tilcod=2002222286373</t>
  </si>
  <si>
    <t>https://opac.libnet.pref.okayama.jp/licsxp-opac/WOpacMsgNewListToTifTilDetailAction.do?tilcod=2002222282481</t>
  </si>
  <si>
    <t>https://opac.libnet.pref.okayama.jp/licsxp-opac/WOpacMsgNewListToTifTilDetailAction.do?tilcod=2002222286383</t>
  </si>
  <si>
    <t>https://opac.libnet.pref.okayama.jp/licsxp-opac/WOpacMsgNewListToTifTilDetailAction.do?tilcod=2002222300109</t>
  </si>
  <si>
    <t>https://opac.libnet.pref.okayama.jp/licsxp-opac/WOpacMsgNewListToTifTilDetailAction.do?tilcod=2002222294521</t>
  </si>
  <si>
    <t>https://opac.libnet.pref.okayama.jp/licsxp-opac/WOpacMsgNewListToTifTilDetailAction.do?tilcod=2002222330150</t>
  </si>
  <si>
    <t>https://opac.libnet.pref.okayama.jp/licsxp-opac/WOpacMsgNewListToTifTilDetailAction.do?tilcod=2002222301363</t>
  </si>
  <si>
    <t>https://opac.libnet.pref.okayama.jp/licsxp-opac/WOpacMsgNewListToTifTilDetailAction.do?tilcod=2002222322626</t>
  </si>
  <si>
    <t>https://opac.libnet.pref.okayama.jp/licsxp-opac/WOpacMsgNewListToTifTilDetailAction.do?tilcod=2002222300026</t>
  </si>
  <si>
    <t>https://opac.libnet.pref.okayama.jp/licsxp-opac/WOpacMsgNewListToTifTilDetailAction.do?tilcod=2002222287733</t>
  </si>
  <si>
    <t>https://opac.libnet.pref.okayama.jp/licsxp-opac/WOpacMsgNewListToTifTilDetailAction.do?tilcod=2002222301760</t>
  </si>
  <si>
    <t>https://opac.libnet.pref.okayama.jp/licsxp-opac/WOpacMsgNewListToTifTilDetailAction.do?tilcod=2002222317767</t>
  </si>
  <si>
    <t>https://opac.libnet.pref.okayama.jp/licsxp-opac/WOpacMsgNewListToTifTilDetailAction.do?tilcod=2002222282064</t>
  </si>
  <si>
    <t>https://opac.libnet.pref.okayama.jp/licsxp-opac/WOpacMsgNewListToTifTilDetailAction.do?tilcod=2002222341830</t>
  </si>
  <si>
    <t>https://opac.libnet.pref.okayama.jp/licsxp-opac/WOpacMsgNewListToTifTilDetailAction.do?tilcod=2002222293331</t>
  </si>
  <si>
    <t>https://opac.libnet.pref.okayama.jp/licsxp-opac/WOpacMsgNewListToTifTilDetailAction.do?tilcod=2002222317766</t>
  </si>
  <si>
    <t>https://opac.libnet.pref.okayama.jp/licsxp-opac/WOpacMsgNewListToTifTilDetailAction.do?tilcod=2002222302098</t>
  </si>
  <si>
    <t>https://opac.libnet.pref.okayama.jp/licsxp-opac/WOpacMsgNewListToTifTilDetailAction.do?tilcod=2002222286403</t>
  </si>
  <si>
    <t>https://opac.libnet.pref.okayama.jp/licsxp-opac/WOpacMsgNewListToTifTilDetailAction.do?tilcod=2002222336772</t>
  </si>
  <si>
    <t>https://opac.libnet.pref.okayama.jp/licsxp-opac/WOpacMsgNewListToTifTilDetailAction.do?tilcod=2002222302097</t>
  </si>
  <si>
    <t>https://opac.libnet.pref.okayama.jp/licsxp-opac/WOpacMsgNewListToTifTilDetailAction.do?tilcod=2002222300745</t>
  </si>
  <si>
    <t>https://opac.libnet.pref.okayama.jp/licsxp-opac/WOpacMsgNewListToTifTilDetailAction.do?tilcod=2002222301052</t>
  </si>
  <si>
    <t>https://opac.libnet.pref.okayama.jp/licsxp-opac/WOpacMsgNewListToTifTilDetailAction.do?tilcod=2002222300791</t>
  </si>
  <si>
    <t>https://opac.libnet.pref.okayama.jp/licsxp-opac/WOpacMsgNewListToTifTilDetailAction.do?tilcod=2002222312968</t>
  </si>
  <si>
    <t>https://opac.libnet.pref.okayama.jp/licsxp-opac/WOpacMsgNewListToTifTilDetailAction.do?tilcod=2002222302342</t>
  </si>
  <si>
    <t>https://opac.libnet.pref.okayama.jp/licsxp-opac/WOpacMsgNewListToTifTilDetailAction.do?tilcod=2002222301886</t>
  </si>
  <si>
    <t>https://opac.libnet.pref.okayama.jp/licsxp-opac/WOpacMsgNewListToTifTilDetailAction.do?tilcod=2002222293681</t>
  </si>
  <si>
    <t>https://opac.libnet.pref.okayama.jp/licsxp-opac/WOpacMsgNewListToTifTilDetailAction.do?tilcod=2002222286393</t>
  </si>
  <si>
    <t>https://opac.libnet.pref.okayama.jp/licsxp-opac/WOpacMsgNewListToTifTilDetailAction.do?tilcod=2002222315146</t>
  </si>
  <si>
    <t>https://opac.libnet.pref.okayama.jp/licsxp-opac/WOpacMsgNewListToTifTilDetailAction.do?tilcod=2002222286423</t>
  </si>
  <si>
    <t>https://opac.libnet.pref.okayama.jp/licsxp-opac/WOpacMsgNewListToTifTilDetailAction.do?tilcod=2002222307829</t>
  </si>
  <si>
    <t>https://opac.libnet.pref.okayama.jp/licsxp-opac/WOpacMsgNewListToTifTilDetailAction.do?tilcod=2002222286433</t>
  </si>
  <si>
    <t>https://opac.libnet.pref.okayama.jp/licsxp-opac/WOpacMsgNewListToTifTilDetailAction.do?tilcod=2002222328429</t>
  </si>
  <si>
    <t>https://opac.libnet.pref.okayama.jp/licsxp-opac/WOpacMsgNewListToTifTilDetailAction.do?tilcod=2002222335027</t>
  </si>
  <si>
    <t>https://opac.libnet.pref.okayama.jp/licsxp-opac/WOpacMsgNewListToTifTilDetailAction.do?tilcod=2002222280911</t>
  </si>
  <si>
    <t>https://opac.libnet.pref.okayama.jp/licsxp-opac/WOpacMsgNewListToTifTilDetailAction.do?tilcod=2002222286443</t>
  </si>
  <si>
    <t>https://opac.libnet.pref.okayama.jp/licsxp-opac/WOpacMsgNewListToTifTilDetailAction.do?tilcod=2002222301386</t>
  </si>
  <si>
    <t>https://opac.libnet.pref.okayama.jp/licsxp-opac/WOpacMsgNewListToTifTilDetailAction.do?tilcod=2002222317227</t>
  </si>
  <si>
    <t>https://opac.libnet.pref.okayama.jp/licsxp-opac/WOpacMsgNewListToTifTilDetailAction.do?tilcod=2002222286453</t>
  </si>
  <si>
    <t>https://opac.libnet.pref.okayama.jp/licsxp-opac/WOpacMsgNewListToTifTilDetailAction.do?tilcod=2002222286463</t>
  </si>
  <si>
    <t>https://opac.libnet.pref.okayama.jp/licsxp-opac/WOpacMsgNewListToTifTilDetailAction.do?tilcod=2002222332772</t>
  </si>
  <si>
    <t>https://opac.libnet.pref.okayama.jp/licsxp-opac/WOpacMsgNewListToTifTilDetailAction.do?tilcod=2002222286473</t>
  </si>
  <si>
    <t>https://opac.libnet.pref.okayama.jp/licsxp-opac/WOpacMsgNewListToTifTilDetailAction.do?tilcod=2002222302376</t>
  </si>
  <si>
    <t>https://opac.libnet.pref.okayama.jp/licsxp-opac/WOpacMsgNewListToTifTilDetailAction.do?tilcod=2002222293341</t>
  </si>
  <si>
    <t>https://opac.libnet.pref.okayama.jp/licsxp-opac/WOpacMsgNewListToTifTilDetailAction.do?tilcod=2002222283011</t>
  </si>
  <si>
    <t>https://opac.libnet.pref.okayama.jp/licsxp-opac/WOpacMsgNewListToTifTilDetailAction.do?tilcod=2002222281071</t>
  </si>
  <si>
    <t>https://opac.libnet.pref.okayama.jp/licsxp-opac/WOpacMsgNewListToTifTilDetailAction.do?tilcod=2002222286483</t>
  </si>
  <si>
    <t>https://opac.libnet.pref.okayama.jp/licsxp-opac/WOpacMsgNewListToTifTilDetailAction.do?tilcod=2002222315686</t>
  </si>
  <si>
    <t>https://opac.libnet.pref.okayama.jp/licsxp-opac/WOpacMsgNewListToTifTilDetailAction.do?tilcod=2002222301391</t>
  </si>
  <si>
    <t>https://opac.libnet.pref.okayama.jp/licsxp-opac/WOpacMsgNewListToTifTilDetailAction.do?tilcod=2002222300399</t>
  </si>
  <si>
    <t>https://opac.libnet.pref.okayama.jp/licsxp-opac/WOpacMsgNewListToTifTilDetailAction.do?tilcod=2002222280891</t>
  </si>
  <si>
    <t>https://opac.libnet.pref.okayama.jp/licsxp-opac/WOpacMsgNewListToTifTilDetailAction.do?tilcod=2002222319727</t>
  </si>
  <si>
    <t>https://opac.libnet.pref.okayama.jp/licsxp-opac/WOpacMsgNewListToTifTilDetailAction.do?tilcod=2002222324591</t>
  </si>
  <si>
    <t>https://opac.libnet.pref.okayama.jp/licsxp-opac/WOpacMsgNewListToTifTilDetailAction.do?tilcod=2002222330186</t>
  </si>
  <si>
    <t>https://opac.libnet.pref.okayama.jp/licsxp-opac/WOpacMsgNewListToTifTilDetailAction.do?tilcod=2002222306695</t>
  </si>
  <si>
    <t>https://opac.libnet.pref.okayama.jp/licsxp-opac/WOpacMsgNewListToTifTilDetailAction.do?tilcod=2002222339671</t>
  </si>
  <si>
    <t>https://opac.libnet.pref.okayama.jp/licsxp-opac/WOpacMsgNewListToTifTilDetailAction.do?tilcod=2002222286493</t>
  </si>
  <si>
    <t>https://opac.libnet.pref.okayama.jp/licsxp-opac/WOpacMsgNewListToTifTilDetailAction.do?tilcod=2002222285691</t>
  </si>
  <si>
    <t>https://opac.libnet.pref.okayama.jp/licsxp-opac/WOpacMsgNewListToTifTilDetailAction.do?tilcod=2002222282883</t>
  </si>
  <si>
    <t>https://opac.libnet.pref.okayama.jp/licsxp-opac/WOpacMsgNewListToTifTilDetailAction.do?tilcod=2002222301209</t>
  </si>
  <si>
    <t>https://opac.libnet.pref.okayama.jp/licsxp-opac/WOpacMsgNewListToTifTilDetailAction.do?tilcod=2002222280734</t>
  </si>
  <si>
    <t>https://opac.libnet.pref.okayama.jp/licsxp-opac/WOpacMsgNewListToTifTilDetailAction.do?tilcod=2002222340910</t>
  </si>
  <si>
    <t>https://opac.libnet.pref.okayama.jp/licsxp-opac/WOpacMsgNewListToTifTilDetailAction.do?tilcod=2002222302421</t>
  </si>
  <si>
    <t>https://opac.libnet.pref.okayama.jp/licsxp-opac/WOpacMsgNewListToTifTilDetailAction.do?tilcod=2002222287261</t>
  </si>
  <si>
    <t>https://opac.libnet.pref.okayama.jp/licsxp-opac/WOpacMsgNewListToTifTilDetailAction.do?tilcod=2002222291681</t>
  </si>
  <si>
    <t>https://opac.libnet.pref.okayama.jp/licsxp-opac/WOpacMsgNewListToTifTilDetailAction.do?tilcod=2002222335071</t>
  </si>
  <si>
    <t>https://opac.libnet.pref.okayama.jp/licsxp-opac/WOpacMsgNewListToTifTilDetailAction.do?tilcod=2002222301708</t>
  </si>
  <si>
    <t>https://opac.libnet.pref.okayama.jp/licsxp-opac/WOpacMsgNewListToTifTilDetailAction.do?tilcod=2002222324288</t>
  </si>
  <si>
    <t>https://opac.libnet.pref.okayama.jp/licsxp-opac/WOpacMsgNewListToTifTilDetailAction.do?tilcod=2002222281384</t>
  </si>
  <si>
    <t>https://opac.libnet.pref.okayama.jp/licsxp-opac/WOpacMsgNewListToTifTilDetailAction.do?tilcod=2002222286523</t>
  </si>
  <si>
    <t>https://opac.libnet.pref.okayama.jp/licsxp-opac/WOpacMsgNewListToTifTilDetailAction.do?tilcod=2002222308786</t>
  </si>
  <si>
    <t>https://opac.libnet.pref.okayama.jp/licsxp-opac/WOpacMsgNewListToTifTilDetailAction.do?tilcod=2002222334048</t>
  </si>
  <si>
    <t>https://opac.libnet.pref.okayama.jp/licsxp-opac/WOpacMsgNewListToTifTilDetailAction.do?tilcod=2002222344015</t>
  </si>
  <si>
    <t>https://opac.libnet.pref.okayama.jp/licsxp-opac/WOpacMsgNewListToTifTilDetailAction.do?tilcod=2002222280974</t>
  </si>
  <si>
    <t>https://opac.libnet.pref.okayama.jp/licsxp-opac/WOpacMsgNewListToTifTilDetailAction.do?tilcod=2002222282591</t>
  </si>
  <si>
    <t>https://opac.libnet.pref.okayama.jp/licsxp-opac/WOpacMsgNewListToTifTilDetailAction.do?tilcod=2002222307607</t>
  </si>
  <si>
    <t>https://opac.libnet.pref.okayama.jp/licsxp-opac/WOpacMsgNewListToTifTilDetailAction.do?tilcod=2002222313306</t>
  </si>
  <si>
    <t>https://opac.libnet.pref.okayama.jp/licsxp-opac/WOpacMsgNewListToTifTilDetailAction.do?tilcod=2002222338352</t>
  </si>
  <si>
    <t>https://opac.libnet.pref.okayama.jp/licsxp-opac/WOpacMsgNewListToTifTilDetailAction.do?tilcod=2002222292471</t>
  </si>
  <si>
    <t>https://opac.libnet.pref.okayama.jp/licsxp-opac/WOpacMsgNewListToTifTilDetailAction.do?tilcod=2002222281444</t>
  </si>
  <si>
    <t>https://opac.libnet.pref.okayama.jp/licsxp-opac/WOpacMsgNewListToTifTilDetailAction.do?tilcod=2002222312971</t>
  </si>
  <si>
    <t>https://opac.libnet.pref.okayama.jp/licsxp-opac/WOpacMsgNewListToTifTilDetailAction.do?tilcod=2002222312969</t>
  </si>
  <si>
    <t>https://opac.libnet.pref.okayama.jp/licsxp-opac/WOpacMsgNewListToTifTilDetailAction.do?tilcod=2002222301262</t>
  </si>
  <si>
    <t>https://opac.libnet.pref.okayama.jp/licsxp-opac/WOpacMsgNewListToTifTilDetailAction.do?tilcod=2002222300538</t>
  </si>
  <si>
    <t>https://opac.libnet.pref.okayama.jp/licsxp-opac/WOpacMsgNewListToTifTilDetailAction.do?tilcod=2002222301921</t>
  </si>
  <si>
    <t>https://opac.libnet.pref.okayama.jp/licsxp-opac/WOpacMsgNewListToTifTilDetailAction.do?tilcod=2002222301225</t>
  </si>
  <si>
    <t>https://opac.libnet.pref.okayama.jp/licsxp-opac/WOpacMsgNewListToTifTilDetailAction.do?tilcod=2002222300539</t>
  </si>
  <si>
    <t>https://opac.libnet.pref.okayama.jp/licsxp-opac/WOpacMsgNewListToTifTilDetailAction.do?tilcod=2002222301890</t>
  </si>
  <si>
    <t>https://opac.libnet.pref.okayama.jp/licsxp-opac/WOpacMsgNewListToTifTilDetailAction.do?tilcod=2002222300975</t>
  </si>
  <si>
    <t>https://opac.libnet.pref.okayama.jp/licsxp-opac/WOpacMsgNewListToTifTilDetailAction.do?tilcod=2002222334248</t>
  </si>
  <si>
    <t>https://opac.libnet.pref.okayama.jp/licsxp-opac/WOpacMsgNewListToTifTilDetailAction.do?tilcod=2002222334050</t>
  </si>
  <si>
    <t>https://opac.libnet.pref.okayama.jp/licsxp-opac/WOpacMsgNewListToTifTilDetailAction.do?tilcod=2002222339831</t>
  </si>
  <si>
    <t>https://opac.libnet.pref.okayama.jp/licsxp-opac/WOpacMsgNewListToTifTilDetailAction.do?tilcod=2002222343350</t>
  </si>
  <si>
    <t>https://opac.libnet.pref.okayama.jp/licsxp-opac/WOpacMsgNewListToTifTilDetailAction.do?tilcod=2002222286533</t>
  </si>
  <si>
    <t>https://opac.libnet.pref.okayama.jp/licsxp-opac/WOpacMsgNewListToTifTilDetailAction.do?tilcod=2002222281374</t>
  </si>
  <si>
    <t>https://opac.libnet.pref.okayama.jp/licsxp-opac/WOpacMsgNewListToTifTilDetailAction.do?tilcod=2002222302012</t>
  </si>
  <si>
    <t>https://opac.libnet.pref.okayama.jp/licsxp-opac/WOpacMsgNewListToTifTilDetailAction.do?tilcod=2002222280731</t>
  </si>
  <si>
    <t>https://opac.libnet.pref.okayama.jp/licsxp-opac/WOpacMsgNewListToTifTilDetailAction.do?tilcod=2002222330489</t>
  </si>
  <si>
    <t>https://opac.libnet.pref.okayama.jp/licsxp-opac/WOpacMsgNewListToTifTilDetailAction.do?tilcod=2002222301788</t>
  </si>
  <si>
    <t>https://opac.libnet.pref.okayama.jp/licsxp-opac/WOpacMsgNewListToTifTilDetailAction.do?tilcod=2002222300904</t>
  </si>
  <si>
    <t>https://opac.libnet.pref.okayama.jp/licsxp-opac/WOpacMsgNewListToTifTilDetailAction.do?tilcod=2002222301016</t>
  </si>
  <si>
    <t>https://opac.libnet.pref.okayama.jp/licsxp-opac/WOpacMsgNewListToTifTilDetailAction.do?tilcod=2002222286543</t>
  </si>
  <si>
    <t>https://opac.libnet.pref.okayama.jp/licsxp-opac/WOpacMsgNewListToTifTilDetailAction.do?tilcod=2002222302378</t>
  </si>
  <si>
    <t>https://opac.libnet.pref.okayama.jp/licsxp-opac/WOpacMsgNewListToTifTilDetailAction.do?tilcod=2002222292591</t>
  </si>
  <si>
    <t>https://opac.libnet.pref.okayama.jp/licsxp-opac/WOpacMsgNewListToTifTilDetailAction.do?tilcod=2002222300229</t>
  </si>
  <si>
    <t>https://opac.libnet.pref.okayama.jp/licsxp-opac/WOpacMsgNewListToTifTilDetailAction.do?tilcod=2002222286553</t>
  </si>
  <si>
    <t>https://opac.libnet.pref.okayama.jp/licsxp-opac/WOpacMsgNewListToTifTilDetailAction.do?tilcod=2002222293211</t>
  </si>
  <si>
    <t>https://opac.libnet.pref.okayama.jp/licsxp-opac/WOpacMsgNewListToTifTilDetailAction.do?tilcod=2002222283181</t>
  </si>
  <si>
    <t>https://opac.libnet.pref.okayama.jp/licsxp-opac/WOpacMsgNewListToTifTilDetailAction.do?tilcod=2002222286563</t>
  </si>
  <si>
    <t>https://opac.libnet.pref.okayama.jp/licsxp-opac/WOpacMsgNewListToTifTilDetailAction.do?tilcod=2002222286583</t>
  </si>
  <si>
    <t>https://opac.libnet.pref.okayama.jp/licsxp-opac/WOpacMsgNewListToTifTilDetailAction.do?tilcod=2002222281473</t>
  </si>
  <si>
    <t>https://opac.libnet.pref.okayama.jp/licsxp-opac/WOpacMsgNewListToTifTilDetailAction.do?tilcod=2002222329446</t>
  </si>
  <si>
    <t>https://opac.libnet.pref.okayama.jp/licsxp-opac/WOpacMsgNewListToTifTilDetailAction.do?tilcod=2002222342591</t>
  </si>
  <si>
    <t>https://opac.libnet.pref.okayama.jp/licsxp-opac/WOpacMsgNewListToTifTilDetailAction.do?tilcod=2002222300976</t>
  </si>
  <si>
    <t>https://opac.libnet.pref.okayama.jp/licsxp-opac/WOpacMsgNewListToTifTilDetailAction.do?tilcod=2002222286573</t>
  </si>
  <si>
    <t>https://opac.libnet.pref.okayama.jp/licsxp-opac/WOpacMsgNewListToTifTilDetailAction.do?tilcod=2002222286593</t>
  </si>
  <si>
    <t>https://opac.libnet.pref.okayama.jp/licsxp-opac/WOpacMsgNewListToTifTilDetailAction.do?tilcod=2002222293231</t>
  </si>
  <si>
    <t>https://opac.libnet.pref.okayama.jp/licsxp-opac/WOpacMsgNewListToTifTilDetailAction.do?tilcod=2002222286603</t>
  </si>
  <si>
    <t>https://opac.libnet.pref.okayama.jp/licsxp-opac/WOpacMsgNewListToTifTilDetailAction.do?tilcod=2002222302365</t>
  </si>
  <si>
    <t>https://opac.libnet.pref.okayama.jp/licsxp-opac/WOpacMsgNewListToTifTilDetailAction.do?tilcod=2002222286613</t>
  </si>
  <si>
    <t>https://opac.libnet.pref.okayama.jp/licsxp-opac/WOpacMsgNewListToTifTilDetailAction.do?tilcod=2002222293471</t>
  </si>
  <si>
    <t>https://opac.libnet.pref.okayama.jp/licsxp-opac/WOpacMsgNewListToTifTilDetailAction.do?tilcod=2002222282181</t>
  </si>
  <si>
    <t>https://opac.libnet.pref.okayama.jp/licsxp-opac/WOpacMsgNewListToTifTilDetailAction.do?tilcod=2002222280984</t>
  </si>
  <si>
    <t>https://opac.libnet.pref.okayama.jp/licsxp-opac/WOpacMsgNewListToTifTilDetailAction.do?tilcod=2002222327206</t>
  </si>
  <si>
    <t>https://opac.libnet.pref.okayama.jp/licsxp-opac/WOpacMsgNewListToTifTilDetailAction.do?tilcod=2002222286623</t>
  </si>
  <si>
    <t>https://opac.libnet.pref.okayama.jp/licsxp-opac/WOpacMsgNewListToTifTilDetailAction.do?tilcod=2002222286633</t>
  </si>
  <si>
    <t>https://opac.libnet.pref.okayama.jp/licsxp-opac/WOpacMsgNewListToTifTilDetailAction.do?tilcod=2002222313588</t>
  </si>
  <si>
    <t>https://opac.libnet.pref.okayama.jp/licsxp-opac/WOpacMsgNewListToTifTilDetailAction.do?tilcod=2002222282811</t>
  </si>
  <si>
    <t>https://opac.libnet.pref.okayama.jp/licsxp-opac/WOpacMsgNewListToTifTilDetailAction.do?tilcod=2002222300977</t>
  </si>
  <si>
    <t>https://opac.libnet.pref.okayama.jp/licsxp-opac/WOpacMsgNewListToTifTilDetailAction.do?tilcod=2002222300978</t>
  </si>
  <si>
    <t>https://opac.libnet.pref.okayama.jp/licsxp-opac/WOpacMsgNewListToTifTilDetailAction.do?tilcod=2002222336427</t>
  </si>
  <si>
    <t>https://opac.libnet.pref.okayama.jp/licsxp-opac/WOpacMsgNewListToTifTilDetailAction.do?tilcod=2002222286643</t>
  </si>
  <si>
    <t>https://opac.libnet.pref.okayama.jp/licsxp-opac/WOpacMsgNewListToTifTilDetailAction.do?tilcod=2002222306700</t>
  </si>
  <si>
    <t>https://opac.libnet.pref.okayama.jp/licsxp-opac/WOpacMsgNewListToTifTilDetailAction.do?tilcod=2002222286673</t>
  </si>
  <si>
    <t>https://opac.libnet.pref.okayama.jp/licsxp-opac/WOpacMsgNewListToTifTilDetailAction.do?tilcod=2002222286653</t>
  </si>
  <si>
    <t>https://opac.libnet.pref.okayama.jp/licsxp-opac/WOpacMsgNewListToTifTilDetailAction.do?tilcod=2002222337871</t>
  </si>
  <si>
    <t>https://opac.libnet.pref.okayama.jp/licsxp-opac/WOpacMsgNewListToTifTilDetailAction.do?tilcod=2002222282351</t>
  </si>
  <si>
    <t>https://opac.libnet.pref.okayama.jp/licsxp-opac/WOpacMsgNewListToTifTilDetailAction.do?tilcod=2002222300852</t>
  </si>
  <si>
    <t>https://opac.libnet.pref.okayama.jp/licsxp-opac/WOpacMsgNewListToTifTilDetailAction.do?tilcod=2002222286683</t>
  </si>
  <si>
    <t>https://opac.libnet.pref.okayama.jp/licsxp-opac/WOpacMsgNewListToTifTilDetailAction.do?tilcod=2002222312966</t>
  </si>
  <si>
    <t>https://opac.libnet.pref.okayama.jp/licsxp-opac/WOpacMsgNewListToTifTilDetailAction.do?tilcod=2002222317726</t>
  </si>
  <si>
    <t>https://opac.libnet.pref.okayama.jp/licsxp-opac/WOpacMsgNewListToTifTilDetailAction.do?tilcod=2002222313527</t>
  </si>
  <si>
    <t>https://opac.libnet.pref.okayama.jp/licsxp-opac/WOpacMsgNewListToTifTilDetailAction.do?tilcod=2002222285821</t>
  </si>
  <si>
    <t>https://opac.libnet.pref.okayama.jp/licsxp-opac/WOpacMsgNewListToTifTilDetailAction.do?tilcod=2002222301290</t>
  </si>
  <si>
    <t>https://opac.libnet.pref.okayama.jp/licsxp-opac/WOpacMsgNewListToTifTilDetailAction.do?tilcod=2002222300551</t>
  </si>
  <si>
    <t>https://opac.libnet.pref.okayama.jp/licsxp-opac/WOpacMsgNewListToTifTilDetailAction.do?tilcod=2002222333650</t>
  </si>
  <si>
    <t>https://opac.libnet.pref.okayama.jp/licsxp-opac/WOpacMsgNewListToTifTilDetailAction.do?tilcod=2002222333649</t>
  </si>
  <si>
    <t>https://opac.libnet.pref.okayama.jp/licsxp-opac/WOpacMsgNewListToTifTilDetailAction.do?tilcod=2002222333648</t>
  </si>
  <si>
    <t>https://opac.libnet.pref.okayama.jp/licsxp-opac/WOpacMsgNewListToTifTilDetailAction.do?tilcod=2002222293241</t>
  </si>
  <si>
    <t>https://opac.libnet.pref.okayama.jp/licsxp-opac/WOpacMsgNewListToTifTilDetailAction.do?tilcod=2002222288511</t>
  </si>
  <si>
    <t>https://opac.libnet.pref.okayama.jp/licsxp-opac/WOpacMsgNewListToTifTilDetailAction.do?tilcod=2002222301721</t>
  </si>
  <si>
    <t>https://opac.libnet.pref.okayama.jp/licsxp-opac/WOpacMsgNewListToTifTilDetailAction.do?tilcod=2002222331467</t>
  </si>
  <si>
    <t>https://opac.libnet.pref.okayama.jp/licsxp-opac/WOpacMsgNewListToTifTilDetailAction.do?tilcod=2002222324926</t>
  </si>
  <si>
    <t>https://opac.libnet.pref.okayama.jp/licsxp-opac/WOpacMsgNewListToTifTilDetailAction.do?tilcod=2002222332326</t>
  </si>
  <si>
    <t>https://opac.libnet.pref.okayama.jp/licsxp-opac/WOpacMsgNewListToTifTilDetailAction.do?tilcod=2002222340711</t>
  </si>
  <si>
    <t>https://opac.libnet.pref.okayama.jp/licsxp-opac/WOpacMsgNewListToTifTilDetailAction.do?tilcod=2002222328230</t>
  </si>
  <si>
    <t>https://opac.libnet.pref.okayama.jp/licsxp-opac/WOpacMsgNewListToTifTilDetailAction.do?tilcod=2002222302077</t>
  </si>
  <si>
    <t>https://opac.libnet.pref.okayama.jp/licsxp-opac/WOpacMsgNewListToTifTilDetailAction.do?tilcod=2002222329386</t>
  </si>
  <si>
    <t>https://opac.libnet.pref.okayama.jp/licsxp-opac/WOpacMsgNewListToTifTilDetailAction.do?tilcod=2002222293351</t>
  </si>
  <si>
    <t>https://opac.libnet.pref.okayama.jp/licsxp-opac/WOpacMsgNewListToTifTilDetailAction.do?tilcod=2002222302119</t>
  </si>
  <si>
    <t>https://opac.libnet.pref.okayama.jp/licsxp-opac/WOpacMsgNewListToTifTilDetailAction.do?tilcod=2002222300980</t>
  </si>
  <si>
    <t>https://opac.libnet.pref.okayama.jp/licsxp-opac/WOpacMsgNewListToTifTilDetailAction.do?tilcod=2002222312447</t>
  </si>
  <si>
    <t>https://opac.libnet.pref.okayama.jp/licsxp-opac/WOpacMsgNewListToTifTilDetailAction.do?tilcod=2002222282933</t>
  </si>
  <si>
    <t>https://opac.libnet.pref.okayama.jp/licsxp-opac/WOpacMsgNewListToTifTilDetailAction.do?tilcod=2002222286703</t>
  </si>
  <si>
    <t>https://opac.libnet.pref.okayama.jp/licsxp-opac/WOpacMsgNewListToTifTilDetailAction.do?tilcod=2002222281214</t>
  </si>
  <si>
    <t>https://opac.libnet.pref.okayama.jp/licsxp-opac/WOpacMsgNewListToTifTilDetailAction.do?tilcod=2002222327907</t>
  </si>
  <si>
    <t>https://opac.libnet.pref.okayama.jp/licsxp-opac/WOpacMsgNewListToTifTilDetailAction.do?tilcod=2002222281081</t>
  </si>
  <si>
    <t>https://opac.libnet.pref.okayama.jp/licsxp-opac/WOpacMsgNewListToTifTilDetailAction.do?tilcod=2002222338113</t>
  </si>
  <si>
    <t>https://opac.libnet.pref.okayama.jp/licsxp-opac/WOpacMsgNewListToTifTilDetailAction.do?tilcod=2002222341380</t>
  </si>
  <si>
    <t>https://opac.libnet.pref.okayama.jp/licsxp-opac/WOpacMsgNewListToTifTilDetailAction.do?tilcod=2002222301348</t>
  </si>
  <si>
    <t>https://opac.libnet.pref.okayama.jp/licsxp-opac/WOpacMsgNewListToTifTilDetailAction.do?tilcod=2002222281194</t>
  </si>
  <si>
    <t>https://opac.libnet.pref.okayama.jp/licsxp-opac/WOpacMsgNewListToTifTilDetailAction.do?tilcod=2002222281341</t>
  </si>
  <si>
    <t>https://opac.libnet.pref.okayama.jp/licsxp-opac/WOpacMsgNewListToTifTilDetailAction.do?tilcod=2002222286713</t>
  </si>
  <si>
    <t>https://opac.libnet.pref.okayama.jp/licsxp-opac/WOpacMsgNewListToTifTilDetailAction.do?tilcod=2002222286723</t>
  </si>
  <si>
    <t>https://opac.libnet.pref.okayama.jp/licsxp-opac/WOpacMsgNewListToTifTilDetailAction.do?tilcod=2002222291691</t>
  </si>
  <si>
    <t>https://opac.libnet.pref.okayama.jp/licsxp-opac/WOpacMsgNewListToTifTilDetailAction.do?tilcod=2002222302104</t>
  </si>
  <si>
    <t>https://opac.libnet.pref.okayama.jp/licsxp-opac/WOpacMsgNewListToTifTilDetailAction.do?tilcod=2002222286733</t>
  </si>
  <si>
    <t>https://opac.libnet.pref.okayama.jp/licsxp-opac/WOpacMsgNewListToTifTilDetailAction.do?tilcod=2002222334754</t>
  </si>
  <si>
    <t>https://opac.libnet.pref.okayama.jp/licsxp-opac/WOpacMsgNewListToTifTilDetailAction.do?tilcod=2002222319619</t>
  </si>
  <si>
    <t>https://opac.libnet.pref.okayama.jp/licsxp-opac/WOpacMsgNewListToTifTilDetailAction.do?tilcod=2002222300981</t>
  </si>
  <si>
    <t>https://opac.libnet.pref.okayama.jp/licsxp-opac/WOpacMsgNewListToTifTilDetailAction.do?tilcod=2002222286743</t>
  </si>
  <si>
    <t>https://opac.libnet.pref.okayama.jp/licsxp-opac/WOpacMsgNewListToTifTilDetailAction.do?tilcod=2002222300998</t>
  </si>
  <si>
    <t>https://opac.libnet.pref.okayama.jp/licsxp-opac/WOpacMsgNewListToTifTilDetailAction.do?tilcod=2002222294611</t>
  </si>
  <si>
    <t>https://opac.libnet.pref.okayama.jp/licsxp-opac/WOpacMsgNewListToTifTilDetailAction.do?tilcod=2002222282371</t>
  </si>
  <si>
    <t>https://opac.libnet.pref.okayama.jp/licsxp-opac/WOpacMsgNewListToTifTilDetailAction.do?tilcod=2002222286783</t>
  </si>
  <si>
    <t>https://opac.libnet.pref.okayama.jp/licsxp-opac/WOpacMsgNewListToTifTilDetailAction.do?tilcod=2002222281174</t>
  </si>
  <si>
    <t>https://opac.libnet.pref.okayama.jp/licsxp-opac/WOpacMsgNewListToTifTilDetailAction.do?tilcod=2002222300772</t>
  </si>
  <si>
    <t>https://opac.libnet.pref.okayama.jp/licsxp-opac/WOpacMsgNewListToTifTilDetailAction.do?tilcod=2002222329887</t>
  </si>
  <si>
    <t>https://opac.libnet.pref.okayama.jp/licsxp-opac/WOpacMsgNewListToTifTilDetailAction.do?tilcod=2002222282881</t>
  </si>
  <si>
    <t>https://opac.libnet.pref.okayama.jp/licsxp-opac/WOpacMsgNewListToTifTilDetailAction.do?tilcod=2002222301431</t>
  </si>
  <si>
    <t>https://opac.libnet.pref.okayama.jp/licsxp-opac/WOpacMsgNewListToTifTilDetailAction.do?tilcod=2002222316526</t>
  </si>
  <si>
    <t>https://opac.libnet.pref.okayama.jp/licsxp-opac/WOpacMsgNewListToTifTilDetailAction.do?tilcod=2002222309991</t>
  </si>
  <si>
    <t>https://opac.libnet.pref.okayama.jp/licsxp-opac/WOpacMsgNewListToTifTilDetailAction.do?tilcod=2002222321506</t>
  </si>
  <si>
    <t>https://opac.libnet.pref.okayama.jp/licsxp-opac/WOpacMsgNewListToTifTilDetailAction.do?tilcod=2002222286763</t>
  </si>
  <si>
    <t>https://opac.libnet.pref.okayama.jp/licsxp-opac/WOpacMsgNewListToTifTilDetailAction.do?tilcod=2002222282973</t>
  </si>
  <si>
    <t>https://opac.libnet.pref.okayama.jp/licsxp-opac/WOpacMsgNewListToTifTilDetailAction.do?tilcod=2002222283261</t>
  </si>
  <si>
    <t>https://opac.libnet.pref.okayama.jp/licsxp-opac/WOpacMsgNewListToTifTilDetailAction.do?tilcod=2002222286773</t>
  </si>
  <si>
    <t>https://opac.libnet.pref.okayama.jp/licsxp-opac/WOpacMsgNewListToTifTilDetailAction.do?tilcod=2002222327226</t>
  </si>
  <si>
    <t>https://opac.libnet.pref.okayama.jp/licsxp-opac/WOpacMsgNewListToTifTilDetailAction.do?tilcod=2002222319873</t>
  </si>
  <si>
    <t>https://opac.libnet.pref.okayama.jp/licsxp-opac/WOpacMsgNewListToTifTilDetailAction.do?tilcod=2002222334067</t>
  </si>
  <si>
    <t>https://opac.libnet.pref.okayama.jp/licsxp-opac/WOpacMsgNewListToTifTilDetailAction.do?tilcod=2002222302381</t>
  </si>
  <si>
    <t>https://opac.libnet.pref.okayama.jp/licsxp-opac/WOpacMsgNewListToTifTilDetailAction.do?tilcod=2002222301347</t>
  </si>
  <si>
    <t>https://opac.libnet.pref.okayama.jp/licsxp-opac/WOpacMsgNewListToTifTilDetailAction.do?tilcod=2002222302377</t>
  </si>
  <si>
    <t>https://opac.libnet.pref.okayama.jp/licsxp-opac/WOpacMsgNewListToTifTilDetailAction.do?tilcod=2002222293551</t>
  </si>
  <si>
    <t>https://opac.libnet.pref.okayama.jp/licsxp-opac/WOpacMsgNewListToTifTilDetailAction.do?tilcod=2002222286101</t>
  </si>
  <si>
    <t>https://opac.libnet.pref.okayama.jp/licsxp-opac/WOpacMsgNewListToTifTilDetailAction.do?tilcod=2002222330309</t>
  </si>
  <si>
    <t>https://opac.libnet.pref.okayama.jp/licsxp-opac/WOpacMsgNewListToTifTilDetailAction.do?tilcod=2002222301644</t>
  </si>
  <si>
    <t>https://opac.libnet.pref.okayama.jp/licsxp-opac/WOpacMsgNewListToTifTilDetailAction.do?tilcod=2002222287713</t>
  </si>
  <si>
    <t>https://opac.libnet.pref.okayama.jp/licsxp-opac/WOpacMsgNewListToTifTilDetailAction.do?tilcod=2002222287451</t>
  </si>
  <si>
    <t>https://opac.libnet.pref.okayama.jp/licsxp-opac/WOpacMsgNewListToTifTilDetailAction.do?tilcod=2002222287001</t>
  </si>
  <si>
    <t>https://opac.libnet.pref.okayama.jp/licsxp-opac/WOpacMsgNewListToTifTilDetailAction.do?tilcod=2002222286803</t>
  </si>
  <si>
    <t>https://opac.libnet.pref.okayama.jp/licsxp-opac/WOpacMsgNewListToTifTilDetailAction.do?tilcod=2002222282903</t>
  </si>
  <si>
    <t>https://opac.libnet.pref.okayama.jp/licsxp-opac/WOpacMsgNewListToTifTilDetailAction.do?tilcod=2002222293371</t>
  </si>
  <si>
    <t>https://opac.libnet.pref.okayama.jp/licsxp-opac/WOpacMsgNewListToTifTilDetailAction.do?tilcod=2002222293361</t>
  </si>
  <si>
    <t>https://opac.libnet.pref.okayama.jp/licsxp-opac/WOpacMsgNewListToTifTilDetailAction.do?tilcod=2002222282953</t>
  </si>
  <si>
    <t>https://opac.libnet.pref.okayama.jp/licsxp-opac/WOpacMsgNewListToTifTilDetailAction.do?tilcod=2002222301369</t>
  </si>
  <si>
    <t>https://opac.libnet.pref.okayama.jp/licsxp-opac/WOpacMsgNewListToTifTilDetailAction.do?tilcod=2002222286813</t>
  </si>
  <si>
    <t>https://opac.libnet.pref.okayama.jp/licsxp-opac/WOpacMsgNewListToTifTilDetailAction.do?tilcod=2002222286823</t>
  </si>
  <si>
    <t>https://opac.libnet.pref.okayama.jp/licsxp-opac/WOpacMsgNewListToTifTilDetailAction.do?tilcod=2002222280761</t>
  </si>
  <si>
    <t>https://opac.libnet.pref.okayama.jp/licsxp-opac/WOpacMsgNewListToTifTilDetailAction.do?tilcod=2002222302335</t>
  </si>
  <si>
    <t>https://opac.libnet.pref.okayama.jp/licsxp-opac/WOpacMsgNewListToTifTilDetailAction.do?tilcod=2002222288033</t>
  </si>
  <si>
    <t>https://opac.libnet.pref.okayama.jp/licsxp-opac/WOpacMsgNewListToTifTilDetailAction.do?tilcod=2002222294141</t>
  </si>
  <si>
    <t>https://opac.libnet.pref.okayama.jp/licsxp-opac/WOpacMsgNewListToTifTilDetailAction.do?tilcod=2002222293391</t>
  </si>
  <si>
    <t>https://opac.libnet.pref.okayama.jp/licsxp-opac/WOpacMsgNewListToTifTilDetailAction.do?tilcod=2002222293401</t>
  </si>
  <si>
    <t>https://opac.libnet.pref.okayama.jp/licsxp-opac/WOpacMsgNewListToTifTilDetailAction.do?tilcod=2002222300896</t>
  </si>
  <si>
    <t>https://opac.libnet.pref.okayama.jp/licsxp-opac/WOpacMsgNewListToTifTilDetailAction.do?tilcod=2002222300897</t>
  </si>
  <si>
    <t>https://opac.libnet.pref.okayama.jp/licsxp-opac/WOpacMsgNewListToTifTilDetailAction.do?tilcod=2002222322087</t>
  </si>
  <si>
    <t>https://opac.libnet.pref.okayama.jp/licsxp-opac/WOpacMsgNewListToTifTilDetailAction.do?tilcod=2002222285591</t>
  </si>
  <si>
    <t>https://opac.libnet.pref.okayama.jp/licsxp-opac/WOpacMsgNewListToTifTilDetailAction.do?tilcod=2002222285311</t>
  </si>
  <si>
    <t>https://opac.libnet.pref.okayama.jp/licsxp-opac/WOpacMsgNewListToTifTilDetailAction.do?tilcod=2002222282391</t>
  </si>
  <si>
    <t>https://opac.libnet.pref.okayama.jp/licsxp-opac/WOpacMsgNewListToTifTilDetailAction.do?tilcod=2002222302155</t>
  </si>
  <si>
    <t>https://opac.libnet.pref.okayama.jp/licsxp-opac/WOpacMsgNewListToTifTilDetailAction.do?tilcod=2002222286863</t>
  </si>
  <si>
    <t>https://opac.libnet.pref.okayama.jp/licsxp-opac/WOpacMsgNewListToTifTilDetailAction.do?tilcod=2002222286873</t>
  </si>
  <si>
    <t>https://opac.libnet.pref.okayama.jp/licsxp-opac/WOpacMsgNewListToTifTilDetailAction.do?tilcod=2002222291701</t>
  </si>
  <si>
    <t>https://opac.libnet.pref.okayama.jp/licsxp-opac/WOpacMsgNewListToTifTilDetailAction.do?tilcod=2002222291711</t>
  </si>
  <si>
    <t>https://opac.libnet.pref.okayama.jp/licsxp-opac/WOpacMsgNewListToTifTilDetailAction.do?tilcod=2002222286883</t>
  </si>
  <si>
    <t>https://opac.libnet.pref.okayama.jp/licsxp-opac/WOpacMsgNewListToTifTilDetailAction.do?tilcod=2002222342630</t>
  </si>
  <si>
    <t>https://opac.libnet.pref.okayama.jp/licsxp-opac/WOpacMsgNewListToTifTilDetailAction.do?tilcod=2002222301843</t>
  </si>
  <si>
    <t>https://opac.libnet.pref.okayama.jp/licsxp-opac/WOpacMsgNewListToTifTilDetailAction.do?tilcod=2002222281034</t>
  </si>
  <si>
    <t>https://opac.libnet.pref.okayama.jp/licsxp-opac/WOpacMsgNewListToTifTilDetailAction.do?tilcod=2002222286893</t>
  </si>
  <si>
    <t>https://opac.libnet.pref.okayama.jp/licsxp-opac/WOpacMsgNewListToTifTilDetailAction.do?tilcod=2002222286923</t>
  </si>
  <si>
    <t>https://opac.libnet.pref.okayama.jp/licsxp-opac/WOpacMsgNewListToTifTilDetailAction.do?tilcod=2002222293411</t>
  </si>
  <si>
    <t>https://opac.libnet.pref.okayama.jp/licsxp-opac/WOpacMsgNewListToTifTilDetailAction.do?tilcod=2002222286933</t>
  </si>
  <si>
    <t>https://opac.libnet.pref.okayama.jp/licsxp-opac/WOpacMsgNewListToTifTilDetailAction.do?tilcod=2002222282941</t>
  </si>
  <si>
    <t>https://opac.libnet.pref.okayama.jp/licsxp-opac/WOpacMsgNewListToTifTilDetailAction.do?tilcod=2002222293421</t>
  </si>
  <si>
    <t>https://opac.libnet.pref.okayama.jp/licsxp-opac/WOpacMsgNewListToTifTilDetailAction.do?tilcod=2002222282311</t>
  </si>
  <si>
    <t>https://opac.libnet.pref.okayama.jp/licsxp-opac/WOpacMsgNewListToTifTilDetailAction.do?tilcod=2002222291721</t>
  </si>
  <si>
    <t>https://opac.libnet.pref.okayama.jp/licsxp-opac/WOpacMsgNewListToTifTilDetailAction.do?tilcod=2002222286943</t>
  </si>
  <si>
    <t>https://opac.libnet.pref.okayama.jp/licsxp-opac/WOpacMsgNewListToTifTilDetailAction.do?tilcod=2002222287683</t>
  </si>
  <si>
    <t>https://opac.libnet.pref.okayama.jp/licsxp-opac/WOpacMsgNewListToTifTilDetailAction.do?tilcod=2002222293431</t>
  </si>
  <si>
    <t>https://opac.libnet.pref.okayama.jp/licsxp-opac/WOpacMsgNewListToTifTilDetailAction.do?tilcod=2002222300753</t>
  </si>
  <si>
    <t>https://opac.libnet.pref.okayama.jp/licsxp-opac/WOpacMsgNewListToTifTilDetailAction.do?tilcod=2002222301134</t>
  </si>
  <si>
    <t>https://opac.libnet.pref.okayama.jp/licsxp-opac/WOpacMsgNewListToTifTilDetailAction.do?tilcod=2002222293441</t>
  </si>
  <si>
    <t>https://opac.libnet.pref.okayama.jp/licsxp-opac/WOpacMsgNewListToTifTilDetailAction.do?tilcod=2002222286953</t>
  </si>
  <si>
    <t>https://opac.libnet.pref.okayama.jp/licsxp-opac/WOpacMsgNewListToTifTilDetailAction.do?tilcod=2002222286963</t>
  </si>
  <si>
    <t>https://opac.libnet.pref.okayama.jp/licsxp-opac/WOpacMsgNewListToTifTilDetailAction.do?tilcod=2002222285861</t>
  </si>
  <si>
    <t>https://opac.libnet.pref.okayama.jp/licsxp-opac/WOpacMsgNewListToTifTilDetailAction.do?tilcod=2002222300383</t>
  </si>
  <si>
    <t>https://opac.libnet.pref.okayama.jp/licsxp-opac/WOpacMsgNewListToTifTilDetailAction.do?tilcod=2002222285781</t>
  </si>
  <si>
    <t>https://opac.libnet.pref.okayama.jp/licsxp-opac/WOpacMsgNewListToTifTilDetailAction.do?tilcod=2002222300341</t>
  </si>
  <si>
    <t>https://opac.libnet.pref.okayama.jp/licsxp-opac/WOpacMsgNewListToTifTilDetailAction.do?tilcod=2002222326886</t>
  </si>
  <si>
    <t>https://opac.libnet.pref.okayama.jp/licsxp-opac/WOpacMsgNewListToTifTilDetailAction.do?tilcod=2002222331927</t>
  </si>
  <si>
    <t>https://opac.libnet.pref.okayama.jp/licsxp-opac/WOpacMsgNewListToTifTilDetailAction.do?tilcod=2002222286973</t>
  </si>
  <si>
    <t>https://opac.libnet.pref.okayama.jp/licsxp-opac/WOpacMsgNewListToTifTilDetailAction.do?tilcod=2002222301274</t>
  </si>
  <si>
    <t>https://opac.libnet.pref.okayama.jp/licsxp-opac/WOpacMsgNewListToTifTilDetailAction.do?tilcod=2002222300584</t>
  </si>
  <si>
    <t>https://opac.libnet.pref.okayama.jp/licsxp-opac/WOpacMsgNewListToTifTilDetailAction.do?tilcod=2002222322726</t>
  </si>
  <si>
    <t>https://opac.libnet.pref.okayama.jp/licsxp-opac/WOpacMsgNewListToTifTilDetailAction.do?tilcod=2002222306143</t>
  </si>
  <si>
    <t>https://opac.libnet.pref.okayama.jp/licsxp-opac/WOpacMsgNewListToTifTilDetailAction.do?tilcod=2002222300982</t>
  </si>
  <si>
    <t>https://opac.libnet.pref.okayama.jp/licsxp-opac/WOpacMsgNewListToTifTilDetailAction.do?tilcod=2002222335530</t>
  </si>
  <si>
    <t>https://opac.libnet.pref.okayama.jp/licsxp-opac/WOpacMsgNewListToTifTilDetailAction.do?tilcod=2002222302459</t>
  </si>
  <si>
    <t>https://opac.libnet.pref.okayama.jp/licsxp-opac/WOpacMsgNewListToTifTilDetailAction.do?tilcod=2002222286983</t>
  </si>
  <si>
    <t>https://opac.libnet.pref.okayama.jp/licsxp-opac/WOpacMsgNewListToTifTilDetailAction.do?tilcod=2002222281501</t>
  </si>
  <si>
    <t>https://opac.libnet.pref.okayama.jp/licsxp-opac/WOpacMsgNewListToTifTilDetailAction.do?tilcod=2002222293461</t>
  </si>
  <si>
    <t>https://opac.libnet.pref.okayama.jp/licsxp-opac/WOpacMsgNewListToTifTilDetailAction.do?tilcod=2002222280934</t>
  </si>
  <si>
    <t>https://opac.libnet.pref.okayama.jp/licsxp-opac/WOpacMsgNewListToTifTilDetailAction.do?tilcod=2002222300898</t>
  </si>
  <si>
    <t>https://opac.libnet.pref.okayama.jp/licsxp-opac/WOpacMsgNewListToTifTilDetailAction.do?tilcod=2002222282131</t>
  </si>
  <si>
    <t>https://opac.libnet.pref.okayama.jp/licsxp-opac/WOpacMsgNewListToTifTilDetailAction.do?tilcod=2002222334755</t>
  </si>
  <si>
    <t>https://opac.libnet.pref.okayama.jp/licsxp-opac/WOpacMsgNewListToTifTilDetailAction.do?tilcod=2002222343633</t>
  </si>
  <si>
    <t>https://opac.libnet.pref.okayama.jp/licsxp-opac/WOpacMsgNewListToTifTilDetailAction.do?tilcod=2002222332128</t>
  </si>
  <si>
    <t>https://opac.libnet.pref.okayama.jp/licsxp-opac/WOpacMsgNewListToTifTilDetailAction.do?tilcod=2002222286993</t>
  </si>
  <si>
    <t>https://opac.libnet.pref.okayama.jp/licsxp-opac/WOpacMsgNewListToTifTilDetailAction.do?tilcod=2002222301075</t>
  </si>
  <si>
    <t>https://opac.libnet.pref.okayama.jp/licsxp-opac/WOpacMsgNewListToTifTilDetailAction.do?tilcod=2002222324289</t>
  </si>
  <si>
    <t>https://opac.libnet.pref.okayama.jp/licsxp-opac/WOpacMsgNewListToTifTilDetailAction.do?tilcod=2002222282361</t>
  </si>
  <si>
    <t>https://opac.libnet.pref.okayama.jp/licsxp-opac/WOpacMsgNewListToTifTilDetailAction.do?tilcod=2002222288003</t>
  </si>
  <si>
    <t>https://opac.libnet.pref.okayama.jp/licsxp-opac/WOpacMsgNewListToTifTilDetailAction.do?tilcod=2002222288013</t>
  </si>
  <si>
    <t>https://opac.libnet.pref.okayama.jp/licsxp-opac/WOpacMsgNewListToTifTilDetailAction.do?tilcod=2002222300658</t>
  </si>
  <si>
    <t>https://opac.libnet.pref.okayama.jp/licsxp-opac/WOpacMsgNewListToTifTilDetailAction.do?tilcod=2002222280954</t>
  </si>
  <si>
    <t>https://opac.libnet.pref.okayama.jp/licsxp-opac/WOpacMsgNewListToTifTilDetailAction.do?tilcod=2002222288023</t>
  </si>
  <si>
    <t>https://opac.libnet.pref.okayama.jp/licsxp-opac/WOpacMsgNewListToTifTilDetailAction.do?tilcod=2002222294121</t>
  </si>
  <si>
    <t>https://opac.libnet.pref.okayama.jp/licsxp-opac/WOpacMsgNewListToTifTilDetailAction.do?tilcod=2002222334826</t>
  </si>
  <si>
    <t>https://opac.libnet.pref.okayama.jp/licsxp-opac/WOpacMsgNewListToTifTilDetailAction.do?tilcod=2002222284891</t>
  </si>
  <si>
    <t>https://opac.libnet.pref.okayama.jp/licsxp-opac/WOpacMsgNewListToTifTilDetailAction.do?tilcod=2002222301512</t>
  </si>
  <si>
    <t>https://opac.libnet.pref.okayama.jp/licsxp-opac/WOpacMsgNewListToTifTilDetailAction.do?tilcod=2002222302338</t>
  </si>
  <si>
    <t>https://opac.libnet.pref.okayama.jp/licsxp-opac/WOpacMsgNewListToTifTilDetailAction.do?tilcod=2002222288043</t>
  </si>
  <si>
    <t>https://opac.libnet.pref.okayama.jp/licsxp-opac/WOpacMsgNewListToTifTilDetailAction.do?tilcod=2002222288053</t>
  </si>
  <si>
    <t>https://opac.libnet.pref.okayama.jp/licsxp-opac/WOpacMsgNewListToTifTilDetailAction.do?tilcod=2002222331508</t>
  </si>
  <si>
    <t>https://opac.libnet.pref.okayama.jp/licsxp-opac/WOpacMsgNewListToTifTilDetailAction.do?tilcod=2002222301093</t>
  </si>
  <si>
    <t>https://opac.libnet.pref.okayama.jp/licsxp-opac/WOpacMsgNewListToTifTilDetailAction.do?tilcod=2002222301585</t>
  </si>
  <si>
    <t>https://opac.libnet.pref.okayama.jp/licsxp-opac/WOpacMsgNewListToTifTilDetailAction.do?tilcod=2002222300257</t>
  </si>
  <si>
    <t>https://opac.libnet.pref.okayama.jp/licsxp-opac/WOpacMsgNewListToTifTilDetailAction.do?tilcod=2002222309886</t>
  </si>
  <si>
    <t>https://opac.libnet.pref.okayama.jp/licsxp-opac/WOpacMsgNewListToTifTilDetailAction.do?tilcod=2002222301481</t>
  </si>
  <si>
    <t>https://opac.libnet.pref.okayama.jp/licsxp-opac/WOpacMsgNewListToTifTilDetailAction.do?tilcod=2002222302070</t>
  </si>
  <si>
    <t>https://opac.libnet.pref.okayama.jp/licsxp-opac/WOpacMsgNewListToTifTilDetailAction.do?tilcod=2002222302071</t>
  </si>
  <si>
    <t>https://opac.libnet.pref.okayama.jp/licsxp-opac/WOpacMsgNewListToTifTilDetailAction.do?tilcod=2002222302114</t>
  </si>
  <si>
    <t>https://opac.libnet.pref.okayama.jp/licsxp-opac/WOpacMsgNewListToTifTilDetailAction.do?tilcod=2002222339691</t>
  </si>
  <si>
    <t>https://opac.libnet.pref.okayama.jp/licsxp-opac/WOpacMsgNewListToTifTilDetailAction.do?tilcod=2002222294871</t>
  </si>
  <si>
    <t>https://opac.libnet.pref.okayama.jp/licsxp-opac/WOpacMsgNewListToTifTilDetailAction.do?tilcod=2002222291731</t>
  </si>
  <si>
    <t>https://opac.libnet.pref.okayama.jp/licsxp-opac/WOpacMsgNewListToTifTilDetailAction.do?tilcod=2002222288063</t>
  </si>
  <si>
    <t>https://opac.libnet.pref.okayama.jp/licsxp-opac/WOpacMsgNewListToTifTilDetailAction.do?tilcod=2002222288073</t>
  </si>
  <si>
    <t>https://opac.libnet.pref.okayama.jp/licsxp-opac/WOpacMsgNewListToTifTilDetailAction.do?tilcod=2002222309326</t>
  </si>
  <si>
    <t>https://opac.libnet.pref.okayama.jp/licsxp-opac/WOpacMsgNewListToTifTilDetailAction.do?tilcod=2002222288083</t>
  </si>
  <si>
    <t>https://opac.libnet.pref.okayama.jp/licsxp-opac/WOpacMsgNewListToTifTilDetailAction.do?tilcod=2002222288093</t>
  </si>
  <si>
    <t>https://opac.libnet.pref.okayama.jp/licsxp-opac/WOpacMsgNewListToTifTilDetailAction.do?tilcod=2002222288103</t>
  </si>
  <si>
    <t>https://opac.libnet.pref.okayama.jp/licsxp-opac/WOpacMsgNewListToTifTilDetailAction.do?tilcod=2002222288113</t>
  </si>
  <si>
    <t>https://opac.libnet.pref.okayama.jp/licsxp-opac/WOpacMsgNewListToTifTilDetailAction.do?tilcod=2002222281811</t>
  </si>
  <si>
    <t>https://opac.libnet.pref.okayama.jp/licsxp-opac/WOpacMsgNewListToTifTilDetailAction.do?tilcod=2002222325348</t>
  </si>
  <si>
    <t>https://opac.libnet.pref.okayama.jp/licsxp-opac/WOpacMsgNewListToTifTilDetailAction.do?tilcod=2002222281594</t>
  </si>
  <si>
    <t>https://opac.libnet.pref.okayama.jp/licsxp-opac/WOpacMsgNewListToTifTilDetailAction.do?tilcod=2002222285111</t>
  </si>
  <si>
    <t>https://opac.libnet.pref.okayama.jp/licsxp-opac/WOpacMsgNewListToTifTilDetailAction.do?tilcod=2002222338850</t>
  </si>
  <si>
    <t>https://opac.libnet.pref.okayama.jp/licsxp-opac/WOpacMsgNewListToTifTilDetailAction.do?tilcod=2002222288123</t>
  </si>
  <si>
    <t>https://opac.libnet.pref.okayama.jp/licsxp-opac/WOpacMsgNewListToTifTilDetailAction.do?tilcod=2002222288133</t>
  </si>
  <si>
    <t>https://opac.libnet.pref.okayama.jp/licsxp-opac/WOpacMsgNewListToTifTilDetailAction.do?tilcod=2002222288143</t>
  </si>
  <si>
    <t>https://opac.libnet.pref.okayama.jp/licsxp-opac/WOpacMsgNewListToTifTilDetailAction.do?tilcod=2002222285811</t>
  </si>
  <si>
    <t>https://opac.libnet.pref.okayama.jp/licsxp-opac/WOpacMsgNewListToTifTilDetailAction.do?tilcod=2002222301968</t>
  </si>
  <si>
    <t>https://opac.libnet.pref.okayama.jp/licsxp-opac/WOpacMsgNewListToTifTilDetailAction.do?tilcod=2002222301200</t>
  </si>
  <si>
    <t>https://opac.libnet.pref.okayama.jp/licsxp-opac/WOpacMsgNewListToTifTilDetailAction.do?tilcod=2002222300724</t>
  </si>
  <si>
    <t>https://opac.libnet.pref.okayama.jp/licsxp-opac/WOpacMsgNewListToTifTilDetailAction.do?tilcod=2002222329607</t>
  </si>
  <si>
    <t>https://opac.libnet.pref.okayama.jp/licsxp-opac/WOpacMsgNewListToTifTilDetailAction.do?tilcod=2002222288163</t>
  </si>
  <si>
    <t>https://opac.libnet.pref.okayama.jp/licsxp-opac/WOpacMsgNewListToTifTilDetailAction.do?tilcod=2002222288153</t>
  </si>
  <si>
    <t>https://opac.libnet.pref.okayama.jp/licsxp-opac/WOpacMsgNewListToTifTilDetailAction.do?tilcod=2002222338910</t>
  </si>
  <si>
    <t>https://opac.libnet.pref.okayama.jp/licsxp-opac/WOpacMsgNewListToTifTilDetailAction.do?tilcod=2002222293701</t>
  </si>
  <si>
    <t>https://opac.libnet.pref.okayama.jp/licsxp-opac/WOpacMsgNewListToTifTilDetailAction.do?tilcod=2002222325386</t>
  </si>
  <si>
    <t>https://opac.libnet.pref.okayama.jp/licsxp-opac/WOpacMsgNewListToTifTilDetailAction.do?tilcod=2002222288173</t>
  </si>
  <si>
    <t>https://opac.libnet.pref.okayama.jp/licsxp-opac/WOpacMsgNewListToTifTilDetailAction.do?tilcod=2002222327527</t>
  </si>
  <si>
    <t>https://opac.libnet.pref.okayama.jp/licsxp-opac/WOpacMsgNewListToTifTilDetailAction.do?tilcod=2002222288183</t>
  </si>
  <si>
    <t>https://opac.libnet.pref.okayama.jp/licsxp-opac/WOpacMsgNewListToTifTilDetailAction.do?tilcod=2002222318087</t>
  </si>
  <si>
    <t>https://opac.libnet.pref.okayama.jp/licsxp-opac/WOpacMsgNewListToTifTilDetailAction.do?tilcod=2002222337091</t>
  </si>
  <si>
    <t>https://opac.libnet.pref.okayama.jp/licsxp-opac/WOpacMsgNewListToTifTilDetailAction.do?tilcod=2002222288193</t>
  </si>
  <si>
    <t>https://opac.libnet.pref.okayama.jp/licsxp-opac/WOpacMsgNewListToTifTilDetailAction.do?tilcod=2002222288203</t>
  </si>
  <si>
    <t>https://opac.libnet.pref.okayama.jp/licsxp-opac/WOpacMsgNewListToTifTilDetailAction.do?tilcod=2002222288213</t>
  </si>
  <si>
    <t>https://opac.libnet.pref.okayama.jp/licsxp-opac/WOpacMsgNewListToTifTilDetailAction.do?tilcod=2002222335607</t>
  </si>
  <si>
    <t>https://opac.libnet.pref.okayama.jp/licsxp-opac/WOpacMsgNewListToTifTilDetailAction.do?tilcod=2002222280944</t>
  </si>
  <si>
    <t>https://opac.libnet.pref.okayama.jp/licsxp-opac/WOpacMsgNewListToTifTilDetailAction.do?tilcod=2002222288223</t>
  </si>
  <si>
    <t>https://opac.libnet.pref.okayama.jp/licsxp-opac/WOpacMsgNewListToTifTilDetailAction.do?tilcod=2002222325026</t>
  </si>
  <si>
    <t>https://opac.libnet.pref.okayama.jp/licsxp-opac/WOpacMsgNewListToTifTilDetailAction.do?tilcod=2002222301771</t>
  </si>
  <si>
    <t>2024/6/14現在</t>
    <rPh sb="9" eb="11">
      <t>ゲンザイ</t>
    </rPh>
    <phoneticPr fontId="18"/>
  </si>
  <si>
    <t>該当URL</t>
    <rPh sb="0" eb="2">
      <t>ガイトウ</t>
    </rPh>
    <phoneticPr fontId="18"/>
  </si>
  <si>
    <t>岡山県立図書館所蔵　郷土雑誌・郷土新聞タイトル一覧</t>
    <rPh sb="0" eb="4">
      <t>オカヤマケンリツ</t>
    </rPh>
    <rPh sb="4" eb="7">
      <t>トショカン</t>
    </rPh>
    <rPh sb="7" eb="9">
      <t>ショゾウ</t>
    </rPh>
    <rPh sb="10" eb="12">
      <t>キョウド</t>
    </rPh>
    <rPh sb="12" eb="14">
      <t>ザッシ</t>
    </rPh>
    <rPh sb="15" eb="17">
      <t>キョウド</t>
    </rPh>
    <rPh sb="17" eb="19">
      <t>シンブン</t>
    </rPh>
    <rPh sb="23" eb="25">
      <t>イチラン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</si>
</sst>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0"/>
      <name val="游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9" fillId="0" borderId="0" applyNumberFormat="0" applyFill="0" applyBorder="0" applyAlignment="0" applyProtection="0">
      <alignment vertical="center"/>
    </xf>
  </cellStyleXfs>
  <cellXfs count="2">
    <xf numFmtId="0" fontId="0" fillId="0" borderId="0" xfId="0">
      <alignment vertical="center"/>
    </xf>
    <xf numFmtId="0" fontId="20" fillId="0" borderId="0" xfId="42" applyFont="1">
      <alignmen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106"/>
  <sheetViews>
    <sheetView tabSelected="1" topLeftCell="B1" workbookViewId="0">
      <selection activeCell="D33" sqref="D33"/>
    </sheetView>
  </sheetViews>
  <sheetFormatPr defaultRowHeight="18.75" x14ac:dyDescent="0.4"/>
  <cols>
    <col min="1" max="1" width="46.125" hidden="1" customWidth="1"/>
    <col min="2" max="2" width="50.375" customWidth="1"/>
    <col min="3" max="3" width="12.5" customWidth="1"/>
    <col min="4" max="4" width="11.875" customWidth="1"/>
    <col min="8" max="8" width="15.125" bestFit="1" customWidth="1"/>
    <col min="9" max="9" width="110.25" bestFit="1" customWidth="1"/>
  </cols>
  <sheetData>
    <row r="1" spans="1:9" x14ac:dyDescent="0.4">
      <c r="B1" t="s">
        <v>5111</v>
      </c>
      <c r="C1" t="s">
        <v>5109</v>
      </c>
    </row>
    <row r="2" spans="1:9" x14ac:dyDescent="0.4">
      <c r="B2" t="str">
        <f>"書名(漢字)"</f>
        <v>書名(漢字)</v>
      </c>
      <c r="C2" t="str">
        <f>"書名(カナ)"</f>
        <v>書名(カナ)</v>
      </c>
      <c r="D2" t="str">
        <f>"出版社"</f>
        <v>出版社</v>
      </c>
      <c r="E2" t="str">
        <f>"出版者(カナ)"</f>
        <v>出版者(カナ)</v>
      </c>
      <c r="F2" t="str">
        <f>"出版地"</f>
        <v>出版地</v>
      </c>
      <c r="G2" t="str">
        <f>"刊行頻度の表記"</f>
        <v>刊行頻度の表記</v>
      </c>
      <c r="H2" t="str">
        <f>"タイトルコード"</f>
        <v>タイトルコード</v>
      </c>
      <c r="I2" t="s">
        <v>5110</v>
      </c>
    </row>
    <row r="3" spans="1:9" x14ac:dyDescent="0.4">
      <c r="A3" t="str">
        <f>"ア・モンテ・ヴォックス"</f>
        <v>ア・モンテ・ヴォックス</v>
      </c>
      <c r="B3" s="1" t="str">
        <f>HYPERLINK("#", A3)</f>
        <v>ア・モンテ・ヴォックス</v>
      </c>
      <c r="C3" t="str">
        <f>"ア　モンテ　ヴォックス"</f>
        <v>ア　モンテ　ヴォックス</v>
      </c>
      <c r="D3" t="str">
        <f>"〔出版者不明〕"</f>
        <v>〔出版者不明〕</v>
      </c>
      <c r="E3" t="str">
        <f>"シュッパンシャフメイ"</f>
        <v>シュッパンシャフメイ</v>
      </c>
      <c r="F3" t="str">
        <f>""</f>
        <v/>
      </c>
      <c r="G3" t="str">
        <f>"頻度不明"</f>
        <v>頻度不明</v>
      </c>
      <c r="H3" t="str">
        <f>"2002222287231"</f>
        <v>2002222287231</v>
      </c>
      <c r="I3" t="str">
        <f>HYPERLINK("#", "https://opac.libnet.pref.okayama.jp/licsxp-opac/WOpacMsgNewListToTifTilDetailAction.do?tilcod=2002222287231")</f>
        <v>https://opac.libnet.pref.okayama.jp/licsxp-opac/WOpacMsgNewListToTifTilDetailAction.do?tilcod=2002222287231</v>
      </c>
    </row>
    <row r="4" spans="1:9" x14ac:dyDescent="0.4">
      <c r="A4" t="str">
        <f>"a la tiara(ア・ラ・ティアラ)"</f>
        <v>a la tiara(ア・ラ・ティアラ)</v>
      </c>
      <c r="B4" s="1" t="str">
        <f t="shared" ref="B4:B67" si="0">HYPERLINK("#", A4)</f>
        <v>a la tiara(ア・ラ・ティアラ)</v>
      </c>
      <c r="C4" t="str">
        <f>"ア ラ ティアラ"</f>
        <v>ア ラ ティアラ</v>
      </c>
      <c r="D4" t="str">
        <f>"tiara co.,ltd."</f>
        <v>tiara co.,ltd.</v>
      </c>
      <c r="E4" t="str">
        <f>"ティアラ シー オー エルティーディー"</f>
        <v>ティアラ シー オー エルティーディー</v>
      </c>
      <c r="F4" t="str">
        <f>"岡山"</f>
        <v>岡山</v>
      </c>
      <c r="G4" t="str">
        <f>"季刊"</f>
        <v>季刊</v>
      </c>
      <c r="H4" t="str">
        <f>"2002222326046"</f>
        <v>2002222326046</v>
      </c>
      <c r="I4" t="str">
        <f>HYPERLINK("#", "https://opac.libnet.pref.okayama.jp/licsxp-opac/WOpacMsgNewListToTifTilDetailAction.do?tilcod=2002222326046")</f>
        <v>https://opac.libnet.pref.okayama.jp/licsxp-opac/WOpacMsgNewListToTifTilDetailAction.do?tilcod=2002222326046</v>
      </c>
    </row>
    <row r="5" spans="1:9" x14ac:dyDescent="0.4">
      <c r="A5" t="str">
        <f>"ＡＲＴ　ＶＩＳＩＯＮ"</f>
        <v>ＡＲＴ　ＶＩＳＩＯＮ</v>
      </c>
      <c r="B5" s="1" t="str">
        <f t="shared" si="0"/>
        <v>ＡＲＴ　ＶＩＳＩＯＮ</v>
      </c>
      <c r="C5" t="str">
        <f>"アート　ビジョン"</f>
        <v>アート　ビジョン</v>
      </c>
      <c r="D5" t="str">
        <f>"成羽町美術館"</f>
        <v>成羽町美術館</v>
      </c>
      <c r="E5" t="str">
        <f>"ナリワチョウビジュツカン"</f>
        <v>ナリワチョウビジュツカン</v>
      </c>
      <c r="F5" t="str">
        <f>"成羽町"</f>
        <v>成羽町</v>
      </c>
      <c r="G5" t="str">
        <f>"年刊"</f>
        <v>年刊</v>
      </c>
      <c r="H5" t="str">
        <f>"2002222283271"</f>
        <v>2002222283271</v>
      </c>
      <c r="I5" t="str">
        <f>HYPERLINK("#", "https://opac.libnet.pref.okayama.jp/licsxp-opac/WOpacMsgNewListToTifTilDetailAction.do?tilcod=2002222283271")</f>
        <v>https://opac.libnet.pref.okayama.jp/licsxp-opac/WOpacMsgNewListToTifTilDetailAction.do?tilcod=2002222283271</v>
      </c>
    </row>
    <row r="6" spans="1:9" x14ac:dyDescent="0.4">
      <c r="A6" t="str">
        <f>"RSK TIMES"</f>
        <v>RSK TIMES</v>
      </c>
      <c r="B6" s="1" t="str">
        <f t="shared" si="0"/>
        <v>RSK TIMES</v>
      </c>
      <c r="C6" t="str">
        <f>"アール エス ケー タイムズ"</f>
        <v>アール エス ケー タイムズ</v>
      </c>
      <c r="D6" t="str">
        <f>"RSK"</f>
        <v>RSK</v>
      </c>
      <c r="E6" t="str">
        <f>"アールエスケー"</f>
        <v>アールエスケー</v>
      </c>
      <c r="F6" t="str">
        <f>"岡山"</f>
        <v>岡山</v>
      </c>
      <c r="G6" t="str">
        <f>"季刊"</f>
        <v>季刊</v>
      </c>
      <c r="H6" t="str">
        <f>"2002222339370"</f>
        <v>2002222339370</v>
      </c>
      <c r="I6" t="str">
        <f>HYPERLINK("#", "https://opac.libnet.pref.okayama.jp/licsxp-opac/WOpacMsgNewListToTifTilDetailAction.do?tilcod=2002222339370")</f>
        <v>https://opac.libnet.pref.okayama.jp/licsxp-opac/WOpacMsgNewListToTifTilDetailAction.do?tilcod=2002222339370</v>
      </c>
    </row>
    <row r="7" spans="1:9" x14ac:dyDescent="0.4">
      <c r="A7" t="str">
        <f>"ＲＳＫ調査資料（アールエスケイ調査資料）"</f>
        <v>ＲＳＫ調査資料（アールエスケイ調査資料）</v>
      </c>
      <c r="B7" s="1" t="str">
        <f t="shared" si="0"/>
        <v>ＲＳＫ調査資料（アールエスケイ調査資料）</v>
      </c>
      <c r="C7" t="str">
        <f>"アールエスケイ　チョウサ　シリョウ"</f>
        <v>アールエスケイ　チョウサ　シリョウ</v>
      </c>
      <c r="D7" t="str">
        <f>"山陽放送"</f>
        <v>山陽放送</v>
      </c>
      <c r="E7" t="str">
        <f>"サンヨウホウソウ"</f>
        <v>サンヨウホウソウ</v>
      </c>
      <c r="F7" t="str">
        <f>""</f>
        <v/>
      </c>
      <c r="G7" t="str">
        <f>"頻度不明"</f>
        <v>頻度不明</v>
      </c>
      <c r="H7" t="str">
        <f>"2002222287271"</f>
        <v>2002222287271</v>
      </c>
      <c r="I7" t="str">
        <f>HYPERLINK("#", "https://opac.libnet.pref.okayama.jp/licsxp-opac/WOpacMsgNewListToTifTilDetailAction.do?tilcod=2002222287271")</f>
        <v>https://opac.libnet.pref.okayama.jp/licsxp-opac/WOpacMsgNewListToTifTilDetailAction.do?tilcod=2002222287271</v>
      </c>
    </row>
    <row r="8" spans="1:9" x14ac:dyDescent="0.4">
      <c r="A8" t="str">
        <f>"RSK TV GUIDE・RSK RADIO GUIDE(アールエスケーテレビガイド・アールエスケーラジオガイド);RSK TV TIME TABLE・RSK RADIO TIME TABLE(アールエスケーテレビタイムテーブル・アールエスケーラジオタイムテーブル)"</f>
        <v>RSK TV GUIDE・RSK RADIO GUIDE(アールエスケーテレビガイド・アールエスケーラジオガイド);RSK TV TIME TABLE・RSK RADIO TIME TABLE(アールエスケーテレビタイムテーブル・アールエスケーラジオタイムテーブル)</v>
      </c>
      <c r="B8" s="1" t="str">
        <f t="shared" si="0"/>
        <v>RSK TV GUIDE・RSK RADIO GUIDE(アールエスケーテレビガイド・アールエスケーラジオガイド);RSK TV TIME TABLE・RSK RADIO TIME TABLE(アールエスケーテレビタイムテーブル・アールエスケーラジオタイムテーブル)</v>
      </c>
      <c r="C8" t="str">
        <f>"アールエスケー テレビ ガイド アールエスケー ラジオ ガイド＊アールエスケー テレビ タイム テーブル アールエスケー ラジオ タイム テーブル"</f>
        <v>アールエスケー テレビ ガイド アールエスケー ラジオ ガイド＊アールエスケー テレビ タイム テーブル アールエスケー ラジオ タイム テーブル</v>
      </c>
      <c r="D8" t="str">
        <f>"[RSK]"</f>
        <v>[RSK]</v>
      </c>
      <c r="E8" t="str">
        <f>"アールエスケー"</f>
        <v>アールエスケー</v>
      </c>
      <c r="F8" t="str">
        <f>"岡山"</f>
        <v>岡山</v>
      </c>
      <c r="G8" t="str">
        <f>"季刊"</f>
        <v>季刊</v>
      </c>
      <c r="H8" t="str">
        <f>"2002222302333"</f>
        <v>2002222302333</v>
      </c>
      <c r="I8" t="str">
        <f>HYPERLINK("#", "https://opac.libnet.pref.okayama.jp/licsxp-opac/WOpacMsgNewListToTifTilDetailAction.do?tilcod=2002222302333")</f>
        <v>https://opac.libnet.pref.okayama.jp/licsxp-opac/WOpacMsgNewListToTifTilDetailAction.do?tilcod=2002222302333</v>
      </c>
    </row>
    <row r="9" spans="1:9" x14ac:dyDescent="0.4">
      <c r="A9" t="str">
        <f>"RSK TV TIME TABLE RSK RADIO TIME TABLE"</f>
        <v>RSK TV TIME TABLE RSK RADIO TIME TABLE</v>
      </c>
      <c r="B9" s="1" t="str">
        <f t="shared" si="0"/>
        <v>RSK TV TIME TABLE RSK RADIO TIME TABLE</v>
      </c>
      <c r="C9" t="str">
        <f>"アールエスケー テレビ タイムテーブル RSK ラジオ タイムテーブル"</f>
        <v>アールエスケー テレビ タイムテーブル RSK ラジオ タイムテーブル</v>
      </c>
      <c r="D9" t="str">
        <f>"[RSK]"</f>
        <v>[RSK]</v>
      </c>
      <c r="E9" t="str">
        <f>"アールエスケー"</f>
        <v>アールエスケー</v>
      </c>
      <c r="F9" t="str">
        <f>"岡山"</f>
        <v>岡山</v>
      </c>
      <c r="G9" t="str">
        <f>"季刊"</f>
        <v>季刊</v>
      </c>
      <c r="H9" t="str">
        <f>"2002222335366"</f>
        <v>2002222335366</v>
      </c>
      <c r="I9" t="str">
        <f>HYPERLINK("#", "https://opac.libnet.pref.okayama.jp/licsxp-opac/WOpacMsgNewListToTifTilDetailAction.do?tilcod=2002222335366")</f>
        <v>https://opac.libnet.pref.okayama.jp/licsxp-opac/WOpacMsgNewListToTifTilDetailAction.do?tilcod=2002222335366</v>
      </c>
    </row>
    <row r="10" spans="1:9" x14ac:dyDescent="0.4">
      <c r="A10" t="str">
        <f>"ＲＮＣ（アールエヌシー）"</f>
        <v>ＲＮＣ（アールエヌシー）</v>
      </c>
      <c r="B10" s="1" t="str">
        <f t="shared" si="0"/>
        <v>ＲＮＣ（アールエヌシー）</v>
      </c>
      <c r="C10" t="str">
        <f>"アールエヌシー"</f>
        <v>アールエヌシー</v>
      </c>
      <c r="D10" t="str">
        <f>"西日本放送"</f>
        <v>西日本放送</v>
      </c>
      <c r="E10" t="str">
        <f>"ニシニホンホウソウ"</f>
        <v>ニシニホンホウソウ</v>
      </c>
      <c r="F10" t="str">
        <f>""</f>
        <v/>
      </c>
      <c r="G10" t="str">
        <f>"月刊"</f>
        <v>月刊</v>
      </c>
      <c r="H10" t="str">
        <f>"2002222287281"</f>
        <v>2002222287281</v>
      </c>
      <c r="I10" t="str">
        <f>HYPERLINK("#", "https://opac.libnet.pref.okayama.jp/licsxp-opac/WOpacMsgNewListToTifTilDetailAction.do?tilcod=2002222287281")</f>
        <v>https://opac.libnet.pref.okayama.jp/licsxp-opac/WOpacMsgNewListToTifTilDetailAction.do?tilcod=2002222287281</v>
      </c>
    </row>
    <row r="11" spans="1:9" x14ac:dyDescent="0.4">
      <c r="A11" t="str">
        <f>"ＲＮＣエリア情報（アールエヌシーエリア情報）"</f>
        <v>ＲＮＣエリア情報（アールエヌシーエリア情報）</v>
      </c>
      <c r="B11" s="1" t="str">
        <f t="shared" si="0"/>
        <v>ＲＮＣエリア情報（アールエヌシーエリア情報）</v>
      </c>
      <c r="C11" t="str">
        <f>"アールエヌシー　エリア　ジョウホウ"</f>
        <v>アールエヌシー　エリア　ジョウホウ</v>
      </c>
      <c r="D11" t="str">
        <f>"西日本放送"</f>
        <v>西日本放送</v>
      </c>
      <c r="E11" t="str">
        <f>"ニシニホンホウソウ"</f>
        <v>ニシニホンホウソウ</v>
      </c>
      <c r="F11" t="str">
        <f>""</f>
        <v/>
      </c>
      <c r="G11" t="str">
        <f>"不定期刊"</f>
        <v>不定期刊</v>
      </c>
      <c r="H11" t="str">
        <f>"2002222287291"</f>
        <v>2002222287291</v>
      </c>
      <c r="I11" t="str">
        <f>HYPERLINK("#", "https://opac.libnet.pref.okayama.jp/licsxp-opac/WOpacMsgNewListToTifTilDetailAction.do?tilcod=2002222287291")</f>
        <v>https://opac.libnet.pref.okayama.jp/licsxp-opac/WOpacMsgNewListToTifTilDetailAction.do?tilcod=2002222287291</v>
      </c>
    </row>
    <row r="12" spans="1:9" x14ac:dyDescent="0.4">
      <c r="A12" t="str">
        <f>"ＲＤ（アールディー）；大学生をインサイトするマーケティングマガジン　岡山版"</f>
        <v>ＲＤ（アールディー）；大学生をインサイトするマーケティングマガジン　岡山版</v>
      </c>
      <c r="B12" s="1" t="str">
        <f t="shared" si="0"/>
        <v>ＲＤ（アールディー）；大学生をインサイトするマーケティングマガジン　岡山版</v>
      </c>
      <c r="C12" t="str">
        <f>"アールディー＊ダイガクセイ　ヲ　インサイト　スル　マーケティング　マガジン　オカヤマバン"</f>
        <v>アールディー＊ダイガクセイ　ヲ　インサイト　スル　マーケティング　マガジン　オカヤマバン</v>
      </c>
      <c r="D12" t="str">
        <f>"ラフデッサン岡山"</f>
        <v>ラフデッサン岡山</v>
      </c>
      <c r="E12" t="str">
        <f>"ラフデッサンオカヤマ"</f>
        <v>ラフデッサンオカヤマ</v>
      </c>
      <c r="F12" t="str">
        <f>"岡山"</f>
        <v>岡山</v>
      </c>
      <c r="G12" t="str">
        <f>"季刊"</f>
        <v>季刊</v>
      </c>
      <c r="H12" t="str">
        <f>"2002222302122"</f>
        <v>2002222302122</v>
      </c>
      <c r="I12" t="str">
        <f>HYPERLINK("#", "https://opac.libnet.pref.okayama.jp/licsxp-opac/WOpacMsgNewListToTifTilDetailAction.do?tilcod=2002222302122")</f>
        <v>https://opac.libnet.pref.okayama.jp/licsxp-opac/WOpacMsgNewListToTifTilDetailAction.do?tilcod=2002222302122</v>
      </c>
    </row>
    <row r="13" spans="1:9" x14ac:dyDescent="0.4">
      <c r="A13" t="str">
        <f>"ａｉ（あい）"</f>
        <v>ａｉ（あい）</v>
      </c>
      <c r="B13" s="1" t="str">
        <f t="shared" si="0"/>
        <v>ａｉ（あい）</v>
      </c>
      <c r="C13" t="str">
        <f>"アイ"</f>
        <v>アイ</v>
      </c>
      <c r="D13" t="str">
        <f>"岡山市愛育委員協議会"</f>
        <v>岡山市愛育委員協議会</v>
      </c>
      <c r="E13" t="str">
        <f>"オカヤマシ アイイク イイン キョウギカイ"</f>
        <v>オカヤマシ アイイク イイン キョウギカイ</v>
      </c>
      <c r="F13" t="str">
        <f>"岡山"</f>
        <v>岡山</v>
      </c>
      <c r="G13" t="str">
        <f>"年３回刊"</f>
        <v>年３回刊</v>
      </c>
      <c r="H13" t="str">
        <f>"2002222301064"</f>
        <v>2002222301064</v>
      </c>
      <c r="I13" t="str">
        <f>HYPERLINK("#", "https://opac.libnet.pref.okayama.jp/licsxp-opac/WOpacMsgNewListToTifTilDetailAction.do?tilcod=2002222301064")</f>
        <v>https://opac.libnet.pref.okayama.jp/licsxp-opac/WOpacMsgNewListToTifTilDetailAction.do?tilcod=2002222301064</v>
      </c>
    </row>
    <row r="14" spans="1:9" x14ac:dyDescent="0.4">
      <c r="A14" t="str">
        <f>"愛の善銀だより"</f>
        <v>愛の善銀だより</v>
      </c>
      <c r="B14" s="1" t="str">
        <f t="shared" si="0"/>
        <v>愛の善銀だより</v>
      </c>
      <c r="C14" t="str">
        <f>"アイ　ノ　ゼンギン　ダヨリ"</f>
        <v>アイ　ノ　ゼンギン　ダヨリ</v>
      </c>
      <c r="D14" t="str">
        <f>"笠岡愛の善意銀行"</f>
        <v>笠岡愛の善意銀行</v>
      </c>
      <c r="E14" t="str">
        <f>"カサオカアイノゼンイギンコウ"</f>
        <v>カサオカアイノゼンイギンコウ</v>
      </c>
      <c r="F14" t="str">
        <f>"笠岡"</f>
        <v>笠岡</v>
      </c>
      <c r="G14" t="str">
        <f>"頻度不明"</f>
        <v>頻度不明</v>
      </c>
      <c r="H14" t="str">
        <f>"2002222284571"</f>
        <v>2002222284571</v>
      </c>
      <c r="I14" t="str">
        <f>HYPERLINK("#", "https://opac.libnet.pref.okayama.jp/licsxp-opac/WOpacMsgNewListToTifTilDetailAction.do?tilcod=2002222284571")</f>
        <v>https://opac.libnet.pref.okayama.jp/licsxp-opac/WOpacMsgNewListToTifTilDetailAction.do?tilcod=2002222284571</v>
      </c>
    </row>
    <row r="15" spans="1:9" x14ac:dyDescent="0.4">
      <c r="A15" t="str">
        <f>"愛のたより"</f>
        <v>愛のたより</v>
      </c>
      <c r="B15" s="1" t="str">
        <f t="shared" si="0"/>
        <v>愛のたより</v>
      </c>
      <c r="C15" t="str">
        <f>"アイ　ノ　タヨリ"</f>
        <v>アイ　ノ　タヨリ</v>
      </c>
      <c r="D15" t="str">
        <f>"おかやま土と健康の会"</f>
        <v>おかやま土と健康の会</v>
      </c>
      <c r="E15" t="str">
        <f>"オカヤマツチトケンコウノカイ"</f>
        <v>オカヤマツチトケンコウノカイ</v>
      </c>
      <c r="F15" t="str">
        <f>"岡山"</f>
        <v>岡山</v>
      </c>
      <c r="G15" t="str">
        <f>"不定期刊"</f>
        <v>不定期刊</v>
      </c>
      <c r="H15" t="str">
        <f>"2002222291821"</f>
        <v>2002222291821</v>
      </c>
      <c r="I15" t="str">
        <f>HYPERLINK("#", "https://opac.libnet.pref.okayama.jp/licsxp-opac/WOpacMsgNewListToTifTilDetailAction.do?tilcod=2002222291821")</f>
        <v>https://opac.libnet.pref.okayama.jp/licsxp-opac/WOpacMsgNewListToTifTilDetailAction.do?tilcod=2002222291821</v>
      </c>
    </row>
    <row r="16" spans="1:9" x14ac:dyDescent="0.4">
      <c r="A16" t="str">
        <f>"愛；岡山旭東病院 季刊誌"</f>
        <v>愛；岡山旭東病院 季刊誌</v>
      </c>
      <c r="B16" s="1" t="str">
        <f t="shared" si="0"/>
        <v>愛；岡山旭東病院 季刊誌</v>
      </c>
      <c r="C16" t="str">
        <f>"アイ＊オカヤマ キョクトウ ビョウイン キカンシ"</f>
        <v>アイ＊オカヤマ キョクトウ ビョウイン キカンシ</v>
      </c>
      <c r="D16" t="str">
        <f>"操風会岡山旭東病院"</f>
        <v>操風会岡山旭東病院</v>
      </c>
      <c r="E16" t="str">
        <f>"ソウフウカイ オカヤマ キョクトウ ビョウイン"</f>
        <v>ソウフウカイ オカヤマ キョクトウ ビョウイン</v>
      </c>
      <c r="F16" t="str">
        <f>"岡山"</f>
        <v>岡山</v>
      </c>
      <c r="G16" t="str">
        <f>"季刊"</f>
        <v>季刊</v>
      </c>
      <c r="H16" t="str">
        <f>"2002222317727"</f>
        <v>2002222317727</v>
      </c>
      <c r="I16" t="str">
        <f>HYPERLINK("#", "https://opac.libnet.pref.okayama.jp/licsxp-opac/WOpacMsgNewListToTifTilDetailAction.do?tilcod=2002222317727")</f>
        <v>https://opac.libnet.pref.okayama.jp/licsxp-opac/WOpacMsgNewListToTifTilDetailAction.do?tilcod=2002222317727</v>
      </c>
    </row>
    <row r="17" spans="1:9" x14ac:dyDescent="0.4">
      <c r="A17" t="str">
        <f>"愛育委員・栄養委員だより；井原市愛育委員連合会・井原市栄養改善協議会"</f>
        <v>愛育委員・栄養委員だより；井原市愛育委員連合会・井原市栄養改善協議会</v>
      </c>
      <c r="B17" s="1" t="str">
        <f t="shared" si="0"/>
        <v>愛育委員・栄養委員だより；井原市愛育委員連合会・井原市栄養改善協議会</v>
      </c>
      <c r="C17" t="str">
        <f>"アイイク イイン エイヨウ イイン ダヨリ＊イバラシ アイイク イイン レイゴウカイ・イバラシ エイヨウ カイゼン キョウギカイ"</f>
        <v>アイイク イイン エイヨウ イイン ダヨリ＊イバラシ アイイク イイン レイゴウカイ・イバラシ エイヨウ カイゼン キョウギカイ</v>
      </c>
      <c r="D17" t="str">
        <f>"井原市愛育委員連合会"</f>
        <v>井原市愛育委員連合会</v>
      </c>
      <c r="E17" t="str">
        <f>"イバラシアイイクイインレンゴウカイ"</f>
        <v>イバラシアイイクイインレンゴウカイ</v>
      </c>
      <c r="F17" t="str">
        <f>""</f>
        <v/>
      </c>
      <c r="G17" t="str">
        <f>"年刊"</f>
        <v>年刊</v>
      </c>
      <c r="H17" t="str">
        <f>"2002222335892"</f>
        <v>2002222335892</v>
      </c>
      <c r="I17" t="str">
        <f>HYPERLINK("#", "https://opac.libnet.pref.okayama.jp/licsxp-opac/WOpacMsgNewListToTifTilDetailAction.do?tilcod=2002222335892")</f>
        <v>https://opac.libnet.pref.okayama.jp/licsxp-opac/WOpacMsgNewListToTifTilDetailAction.do?tilcod=2002222335892</v>
      </c>
    </row>
    <row r="18" spans="1:9" x14ac:dyDescent="0.4">
      <c r="A18" t="str">
        <f>"愛育だより"</f>
        <v>愛育だより</v>
      </c>
      <c r="B18" s="1" t="str">
        <f t="shared" si="0"/>
        <v>愛育だより</v>
      </c>
      <c r="C18" t="str">
        <f>"アイイク ダヨリ"</f>
        <v>アイイク ダヨリ</v>
      </c>
      <c r="D18" t="str">
        <f>"倉敷地区愛育委員会"</f>
        <v>倉敷地区愛育委員会</v>
      </c>
      <c r="E18" t="str">
        <f>"クラシキ チク アイイク イインカイ"</f>
        <v>クラシキ チク アイイク イインカイ</v>
      </c>
      <c r="F18" t="str">
        <f>"倉敷"</f>
        <v>倉敷</v>
      </c>
      <c r="G18" t="str">
        <f>"頻度不明"</f>
        <v>頻度不明</v>
      </c>
      <c r="H18" t="str">
        <f>"2002222312307"</f>
        <v>2002222312307</v>
      </c>
      <c r="I18" t="str">
        <f>HYPERLINK("#", "https://opac.libnet.pref.okayama.jp/licsxp-opac/WOpacMsgNewListToTifTilDetailAction.do?tilcod=2002222312307")</f>
        <v>https://opac.libnet.pref.okayama.jp/licsxp-opac/WOpacMsgNewListToTifTilDetailAction.do?tilcod=2002222312307</v>
      </c>
    </row>
    <row r="19" spans="1:9" x14ac:dyDescent="0.4">
      <c r="A19" t="str">
        <f>"IVORY"</f>
        <v>IVORY</v>
      </c>
      <c r="B19" s="1" t="str">
        <f t="shared" si="0"/>
        <v>IVORY</v>
      </c>
      <c r="C19" t="str">
        <f>"アイヴォリー"</f>
        <v>アイヴォリー</v>
      </c>
      <c r="D19" t="str">
        <f>"宮田　昭隆"</f>
        <v>宮田　昭隆</v>
      </c>
      <c r="E19" t="str">
        <f>"ミヤタ　アキタカ"</f>
        <v>ミヤタ　アキタカ</v>
      </c>
      <c r="F19" t="str">
        <f>"岡山"</f>
        <v>岡山</v>
      </c>
      <c r="G19" t="str">
        <f>"頻度不明"</f>
        <v>頻度不明</v>
      </c>
      <c r="H19" t="str">
        <f>"2002222319607"</f>
        <v>2002222319607</v>
      </c>
      <c r="I19" t="str">
        <f>HYPERLINK("#", "https://opac.libnet.pref.okayama.jp/licsxp-opac/WOpacMsgNewListToTifTilDetailAction.do?tilcod=2002222319607")</f>
        <v>https://opac.libnet.pref.okayama.jp/licsxp-opac/WOpacMsgNewListToTifTilDetailAction.do?tilcod=2002222319607</v>
      </c>
    </row>
    <row r="20" spans="1:9" x14ac:dyDescent="0.4">
      <c r="A20" t="str">
        <f>"愛護おかやま(複製)"</f>
        <v>愛護おかやま(複製)</v>
      </c>
      <c r="B20" s="1" t="str">
        <f t="shared" si="0"/>
        <v>愛護おかやま(複製)</v>
      </c>
      <c r="C20" t="str">
        <f>"アイゴ オカヤマ"</f>
        <v>アイゴ オカヤマ</v>
      </c>
      <c r="D20" t="str">
        <f>"岡山県精神薄弱者愛護協会"</f>
        <v>岡山県精神薄弱者愛護協会</v>
      </c>
      <c r="E20" t="str">
        <f>"オカヤマケンセイシンハクジャクシャアイゴキョウカイ"</f>
        <v>オカヤマケンセイシンハクジャクシャアイゴキョウカイ</v>
      </c>
      <c r="F20" t="str">
        <f>"岡山"</f>
        <v>岡山</v>
      </c>
      <c r="G20" t="str">
        <f>"頻度不明"</f>
        <v>頻度不明</v>
      </c>
      <c r="H20" t="str">
        <f>"2002222321167"</f>
        <v>2002222321167</v>
      </c>
      <c r="I20" t="str">
        <f>HYPERLINK("#", "https://opac.libnet.pref.okayama.jp/licsxp-opac/WOpacMsgNewListToTifTilDetailAction.do?tilcod=2002222321167")</f>
        <v>https://opac.libnet.pref.okayama.jp/licsxp-opac/WOpacMsgNewListToTifTilDetailAction.do?tilcod=2002222321167</v>
      </c>
    </row>
    <row r="21" spans="1:9" x14ac:dyDescent="0.4">
      <c r="A21" t="str">
        <f>"愛生"</f>
        <v>愛生</v>
      </c>
      <c r="B21" s="1" t="str">
        <f t="shared" si="0"/>
        <v>愛生</v>
      </c>
      <c r="C21" t="str">
        <f>"アイセイ"</f>
        <v>アイセイ</v>
      </c>
      <c r="D21" t="str">
        <f>"長島愛生園長濤会"</f>
        <v>長島愛生園長濤会</v>
      </c>
      <c r="E21" t="str">
        <f>"ナガシマ アイセイエン チョウトウカイ"</f>
        <v>ナガシマ アイセイエン チョウトウカイ</v>
      </c>
      <c r="F21" t="str">
        <f>"瀬戸内"</f>
        <v>瀬戸内</v>
      </c>
      <c r="G21" t="str">
        <f>"隔月刊"</f>
        <v>隔月刊</v>
      </c>
      <c r="H21" t="str">
        <f>"2002222291001"</f>
        <v>2002222291001</v>
      </c>
      <c r="I21" t="str">
        <f>HYPERLINK("#", "https://opac.libnet.pref.okayama.jp/licsxp-opac/WOpacMsgNewListToTifTilDetailAction.do?tilcod=2002222291001")</f>
        <v>https://opac.libnet.pref.okayama.jp/licsxp-opac/WOpacMsgNewListToTifTilDetailAction.do?tilcod=2002222291001</v>
      </c>
    </row>
    <row r="22" spans="1:9" x14ac:dyDescent="0.4">
      <c r="A22" t="str">
        <f>"愛染会報"</f>
        <v>愛染会報</v>
      </c>
      <c r="B22" s="1" t="str">
        <f t="shared" si="0"/>
        <v>愛染会報</v>
      </c>
      <c r="C22" t="str">
        <f>"アイゼン　カイホウ"</f>
        <v>アイゼン　カイホウ</v>
      </c>
      <c r="D22" t="str">
        <f>"岡山県愛染会"</f>
        <v>岡山県愛染会</v>
      </c>
      <c r="E22" t="str">
        <f>"オカヤマケンアイゼンカイ"</f>
        <v>オカヤマケンアイゼンカイ</v>
      </c>
      <c r="F22" t="str">
        <f>""</f>
        <v/>
      </c>
      <c r="G22" t="str">
        <f t="shared" ref="G22:G28" si="1">"頻度不明"</f>
        <v>頻度不明</v>
      </c>
      <c r="H22" t="str">
        <f>"2002222287011"</f>
        <v>2002222287011</v>
      </c>
      <c r="I22" t="str">
        <f>HYPERLINK("#", "https://opac.libnet.pref.okayama.jp/licsxp-opac/WOpacMsgNewListToTifTilDetailAction.do?tilcod=2002222287011")</f>
        <v>https://opac.libnet.pref.okayama.jp/licsxp-opac/WOpacMsgNewListToTifTilDetailAction.do?tilcod=2002222287011</v>
      </c>
    </row>
    <row r="23" spans="1:9" x14ac:dyDescent="0.4">
      <c r="A23" t="str">
        <f>"英田圏域１１９"</f>
        <v>英田圏域１１９</v>
      </c>
      <c r="B23" s="1" t="str">
        <f t="shared" si="0"/>
        <v>英田圏域１１９</v>
      </c>
      <c r="C23" t="str">
        <f>"アイダ　ケンイキ　ヒャクジュウキュウ"</f>
        <v>アイダ　ケンイキ　ヒャクジュウキュウ</v>
      </c>
      <c r="D23" t="str">
        <f>"英田圏域消防本部"</f>
        <v>英田圏域消防本部</v>
      </c>
      <c r="E23" t="str">
        <f>"アイダケンイキショウボウホンブ"</f>
        <v>アイダケンイキショウボウホンブ</v>
      </c>
      <c r="F23" t="str">
        <f>"美作町（英田郡）"</f>
        <v>美作町（英田郡）</v>
      </c>
      <c r="G23" t="str">
        <f t="shared" si="1"/>
        <v>頻度不明</v>
      </c>
      <c r="H23" t="str">
        <f>"2002222301722"</f>
        <v>2002222301722</v>
      </c>
      <c r="I23" t="str">
        <f>HYPERLINK("#", "https://opac.libnet.pref.okayama.jp/licsxp-opac/WOpacMsgNewListToTifTilDetailAction.do?tilcod=2002222301722")</f>
        <v>https://opac.libnet.pref.okayama.jp/licsxp-opac/WOpacMsgNewListToTifTilDetailAction.do?tilcod=2002222301722</v>
      </c>
    </row>
    <row r="24" spans="1:9" x14ac:dyDescent="0.4">
      <c r="A24" t="str">
        <f>"あいだ社協だより"</f>
        <v>あいだ社協だより</v>
      </c>
      <c r="B24" s="1" t="str">
        <f t="shared" si="0"/>
        <v>あいだ社協だより</v>
      </c>
      <c r="C24" t="str">
        <f>"アイダ　シャキョウ　ダヨリ"</f>
        <v>アイダ　シャキョウ　ダヨリ</v>
      </c>
      <c r="D24" t="str">
        <f>"英田町社会福祉協議会"</f>
        <v>英田町社会福祉協議会</v>
      </c>
      <c r="E24" t="str">
        <f>"アイダチョウシャカイフクシキョウギカイ"</f>
        <v>アイダチョウシャカイフクシキョウギカイ</v>
      </c>
      <c r="F24" t="str">
        <f>"英田町（英田郡）"</f>
        <v>英田町（英田郡）</v>
      </c>
      <c r="G24" t="str">
        <f t="shared" si="1"/>
        <v>頻度不明</v>
      </c>
      <c r="H24" t="str">
        <f>"2002222281361"</f>
        <v>2002222281361</v>
      </c>
      <c r="I24" t="str">
        <f>HYPERLINK("#", "https://opac.libnet.pref.okayama.jp/licsxp-opac/WOpacMsgNewListToTifTilDetailAction.do?tilcod=2002222281361")</f>
        <v>https://opac.libnet.pref.okayama.jp/licsxp-opac/WOpacMsgNewListToTifTilDetailAction.do?tilcod=2002222281361</v>
      </c>
    </row>
    <row r="25" spans="1:9" x14ac:dyDescent="0.4">
      <c r="A25" t="str">
        <f>"あいよかけよ（信徒会報）"</f>
        <v>あいよかけよ（信徒会報）</v>
      </c>
      <c r="B25" s="1" t="str">
        <f t="shared" si="0"/>
        <v>あいよかけよ（信徒会報）</v>
      </c>
      <c r="C25" t="str">
        <f>"アイヨカケヨ　シント　カイホウ"</f>
        <v>アイヨカケヨ　シント　カイホウ</v>
      </c>
      <c r="D25" t="str">
        <f>"金光教信徒会連合本部"</f>
        <v>金光教信徒会連合本部</v>
      </c>
      <c r="E25" t="str">
        <f>"コンコウキョウシントカイレンゴウホンブ"</f>
        <v>コンコウキョウシントカイレンゴウホンブ</v>
      </c>
      <c r="F25" t="str">
        <f>"金光町（浅口郡）"</f>
        <v>金光町（浅口郡）</v>
      </c>
      <c r="G25" t="str">
        <f t="shared" si="1"/>
        <v>頻度不明</v>
      </c>
      <c r="H25" t="str">
        <f>"2002222301725"</f>
        <v>2002222301725</v>
      </c>
      <c r="I25" t="str">
        <f>HYPERLINK("#", "https://opac.libnet.pref.okayama.jp/licsxp-opac/WOpacMsgNewListToTifTilDetailAction.do?tilcod=2002222301725")</f>
        <v>https://opac.libnet.pref.okayama.jp/licsxp-opac/WOpacMsgNewListToTifTilDetailAction.do?tilcod=2002222301725</v>
      </c>
    </row>
    <row r="26" spans="1:9" x14ac:dyDescent="0.4">
      <c r="A26" t="str">
        <f>"アウロラ；ａｕｒｏｒａ"</f>
        <v>アウロラ；ａｕｒｏｒａ</v>
      </c>
      <c r="B26" s="1" t="str">
        <f t="shared" si="0"/>
        <v>アウロラ；ａｕｒｏｒａ</v>
      </c>
      <c r="C26" t="str">
        <f>"アウロラ"</f>
        <v>アウロラ</v>
      </c>
      <c r="D26" t="str">
        <f>"デンショク・コンピュートサイン事業部"</f>
        <v>デンショク・コンピュートサイン事業部</v>
      </c>
      <c r="E26" t="str">
        <f>"デンショクコンピュートサインジギョウブ"</f>
        <v>デンショクコンピュートサインジギョウブ</v>
      </c>
      <c r="F26" t="str">
        <f>""</f>
        <v/>
      </c>
      <c r="G26" t="str">
        <f t="shared" si="1"/>
        <v>頻度不明</v>
      </c>
      <c r="H26" t="str">
        <f>"2002222287021"</f>
        <v>2002222287021</v>
      </c>
      <c r="I26" t="str">
        <f>HYPERLINK("#", "https://opac.libnet.pref.okayama.jp/licsxp-opac/WOpacMsgNewListToTifTilDetailAction.do?tilcod=2002222287021")</f>
        <v>https://opac.libnet.pref.okayama.jp/licsxp-opac/WOpacMsgNewListToTifTilDetailAction.do?tilcod=2002222287021</v>
      </c>
    </row>
    <row r="27" spans="1:9" x14ac:dyDescent="0.4">
      <c r="A27" t="str">
        <f>"阿吽"</f>
        <v>阿吽</v>
      </c>
      <c r="B27" s="1" t="str">
        <f t="shared" si="0"/>
        <v>阿吽</v>
      </c>
      <c r="C27" t="str">
        <f>"アウン"</f>
        <v>アウン</v>
      </c>
      <c r="D27" t="str">
        <f>"岡山大学文芸部"</f>
        <v>岡山大学文芸部</v>
      </c>
      <c r="E27" t="str">
        <f>"オカヤマダイガクブンゲイブ"</f>
        <v>オカヤマダイガクブンゲイブ</v>
      </c>
      <c r="F27" t="str">
        <f>"岡山"</f>
        <v>岡山</v>
      </c>
      <c r="G27" t="str">
        <f t="shared" si="1"/>
        <v>頻度不明</v>
      </c>
      <c r="H27" t="str">
        <f>"2002222334593"</f>
        <v>2002222334593</v>
      </c>
      <c r="I27" t="str">
        <f>HYPERLINK("#", "https://opac.libnet.pref.okayama.jp/licsxp-opac/WOpacMsgNewListToTifTilDetailAction.do?tilcod=2002222334593")</f>
        <v>https://opac.libnet.pref.okayama.jp/licsxp-opac/WOpacMsgNewListToTifTilDetailAction.do?tilcod=2002222334593</v>
      </c>
    </row>
    <row r="28" spans="1:9" x14ac:dyDescent="0.4">
      <c r="A28" t="str">
        <f>"青い窓"</f>
        <v>青い窓</v>
      </c>
      <c r="B28" s="1" t="str">
        <f t="shared" si="0"/>
        <v>青い窓</v>
      </c>
      <c r="C28" t="str">
        <f>"アオイ　マド"</f>
        <v>アオイ　マド</v>
      </c>
      <c r="D28" t="str">
        <f>"日本文教出版"</f>
        <v>日本文教出版</v>
      </c>
      <c r="E28" t="str">
        <f>"ニホン ブンキョウ シュッパン"</f>
        <v>ニホン ブンキョウ シュッパン</v>
      </c>
      <c r="F28" t="str">
        <f>""</f>
        <v/>
      </c>
      <c r="G28" t="str">
        <f t="shared" si="1"/>
        <v>頻度不明</v>
      </c>
      <c r="H28" t="str">
        <f>"2002222287031"</f>
        <v>2002222287031</v>
      </c>
      <c r="I28" t="str">
        <f>HYPERLINK("#", "https://opac.libnet.pref.okayama.jp/licsxp-opac/WOpacMsgNewListToTifTilDetailAction.do?tilcod=2002222287031")</f>
        <v>https://opac.libnet.pref.okayama.jp/licsxp-opac/WOpacMsgNewListToTifTilDetailAction.do?tilcod=2002222287031</v>
      </c>
    </row>
    <row r="29" spans="1:9" x14ac:dyDescent="0.4">
      <c r="A29" t="str">
        <f>"青梅"</f>
        <v>青梅</v>
      </c>
      <c r="B29" s="1" t="str">
        <f t="shared" si="0"/>
        <v>青梅</v>
      </c>
      <c r="C29" t="str">
        <f>"アオウメ"</f>
        <v>アオウメ</v>
      </c>
      <c r="D29" t="str">
        <f>"岡山市中学校社会科研究会"</f>
        <v>岡山市中学校社会科研究会</v>
      </c>
      <c r="E29" t="str">
        <f>"オカヤマシ チュウガッコウ シャカイカ ケンキュウカイ"</f>
        <v>オカヤマシ チュウガッコウ シャカイカ ケンキュウカイ</v>
      </c>
      <c r="F29" t="str">
        <f>"岡山"</f>
        <v>岡山</v>
      </c>
      <c r="G29" t="str">
        <f>"年刊"</f>
        <v>年刊</v>
      </c>
      <c r="H29" t="str">
        <f>"2002222301500"</f>
        <v>2002222301500</v>
      </c>
      <c r="I29" t="str">
        <f>HYPERLINK("#", "https://opac.libnet.pref.okayama.jp/licsxp-opac/WOpacMsgNewListToTifTilDetailAction.do?tilcod=2002222301500")</f>
        <v>https://opac.libnet.pref.okayama.jp/licsxp-opac/WOpacMsgNewListToTifTilDetailAction.do?tilcod=2002222301500</v>
      </c>
    </row>
    <row r="30" spans="1:9" x14ac:dyDescent="0.4">
      <c r="A30" t="str">
        <f>"青柴"</f>
        <v>青柴</v>
      </c>
      <c r="B30" s="1" t="str">
        <f t="shared" si="0"/>
        <v>青柴</v>
      </c>
      <c r="C30" t="str">
        <f>"アオシバ"</f>
        <v>アオシバ</v>
      </c>
      <c r="D30" t="str">
        <f>"瀬戸高等女学校青柴会"</f>
        <v>瀬戸高等女学校青柴会</v>
      </c>
      <c r="E30" t="str">
        <f>"セトコウトウジョガッコウアオシバカイ"</f>
        <v>セトコウトウジョガッコウアオシバカイ</v>
      </c>
      <c r="F30" t="str">
        <f>"瀬戸町（赤磐郡）"</f>
        <v>瀬戸町（赤磐郡）</v>
      </c>
      <c r="G30" t="str">
        <f>"頻度不明"</f>
        <v>頻度不明</v>
      </c>
      <c r="H30" t="str">
        <f>"2002222301734"</f>
        <v>2002222301734</v>
      </c>
      <c r="I30" t="str">
        <f>HYPERLINK("#", "https://opac.libnet.pref.okayama.jp/licsxp-opac/WOpacMsgNewListToTifTilDetailAction.do?tilcod=2002222301734")</f>
        <v>https://opac.libnet.pref.okayama.jp/licsxp-opac/WOpacMsgNewListToTifTilDetailAction.do?tilcod=2002222301734</v>
      </c>
    </row>
    <row r="31" spans="1:9" x14ac:dyDescent="0.4">
      <c r="A31" t="str">
        <f>"あおぞら"</f>
        <v>あおぞら</v>
      </c>
      <c r="B31" s="1" t="str">
        <f t="shared" si="0"/>
        <v>あおぞら</v>
      </c>
      <c r="C31" t="str">
        <f>"アオゾラ"</f>
        <v>アオゾラ</v>
      </c>
      <c r="D31" t="str">
        <f>"津山地区農業共済事務組合"</f>
        <v>津山地区農業共済事務組合</v>
      </c>
      <c r="E31" t="str">
        <f>"ツヤマ　チク　ノウギョウ　キョウサイ　ジム　クミアイ"</f>
        <v>ツヤマ　チク　ノウギョウ　キョウサイ　ジム　クミアイ</v>
      </c>
      <c r="F31" t="str">
        <f>"津山"</f>
        <v>津山</v>
      </c>
      <c r="G31" t="str">
        <f>"頻度不明"</f>
        <v>頻度不明</v>
      </c>
      <c r="H31" t="str">
        <f>"2002222285291"</f>
        <v>2002222285291</v>
      </c>
      <c r="I31" t="str">
        <f>HYPERLINK("#", "https://opac.libnet.pref.okayama.jp/licsxp-opac/WOpacMsgNewListToTifTilDetailAction.do?tilcod=2002222285291")</f>
        <v>https://opac.libnet.pref.okayama.jp/licsxp-opac/WOpacMsgNewListToTifTilDetailAction.do?tilcod=2002222285291</v>
      </c>
    </row>
    <row r="32" spans="1:9" x14ac:dyDescent="0.4">
      <c r="A32" t="str">
        <f>"あおぞら"</f>
        <v>あおぞら</v>
      </c>
      <c r="B32" s="1" t="str">
        <f t="shared" si="0"/>
        <v>あおぞら</v>
      </c>
      <c r="C32" t="str">
        <f>"アオゾラ"</f>
        <v>アオゾラ</v>
      </c>
      <c r="D32" t="str">
        <f>"岡山県生活衛生営業指導センター"</f>
        <v>岡山県生活衛生営業指導センター</v>
      </c>
      <c r="E32" t="str">
        <f>"オカヤマケン セイカツ エイセイ エイギョウ シドウ センター"</f>
        <v>オカヤマケン セイカツ エイセイ エイギョウ シドウ センター</v>
      </c>
      <c r="F32" t="str">
        <f>"岡山"</f>
        <v>岡山</v>
      </c>
      <c r="G32" t="str">
        <f>"年２回刊"</f>
        <v>年２回刊</v>
      </c>
      <c r="H32" t="str">
        <f>"2002222300176"</f>
        <v>2002222300176</v>
      </c>
      <c r="I32" t="str">
        <f>HYPERLINK("#", "https://opac.libnet.pref.okayama.jp/licsxp-opac/WOpacMsgNewListToTifTilDetailAction.do?tilcod=2002222300176")</f>
        <v>https://opac.libnet.pref.okayama.jp/licsxp-opac/WOpacMsgNewListToTifTilDetailAction.do?tilcod=2002222300176</v>
      </c>
    </row>
    <row r="33" spans="1:9" x14ac:dyDescent="0.4">
      <c r="A33" t="str">
        <f>"青空通信"</f>
        <v>青空通信</v>
      </c>
      <c r="B33" s="1" t="str">
        <f t="shared" si="0"/>
        <v>青空通信</v>
      </c>
      <c r="C33" t="str">
        <f>"アオゾラ ツウシン"</f>
        <v>アオゾラ ツウシン</v>
      </c>
      <c r="D33" t="str">
        <f>"笠岡園芸センター青空会"</f>
        <v>笠岡園芸センター青空会</v>
      </c>
      <c r="E33" t="str">
        <f>"カサオカ エンゲイ センター アオゾラカイ"</f>
        <v>カサオカ エンゲイ センター アオゾラカイ</v>
      </c>
      <c r="F33" t="str">
        <f>"笠岡"</f>
        <v>笠岡</v>
      </c>
      <c r="G33" t="str">
        <f>"年３回刊"</f>
        <v>年３回刊</v>
      </c>
      <c r="H33" t="str">
        <f>"2002222338610"</f>
        <v>2002222338610</v>
      </c>
      <c r="I33" t="str">
        <f>HYPERLINK("#", "https://opac.libnet.pref.okayama.jp/licsxp-opac/WOpacMsgNewListToTifTilDetailAction.do?tilcod=2002222338610")</f>
        <v>https://opac.libnet.pref.okayama.jp/licsxp-opac/WOpacMsgNewListToTifTilDetailAction.do?tilcod=2002222338610</v>
      </c>
    </row>
    <row r="34" spans="1:9" x14ac:dyDescent="0.4">
      <c r="A34" t="str">
        <f>"青天井"</f>
        <v>青天井</v>
      </c>
      <c r="B34" s="1" t="str">
        <f t="shared" si="0"/>
        <v>青天井</v>
      </c>
      <c r="C34" t="str">
        <f>"アオテンジョウ"</f>
        <v>アオテンジョウ</v>
      </c>
      <c r="D34" t="str">
        <f>"岡山大安寺高等学校文芸部"</f>
        <v>岡山大安寺高等学校文芸部</v>
      </c>
      <c r="E34" t="str">
        <f>"オカヤマダイアンジコウトウガッコウプンゲイブ"</f>
        <v>オカヤマダイアンジコウトウガッコウプンゲイブ</v>
      </c>
      <c r="F34" t="str">
        <f>"岡山"</f>
        <v>岡山</v>
      </c>
      <c r="G34" t="str">
        <f>"頻度不明"</f>
        <v>頻度不明</v>
      </c>
      <c r="H34" t="str">
        <f>"2002222313326"</f>
        <v>2002222313326</v>
      </c>
      <c r="I34" t="str">
        <f>HYPERLINK("#", "https://opac.libnet.pref.okayama.jp/licsxp-opac/WOpacMsgNewListToTifTilDetailAction.do?tilcod=2002222313326")</f>
        <v>https://opac.libnet.pref.okayama.jp/licsxp-opac/WOpacMsgNewListToTifTilDetailAction.do?tilcod=2002222313326</v>
      </c>
    </row>
    <row r="35" spans="1:9" x14ac:dyDescent="0.4">
      <c r="A35" t="str">
        <f>"青葉若葉；真備学園だより"</f>
        <v>青葉若葉；真備学園だより</v>
      </c>
      <c r="B35" s="1" t="str">
        <f t="shared" si="0"/>
        <v>青葉若葉；真備学園だより</v>
      </c>
      <c r="C35" t="str">
        <f>"アオバ　ワカバ＊シンビ　ガクエン　ダヨリ"</f>
        <v>アオバ　ワカバ＊シンビ　ガクエン　ダヨリ</v>
      </c>
      <c r="D35" t="str">
        <f>"真備学園"</f>
        <v>真備学園</v>
      </c>
      <c r="E35" t="str">
        <f>"シンビ ガクエン"</f>
        <v>シンビ ガクエン</v>
      </c>
      <c r="F35" t="str">
        <f>"岡山"</f>
        <v>岡山</v>
      </c>
      <c r="G35" t="str">
        <f>"頻度不明"</f>
        <v>頻度不明</v>
      </c>
      <c r="H35" t="str">
        <f>"2002222302035"</f>
        <v>2002222302035</v>
      </c>
      <c r="I35" t="str">
        <f>HYPERLINK("#", "https://opac.libnet.pref.okayama.jp/licsxp-opac/WOpacMsgNewListToTifTilDetailAction.do?tilcod=2002222302035")</f>
        <v>https://opac.libnet.pref.okayama.jp/licsxp-opac/WOpacMsgNewListToTifTilDetailAction.do?tilcod=2002222302035</v>
      </c>
    </row>
    <row r="36" spans="1:9" x14ac:dyDescent="0.4">
      <c r="A36" t="str">
        <f>"青芽合同歌集"</f>
        <v>青芽合同歌集</v>
      </c>
      <c r="B36" s="1" t="str">
        <f t="shared" si="0"/>
        <v>青芽合同歌集</v>
      </c>
      <c r="C36" t="str">
        <f>"アオメ　ゴウドウ　カシュウ"</f>
        <v>アオメ　ゴウドウ　カシュウ</v>
      </c>
      <c r="D36" t="str">
        <f>"青芽短歌会"</f>
        <v>青芽短歌会</v>
      </c>
      <c r="E36" t="str">
        <f>"アオメタンカカイ"</f>
        <v>アオメタンカカイ</v>
      </c>
      <c r="F36" t="str">
        <f>""</f>
        <v/>
      </c>
      <c r="G36" t="str">
        <f>"頻度不明"</f>
        <v>頻度不明</v>
      </c>
      <c r="H36" t="str">
        <f>"2002222289041"</f>
        <v>2002222289041</v>
      </c>
      <c r="I36" t="str">
        <f>HYPERLINK("#", "https://opac.libnet.pref.okayama.jp/licsxp-opac/WOpacMsgNewListToTifTilDetailAction.do?tilcod=2002222289041")</f>
        <v>https://opac.libnet.pref.okayama.jp/licsxp-opac/WOpacMsgNewListToTifTilDetailAction.do?tilcod=2002222289041</v>
      </c>
    </row>
    <row r="37" spans="1:9" x14ac:dyDescent="0.4">
      <c r="A37" t="str">
        <f>"赤レンガ"</f>
        <v>赤レンガ</v>
      </c>
      <c r="B37" s="1" t="str">
        <f t="shared" si="0"/>
        <v>赤レンガ</v>
      </c>
      <c r="C37" t="str">
        <f>"アカ　レンガ"</f>
        <v>アカ　レンガ</v>
      </c>
      <c r="D37" t="str">
        <f>"放送大学岡山学習センター"</f>
        <v>放送大学岡山学習センター</v>
      </c>
      <c r="E37" t="str">
        <f>"ホウソウ ダイガク オカヤマ ガクシュウ センター"</f>
        <v>ホウソウ ダイガク オカヤマ ガクシュウ センター</v>
      </c>
      <c r="F37" t="str">
        <f>"岡山"</f>
        <v>岡山</v>
      </c>
      <c r="G37" t="str">
        <f>"年２回刊"</f>
        <v>年２回刊</v>
      </c>
      <c r="H37" t="str">
        <f>"2002222302332"</f>
        <v>2002222302332</v>
      </c>
      <c r="I37" t="str">
        <f>HYPERLINK("#", "https://opac.libnet.pref.okayama.jp/licsxp-opac/WOpacMsgNewListToTifTilDetailAction.do?tilcod=2002222302332")</f>
        <v>https://opac.libnet.pref.okayama.jp/licsxp-opac/WOpacMsgNewListToTifTilDetailAction.do?tilcod=2002222302332</v>
      </c>
    </row>
    <row r="38" spans="1:9" x14ac:dyDescent="0.4">
      <c r="A38" t="str">
        <f>"赤い羽根共同募金"</f>
        <v>赤い羽根共同募金</v>
      </c>
      <c r="B38" s="1" t="str">
        <f t="shared" si="0"/>
        <v>赤い羽根共同募金</v>
      </c>
      <c r="C38" t="str">
        <f>"アカイ　ハネ　キョウドウ　ボキン"</f>
        <v>アカイ　ハネ　キョウドウ　ボキン</v>
      </c>
      <c r="D38" t="str">
        <f>"赤磐市共同募金委員会"</f>
        <v>赤磐市共同募金委員会</v>
      </c>
      <c r="E38" t="str">
        <f>"アカイワシ キョウドウ ボキン イインカイ"</f>
        <v>アカイワシ キョウドウ ボキン イインカイ</v>
      </c>
      <c r="F38" t="str">
        <f t="shared" ref="F38:F44" si="2">"赤磐"</f>
        <v>赤磐</v>
      </c>
      <c r="G38" t="str">
        <f>"年２回刊"</f>
        <v>年２回刊</v>
      </c>
      <c r="H38" t="str">
        <f>"2002222301967"</f>
        <v>2002222301967</v>
      </c>
      <c r="I38" t="str">
        <f>HYPERLINK("#", "https://opac.libnet.pref.okayama.jp/licsxp-opac/WOpacMsgNewListToTifTilDetailAction.do?tilcod=2002222301967")</f>
        <v>https://opac.libnet.pref.okayama.jp/licsxp-opac/WOpacMsgNewListToTifTilDetailAction.do?tilcod=2002222301967</v>
      </c>
    </row>
    <row r="39" spans="1:9" x14ac:dyDescent="0.4">
      <c r="A39" t="str">
        <f>"赤磐インフィット・ニューズレター"</f>
        <v>赤磐インフィット・ニューズレター</v>
      </c>
      <c r="B39" s="1" t="str">
        <f t="shared" si="0"/>
        <v>赤磐インフィット・ニューズレター</v>
      </c>
      <c r="C39" t="str">
        <f>"アカイワ インフィット ニューズレター"</f>
        <v>アカイワ インフィット ニューズレター</v>
      </c>
      <c r="D39" t="str">
        <f>"藤原 清史"</f>
        <v>藤原 清史</v>
      </c>
      <c r="E39" t="str">
        <f>"フジワラ キヨシ"</f>
        <v>フジワラ キヨシ</v>
      </c>
      <c r="F39" t="str">
        <f t="shared" si="2"/>
        <v>赤磐</v>
      </c>
      <c r="G39" t="str">
        <f>"年２回刊"</f>
        <v>年２回刊</v>
      </c>
      <c r="H39" t="str">
        <f>"2002222332108"</f>
        <v>2002222332108</v>
      </c>
      <c r="I39" t="str">
        <f>HYPERLINK("#", "https://opac.libnet.pref.okayama.jp/licsxp-opac/WOpacMsgNewListToTifTilDetailAction.do?tilcod=2002222332108")</f>
        <v>https://opac.libnet.pref.okayama.jp/licsxp-opac/WOpacMsgNewListToTifTilDetailAction.do?tilcod=2002222332108</v>
      </c>
    </row>
    <row r="40" spans="1:9" x14ac:dyDescent="0.4">
      <c r="A40" t="str">
        <f>"赤磐市文化協会だより"</f>
        <v>赤磐市文化協会だより</v>
      </c>
      <c r="B40" s="1" t="str">
        <f t="shared" si="0"/>
        <v>赤磐市文化協会だより</v>
      </c>
      <c r="C40" t="str">
        <f>"アカイワ　シ　ブンカ　キョウカイ　ダヨリ"</f>
        <v>アカイワ　シ　ブンカ　キョウカイ　ダヨリ</v>
      </c>
      <c r="D40" t="str">
        <f>"赤磐市文化協会"</f>
        <v>赤磐市文化協会</v>
      </c>
      <c r="E40" t="str">
        <f>"アカイワシブンカキョウカイ"</f>
        <v>アカイワシブンカキョウカイ</v>
      </c>
      <c r="F40" t="str">
        <f t="shared" si="2"/>
        <v>赤磐</v>
      </c>
      <c r="G40" t="str">
        <f>"頻度不明"</f>
        <v>頻度不明</v>
      </c>
      <c r="H40" t="str">
        <f>"2002222302358"</f>
        <v>2002222302358</v>
      </c>
      <c r="I40" t="str">
        <f>HYPERLINK("#", "https://opac.libnet.pref.okayama.jp/licsxp-opac/WOpacMsgNewListToTifTilDetailAction.do?tilcod=2002222302358")</f>
        <v>https://opac.libnet.pref.okayama.jp/licsxp-opac/WOpacMsgNewListToTifTilDetailAction.do?tilcod=2002222302358</v>
      </c>
    </row>
    <row r="41" spans="1:9" x14ac:dyDescent="0.4">
      <c r="A41" t="str">
        <f>"赤磐市議会だより"</f>
        <v>赤磐市議会だより</v>
      </c>
      <c r="B41" s="1" t="str">
        <f t="shared" si="0"/>
        <v>赤磐市議会だより</v>
      </c>
      <c r="C41" t="str">
        <f>"アカイワ　シギカイ　ダヨリ"</f>
        <v>アカイワ　シギカイ　ダヨリ</v>
      </c>
      <c r="D41" t="str">
        <f>"赤磐市議会広報編集特別委員会"</f>
        <v>赤磐市議会広報編集特別委員会</v>
      </c>
      <c r="E41" t="str">
        <f>"アカイワシギカイコウホウヘンシュウトクベツイインカイ"</f>
        <v>アカイワシギカイコウホウヘンシュウトクベツイインカイ</v>
      </c>
      <c r="F41" t="str">
        <f t="shared" si="2"/>
        <v>赤磐</v>
      </c>
      <c r="G41" t="str">
        <f>"季刊"</f>
        <v>季刊</v>
      </c>
      <c r="H41" t="str">
        <f>"2002222302017"</f>
        <v>2002222302017</v>
      </c>
      <c r="I41" t="str">
        <f>HYPERLINK("#", "https://opac.libnet.pref.okayama.jp/licsxp-opac/WOpacMsgNewListToTifTilDetailAction.do?tilcod=2002222302017")</f>
        <v>https://opac.libnet.pref.okayama.jp/licsxp-opac/WOpacMsgNewListToTifTilDetailAction.do?tilcod=2002222302017</v>
      </c>
    </row>
    <row r="42" spans="1:9" x14ac:dyDescent="0.4">
      <c r="A42" t="str">
        <f>"赤磐社協福祉のひろば"</f>
        <v>赤磐社協福祉のひろば</v>
      </c>
      <c r="B42" s="1" t="str">
        <f t="shared" si="0"/>
        <v>赤磐社協福祉のひろば</v>
      </c>
      <c r="C42" t="str">
        <f>"アカイワ シャキョウ フクシ ノ ヒロバ"</f>
        <v>アカイワ シャキョウ フクシ ノ ヒロバ</v>
      </c>
      <c r="D42" t="str">
        <f>"赤磐市社会福祉協議会"</f>
        <v>赤磐市社会福祉協議会</v>
      </c>
      <c r="E42" t="str">
        <f>"アカイワシシャカイフクシキョウギカイ"</f>
        <v>アカイワシシャカイフクシキョウギカイ</v>
      </c>
      <c r="F42" t="str">
        <f t="shared" si="2"/>
        <v>赤磐</v>
      </c>
      <c r="G42" t="str">
        <f>"隔月刊"</f>
        <v>隔月刊</v>
      </c>
      <c r="H42" t="str">
        <f>"2002222331408"</f>
        <v>2002222331408</v>
      </c>
      <c r="I42" t="str">
        <f>HYPERLINK("#", "https://opac.libnet.pref.okayama.jp/licsxp-opac/WOpacMsgNewListToTifTilDetailAction.do?tilcod=2002222331408")</f>
        <v>https://opac.libnet.pref.okayama.jp/licsxp-opac/WOpacMsgNewListToTifTilDetailAction.do?tilcod=2002222331408</v>
      </c>
    </row>
    <row r="43" spans="1:9" x14ac:dyDescent="0.4">
      <c r="A43" t="str">
        <f>"あかいわ新聞"</f>
        <v>あかいわ新聞</v>
      </c>
      <c r="B43" s="1" t="str">
        <f t="shared" si="0"/>
        <v>あかいわ新聞</v>
      </c>
      <c r="C43" t="str">
        <f>"アカイワ　シンブン"</f>
        <v>アカイワ　シンブン</v>
      </c>
      <c r="D43" t="str">
        <f>"あかいわ新聞社"</f>
        <v>あかいわ新聞社</v>
      </c>
      <c r="E43" t="str">
        <f>"アカイワシンブンシャ"</f>
        <v>アカイワシンブンシャ</v>
      </c>
      <c r="F43" t="str">
        <f t="shared" si="2"/>
        <v>赤磐</v>
      </c>
      <c r="G43" t="str">
        <f>"月刊"</f>
        <v>月刊</v>
      </c>
      <c r="H43" t="str">
        <f>"2002222300984"</f>
        <v>2002222300984</v>
      </c>
      <c r="I43" t="str">
        <f>HYPERLINK("#", "https://opac.libnet.pref.okayama.jp/licsxp-opac/WOpacMsgNewListToTifTilDetailAction.do?tilcod=2002222300984")</f>
        <v>https://opac.libnet.pref.okayama.jp/licsxp-opac/WOpacMsgNewListToTifTilDetailAction.do?tilcod=2002222300984</v>
      </c>
    </row>
    <row r="44" spans="1:9" x14ac:dyDescent="0.4">
      <c r="A44" t="str">
        <f>"あかいわ大好きおばちゃん情報；赤磐商工会女性部情報誌"</f>
        <v>あかいわ大好きおばちゃん情報；赤磐商工会女性部情報誌</v>
      </c>
      <c r="B44" s="1" t="str">
        <f t="shared" si="0"/>
        <v>あかいわ大好きおばちゃん情報；赤磐商工会女性部情報誌</v>
      </c>
      <c r="C44" t="str">
        <f>"アカイワ　ダイスキ　オバチャン　ジョウホウ＊アカイワ　ショウコウカイ　ジョセイブ　ジョウホウシ"</f>
        <v>アカイワ　ダイスキ　オバチャン　ジョウホウ＊アカイワ　ショウコウカイ　ジョセイブ　ジョウホウシ</v>
      </c>
      <c r="D44" t="str">
        <f>"赤磐商工会女性部"</f>
        <v>赤磐商工会女性部</v>
      </c>
      <c r="E44" t="str">
        <f>"アカイワショウコウカイジョセイブ"</f>
        <v>アカイワショウコウカイジョセイブ</v>
      </c>
      <c r="F44" t="str">
        <f t="shared" si="2"/>
        <v>赤磐</v>
      </c>
      <c r="G44" t="str">
        <f>"年２回刊"</f>
        <v>年２回刊</v>
      </c>
      <c r="H44" t="str">
        <f>"2002222301019"</f>
        <v>2002222301019</v>
      </c>
      <c r="I44" t="str">
        <f>HYPERLINK("#", "https://opac.libnet.pref.okayama.jp/licsxp-opac/WOpacMsgNewListToTifTilDetailAction.do?tilcod=2002222301019")</f>
        <v>https://opac.libnet.pref.okayama.jp/licsxp-opac/WOpacMsgNewListToTifTilDetailAction.do?tilcod=2002222301019</v>
      </c>
    </row>
    <row r="45" spans="1:9" x14ac:dyDescent="0.4">
      <c r="A45" t="str">
        <f>"赤磐地域合併協議会だより"</f>
        <v>赤磐地域合併協議会だより</v>
      </c>
      <c r="B45" s="1" t="str">
        <f t="shared" si="0"/>
        <v>赤磐地域合併協議会だより</v>
      </c>
      <c r="C45" t="str">
        <f>"アカイワ　チイキ　ガッペイ　キョウギカイ　ダヨリ"</f>
        <v>アカイワ　チイキ　ガッペイ　キョウギカイ　ダヨリ</v>
      </c>
      <c r="D45" t="str">
        <f>"赤磐地域合併協議会事務局"</f>
        <v>赤磐地域合併協議会事務局</v>
      </c>
      <c r="E45" t="str">
        <f>"アカイワチイキガッペイキョウギカイジムキョク"</f>
        <v>アカイワチイキガッペイキョウギカイジムキョク</v>
      </c>
      <c r="F45" t="str">
        <f>"山陽町（赤磐郡）"</f>
        <v>山陽町（赤磐郡）</v>
      </c>
      <c r="G45" t="str">
        <f>"月刊"</f>
        <v>月刊</v>
      </c>
      <c r="H45" t="str">
        <f>"2002222300180"</f>
        <v>2002222300180</v>
      </c>
      <c r="I45" t="str">
        <f>HYPERLINK("#", "https://opac.libnet.pref.okayama.jp/licsxp-opac/WOpacMsgNewListToTifTilDetailAction.do?tilcod=2002222300180")</f>
        <v>https://opac.libnet.pref.okayama.jp/licsxp-opac/WOpacMsgNewListToTifTilDetailAction.do?tilcod=2002222300180</v>
      </c>
    </row>
    <row r="46" spans="1:9" x14ac:dyDescent="0.4">
      <c r="A46" t="str">
        <f>"赤磐地域社会福祉協議会合併協議会社協合併協だより"</f>
        <v>赤磐地域社会福祉協議会合併協議会社協合併協だより</v>
      </c>
      <c r="B46" s="1" t="str">
        <f t="shared" si="0"/>
        <v>赤磐地域社会福祉協議会合併協議会社協合併協だより</v>
      </c>
      <c r="C46" t="str">
        <f>"アカイワ　チイキ　シャカイ　フクシ　キョウギカイ　ガッペイ　キョウギカイ　シャキョウ　ガッペイキョウ　ダヨリ"</f>
        <v>アカイワ　チイキ　シャカイ　フクシ　キョウギカイ　ガッペイ　キョウギカイ　シャキョウ　ガッペイキョウ　ダヨリ</v>
      </c>
      <c r="D46" t="str">
        <f>"赤磐地域社会福祉協議会合併協議会"</f>
        <v>赤磐地域社会福祉協議会合併協議会</v>
      </c>
      <c r="E46" t="str">
        <f>"アカイワチイキシャカイフクシキョウギカイガッペイキョウギカイ"</f>
        <v>アカイワチイキシャカイフクシキョウギカイガッペイキョウギカイ</v>
      </c>
      <c r="F46" t="str">
        <f>"山陽町（赤磐郡）"</f>
        <v>山陽町（赤磐郡）</v>
      </c>
      <c r="G46" t="str">
        <f>"頻度不明"</f>
        <v>頻度不明</v>
      </c>
      <c r="H46" t="str">
        <f>"2002222300186"</f>
        <v>2002222300186</v>
      </c>
      <c r="I46" t="str">
        <f>HYPERLINK("#", "https://opac.libnet.pref.okayama.jp/licsxp-opac/WOpacMsgNewListToTifTilDetailAction.do?tilcod=2002222300186")</f>
        <v>https://opac.libnet.pref.okayama.jp/licsxp-opac/WOpacMsgNewListToTifTilDetailAction.do?tilcod=2002222300186</v>
      </c>
    </row>
    <row r="47" spans="1:9" x14ac:dyDescent="0.4">
      <c r="A47" t="str">
        <f>"赤磐文化"</f>
        <v>赤磐文化</v>
      </c>
      <c r="B47" s="1" t="str">
        <f t="shared" si="0"/>
        <v>赤磐文化</v>
      </c>
      <c r="C47" t="str">
        <f>"アカイワ　ブンカ"</f>
        <v>アカイワ　ブンカ</v>
      </c>
      <c r="D47" t="str">
        <f>"赤磐文化懇話会"</f>
        <v>赤磐文化懇話会</v>
      </c>
      <c r="E47" t="str">
        <f>"アカイワブンカコンワカイ"</f>
        <v>アカイワブンカコンワカイ</v>
      </c>
      <c r="F47" t="str">
        <f>""</f>
        <v/>
      </c>
      <c r="G47" t="str">
        <f>"頻度不明"</f>
        <v>頻度不明</v>
      </c>
      <c r="H47" t="str">
        <f>"2002222287051"</f>
        <v>2002222287051</v>
      </c>
      <c r="I47" t="str">
        <f>HYPERLINK("#", "https://opac.libnet.pref.okayama.jp/licsxp-opac/WOpacMsgNewListToTifTilDetailAction.do?tilcod=2002222287051")</f>
        <v>https://opac.libnet.pref.okayama.jp/licsxp-opac/WOpacMsgNewListToTifTilDetailAction.do?tilcod=2002222287051</v>
      </c>
    </row>
    <row r="48" spans="1:9" x14ac:dyDescent="0.4">
      <c r="A48" t="str">
        <f>"赤磐郡合併協議会だより；明日を語ろう　今　和になって"</f>
        <v>赤磐郡合併協議会だより；明日を語ろう　今　和になって</v>
      </c>
      <c r="B48" s="1" t="str">
        <f t="shared" si="0"/>
        <v>赤磐郡合併協議会だより；明日を語ろう　今　和になって</v>
      </c>
      <c r="C48" t="str">
        <f>"アカイワグン　ガッペイ　キョウギカイ　ダヨリ＊アス　オ　カタロウ　イマ　ワ　ニ　ナッテ"</f>
        <v>アカイワグン　ガッペイ　キョウギカイ　ダヨリ＊アス　オ　カタロウ　イマ　ワ　ニ　ナッテ</v>
      </c>
      <c r="D48" t="str">
        <f>"赤磐郡合併協議会"</f>
        <v>赤磐郡合併協議会</v>
      </c>
      <c r="E48" t="str">
        <f>"アカイワグンガッペイキョウギカイ"</f>
        <v>アカイワグンガッペイキョウギカイ</v>
      </c>
      <c r="F48" t="str">
        <f>"赤坂町（赤磐郡）"</f>
        <v>赤坂町（赤磐郡）</v>
      </c>
      <c r="G48" t="str">
        <f>"頻度不明"</f>
        <v>頻度不明</v>
      </c>
      <c r="H48" t="str">
        <f>"2002222286081"</f>
        <v>2002222286081</v>
      </c>
      <c r="I48" t="str">
        <f>HYPERLINK("#", "https://opac.libnet.pref.okayama.jp/licsxp-opac/WOpacMsgNewListToTifTilDetailAction.do?tilcod=2002222286081")</f>
        <v>https://opac.libnet.pref.okayama.jp/licsxp-opac/WOpacMsgNewListToTifTilDetailAction.do?tilcod=2002222286081</v>
      </c>
    </row>
    <row r="49" spans="1:9" x14ac:dyDescent="0.4">
      <c r="A49" t="str">
        <f>"赤磐郡合併調査研究会広報紙；明日を語ろう　今　和になって"</f>
        <v>赤磐郡合併調査研究会広報紙；明日を語ろう　今　和になって</v>
      </c>
      <c r="B49" s="1" t="str">
        <f t="shared" si="0"/>
        <v>赤磐郡合併調査研究会広報紙；明日を語ろう　今　和になって</v>
      </c>
      <c r="C49" t="str">
        <f>"アカイワグン　ガッペイ　チョウサ　ケンキュウカイ　コウホウシ＊アス　オ　カタロウ　イマ　ワ　ニ　ナッテ"</f>
        <v>アカイワグン　ガッペイ　チョウサ　ケンキュウカイ　コウホウシ＊アス　オ　カタロウ　イマ　ワ　ニ　ナッテ</v>
      </c>
      <c r="D49" t="str">
        <f>"赤磐郡合併調査研究会"</f>
        <v>赤磐郡合併調査研究会</v>
      </c>
      <c r="E49" t="str">
        <f>"アカイワグンガッペイチョウサケンキュウカイ"</f>
        <v>アカイワグンガッペイチョウサケンキュウカイ</v>
      </c>
      <c r="F49" t="str">
        <f>"赤坂町（赤磐郡）"</f>
        <v>赤坂町（赤磐郡）</v>
      </c>
      <c r="G49" t="str">
        <f>"頻度不明"</f>
        <v>頻度不明</v>
      </c>
      <c r="H49" t="str">
        <f>"2002222285571"</f>
        <v>2002222285571</v>
      </c>
      <c r="I49" t="str">
        <f>HYPERLINK("#", "https://opac.libnet.pref.okayama.jp/licsxp-opac/WOpacMsgNewListToTifTilDetailAction.do?tilcod=2002222285571")</f>
        <v>https://opac.libnet.pref.okayama.jp/licsxp-opac/WOpacMsgNewListToTifTilDetailAction.do?tilcod=2002222285571</v>
      </c>
    </row>
    <row r="50" spans="1:9" x14ac:dyDescent="0.4">
      <c r="A50" t="str">
        <f>"赤磐市老連だより"</f>
        <v>赤磐市老連だより</v>
      </c>
      <c r="B50" s="1" t="str">
        <f t="shared" si="0"/>
        <v>赤磐市老連だより</v>
      </c>
      <c r="C50" t="str">
        <f>"アカイワシ ロウレン ダヨリ "</f>
        <v xml:space="preserve">アカイワシ ロウレン ダヨリ </v>
      </c>
      <c r="D50" t="str">
        <f>"赤磐市老人クラブ連合会"</f>
        <v>赤磐市老人クラブ連合会</v>
      </c>
      <c r="E50" t="str">
        <f>"アカイワシ ロウジン クラブ レンゴウカイ"</f>
        <v>アカイワシ ロウジン クラブ レンゴウカイ</v>
      </c>
      <c r="F50" t="str">
        <f>"赤磐"</f>
        <v>赤磐</v>
      </c>
      <c r="G50" t="str">
        <f>"頻度不明"</f>
        <v>頻度不明</v>
      </c>
      <c r="H50" t="str">
        <f>"2002222307528"</f>
        <v>2002222307528</v>
      </c>
      <c r="I50" t="str">
        <f>HYPERLINK("#", "https://opac.libnet.pref.okayama.jp/licsxp-opac/WOpacMsgNewListToTifTilDetailAction.do?tilcod=2002222307528")</f>
        <v>https://opac.libnet.pref.okayama.jp/licsxp-opac/WOpacMsgNewListToTifTilDetailAction.do?tilcod=2002222307528</v>
      </c>
    </row>
    <row r="51" spans="1:9" x14ac:dyDescent="0.4">
      <c r="A51" t="str">
        <f>"赤枝郁郎の寂照庵独りごと草子"</f>
        <v>赤枝郁郎の寂照庵独りごと草子</v>
      </c>
      <c r="B51" s="1" t="str">
        <f t="shared" si="0"/>
        <v>赤枝郁郎の寂照庵独りごと草子</v>
      </c>
      <c r="C51" t="str">
        <f>"アカエダ　イクロウ　ノ　ジャクショウアン　ヒトリゴト　ソウシ"</f>
        <v>アカエダ　イクロウ　ノ　ジャクショウアン　ヒトリゴト　ソウシ</v>
      </c>
      <c r="D51" t="str">
        <f>"寂照庵社会福祉寄付基金"</f>
        <v>寂照庵社会福祉寄付基金</v>
      </c>
      <c r="E51" t="str">
        <f>"ジャクショウアンシャカイフクシキフキキン"</f>
        <v>ジャクショウアンシャカイフクシキフキキン</v>
      </c>
      <c r="F51" t="str">
        <f>"建部町（御津郡）"</f>
        <v>建部町（御津郡）</v>
      </c>
      <c r="G51" t="str">
        <f>"季刊"</f>
        <v>季刊</v>
      </c>
      <c r="H51" t="str">
        <f>"2002222281914"</f>
        <v>2002222281914</v>
      </c>
      <c r="I51" t="str">
        <f>HYPERLINK("#", "https://opac.libnet.pref.okayama.jp/licsxp-opac/WOpacMsgNewListToTifTilDetailAction.do?tilcod=2002222281914")</f>
        <v>https://opac.libnet.pref.okayama.jp/licsxp-opac/WOpacMsgNewListToTifTilDetailAction.do?tilcod=2002222281914</v>
      </c>
    </row>
    <row r="52" spans="1:9" x14ac:dyDescent="0.4">
      <c r="A52" t="str">
        <f>"赤阪"</f>
        <v>赤阪</v>
      </c>
      <c r="B52" s="1" t="str">
        <f t="shared" si="0"/>
        <v>赤阪</v>
      </c>
      <c r="C52" t="str">
        <f>"アカサカ"</f>
        <v>アカサカ</v>
      </c>
      <c r="D52" t="str">
        <f>"赤坂高等小学校校友会"</f>
        <v>赤坂高等小学校校友会</v>
      </c>
      <c r="E52" t="str">
        <f>"アカサカコウトウショウガッコウコウユウカイ"</f>
        <v>アカサカコウトウショウガッコウコウユウカイ</v>
      </c>
      <c r="F52" t="str">
        <f>""</f>
        <v/>
      </c>
      <c r="G52" t="str">
        <f>"頻度不明"</f>
        <v>頻度不明</v>
      </c>
      <c r="H52" t="str">
        <f>"2002222287061"</f>
        <v>2002222287061</v>
      </c>
      <c r="I52" t="str">
        <f>HYPERLINK("#", "https://opac.libnet.pref.okayama.jp/licsxp-opac/WOpacMsgNewListToTifTilDetailAction.do?tilcod=2002222287061")</f>
        <v>https://opac.libnet.pref.okayama.jp/licsxp-opac/WOpacMsgNewListToTifTilDetailAction.do?tilcod=2002222287061</v>
      </c>
    </row>
    <row r="53" spans="1:9" x14ac:dyDescent="0.4">
      <c r="A53" t="str">
        <f>"赤小学校だより"</f>
        <v>赤小学校だより</v>
      </c>
      <c r="B53" s="1" t="str">
        <f t="shared" si="0"/>
        <v>赤小学校だより</v>
      </c>
      <c r="C53" t="str">
        <f>"アカショウ ガッコウ ダヨリ"</f>
        <v>アカショウ ガッコウ ダヨリ</v>
      </c>
      <c r="D53" t="str">
        <f>"倉敷市立赤崎小学校"</f>
        <v>倉敷市立赤崎小学校</v>
      </c>
      <c r="E53" t="str">
        <f>"クラシキシリツ アカサキ ショウガッコウ"</f>
        <v>クラシキシリツ アカサキ ショウガッコウ</v>
      </c>
      <c r="F53" t="str">
        <f>"倉敷"</f>
        <v>倉敷</v>
      </c>
      <c r="G53" t="str">
        <f>"頻度不明"</f>
        <v>頻度不明</v>
      </c>
      <c r="H53" t="str">
        <f>"2002222322407"</f>
        <v>2002222322407</v>
      </c>
      <c r="I53" t="str">
        <f>HYPERLINK("#", "https://opac.libnet.pref.okayama.jp/licsxp-opac/WOpacMsgNewListToTifTilDetailAction.do?tilcod=2002222322407")</f>
        <v>https://opac.libnet.pref.okayama.jp/licsxp-opac/WOpacMsgNewListToTifTilDetailAction.do?tilcod=2002222322407</v>
      </c>
    </row>
    <row r="54" spans="1:9" x14ac:dyDescent="0.4">
      <c r="A54" t="str">
        <f>"あがた川；岡山県立林野高等学校学校だより"</f>
        <v>あがた川；岡山県立林野高等学校学校だより</v>
      </c>
      <c r="B54" s="1" t="str">
        <f t="shared" si="0"/>
        <v>あがた川；岡山県立林野高等学校学校だより</v>
      </c>
      <c r="C54" t="str">
        <f>"アガタガワ*オカヤマケンリツ ハヤシノ コウトウ ガッコウ ガッコウ ダヨリ"</f>
        <v>アガタガワ*オカヤマケンリツ ハヤシノ コウトウ ガッコウ ガッコウ ダヨリ</v>
      </c>
      <c r="D54" t="str">
        <f>"林野高等学校総務課"</f>
        <v>林野高等学校総務課</v>
      </c>
      <c r="E54" t="str">
        <f>"ハヤシノ コウトウ ガッコウ ソウムカ"</f>
        <v>ハヤシノ コウトウ ガッコウ ソウムカ</v>
      </c>
      <c r="F54" t="str">
        <f>"美作"</f>
        <v>美作</v>
      </c>
      <c r="G54" t="str">
        <f>"季刊"</f>
        <v>季刊</v>
      </c>
      <c r="H54" t="str">
        <f>"2002222306785"</f>
        <v>2002222306785</v>
      </c>
      <c r="I54" t="str">
        <f>HYPERLINK("#", "https://opac.libnet.pref.okayama.jp/licsxp-opac/WOpacMsgNewListToTifTilDetailAction.do?tilcod=2002222306785")</f>
        <v>https://opac.libnet.pref.okayama.jp/licsxp-opac/WOpacMsgNewListToTifTilDetailAction.do?tilcod=2002222306785</v>
      </c>
    </row>
    <row r="55" spans="1:9" x14ac:dyDescent="0.4">
      <c r="A55" t="str">
        <f>"あかとき"</f>
        <v>あかとき</v>
      </c>
      <c r="B55" s="1" t="str">
        <f t="shared" si="0"/>
        <v>あかとき</v>
      </c>
      <c r="C55" t="str">
        <f>"アカトキ"</f>
        <v>アカトキ</v>
      </c>
      <c r="D55" t="str">
        <f>"成羽高等学校文芸部"</f>
        <v>成羽高等学校文芸部</v>
      </c>
      <c r="E55" t="str">
        <f>"ナリワ コウトウガッコウ ブンゲイブ"</f>
        <v>ナリワ コウトウガッコウ ブンゲイブ</v>
      </c>
      <c r="F55" t="str">
        <f>""</f>
        <v/>
      </c>
      <c r="G55" t="str">
        <f>"頻度不明"</f>
        <v>頻度不明</v>
      </c>
      <c r="H55" t="str">
        <f>"2002222306699"</f>
        <v>2002222306699</v>
      </c>
      <c r="I55" t="str">
        <f>HYPERLINK("#", "https://opac.libnet.pref.okayama.jp/licsxp-opac/WOpacMsgNewListToTifTilDetailAction.do?tilcod=2002222306699")</f>
        <v>https://opac.libnet.pref.okayama.jp/licsxp-opac/WOpacMsgNewListToTifTilDetailAction.do?tilcod=2002222306699</v>
      </c>
    </row>
    <row r="56" spans="1:9" x14ac:dyDescent="0.4">
      <c r="A56" t="str">
        <f>"あかまつ"</f>
        <v>あかまつ</v>
      </c>
      <c r="B56" s="1" t="str">
        <f t="shared" si="0"/>
        <v>あかまつ</v>
      </c>
      <c r="C56" t="str">
        <f>"アカマツ"</f>
        <v>アカマツ</v>
      </c>
      <c r="D56" t="str">
        <f>"日本青年会議所中国地区岡山ブロック協議会"</f>
        <v>日本青年会議所中国地区岡山ブロック協議会</v>
      </c>
      <c r="E56" t="str">
        <f>"ニホン セイネン カイギショ チュウゴク チク オカヤマ ブロック キョウギカイ"</f>
        <v>ニホン セイネン カイギショ チュウゴク チク オカヤマ ブロック キョウギカイ</v>
      </c>
      <c r="F56" t="str">
        <f>"[岡山]"</f>
        <v>[岡山]</v>
      </c>
      <c r="G56" t="str">
        <f>"頻度不明"</f>
        <v>頻度不明</v>
      </c>
      <c r="H56" t="str">
        <f>"2002222336773"</f>
        <v>2002222336773</v>
      </c>
      <c r="I56" t="str">
        <f>HYPERLINK("#", "https://opac.libnet.pref.okayama.jp/licsxp-opac/WOpacMsgNewListToTifTilDetailAction.do?tilcod=2002222336773")</f>
        <v>https://opac.libnet.pref.okayama.jp/licsxp-opac/WOpacMsgNewListToTifTilDetailAction.do?tilcod=2002222336773</v>
      </c>
    </row>
    <row r="57" spans="1:9" x14ac:dyDescent="0.4">
      <c r="A57" t="str">
        <f>"明るい社会"</f>
        <v>明るい社会</v>
      </c>
      <c r="B57" s="1" t="str">
        <f t="shared" si="0"/>
        <v>明るい社会</v>
      </c>
      <c r="C57" t="str">
        <f>"アカルイ シャカイ"</f>
        <v>アカルイ シャカイ</v>
      </c>
      <c r="D57" t="str">
        <f>"明るい社会社"</f>
        <v>明るい社会社</v>
      </c>
      <c r="E57" t="str">
        <f>"アカルイシャカイシャ"</f>
        <v>アカルイシャカイシャ</v>
      </c>
      <c r="F57" t="str">
        <f>"津山"</f>
        <v>津山</v>
      </c>
      <c r="G57" t="str">
        <f>"頻度不明"</f>
        <v>頻度不明</v>
      </c>
      <c r="H57" t="str">
        <f>"2002222336966"</f>
        <v>2002222336966</v>
      </c>
      <c r="I57" t="str">
        <f>HYPERLINK("#", "https://opac.libnet.pref.okayama.jp/licsxp-opac/WOpacMsgNewListToTifTilDetailAction.do?tilcod=2002222336966")</f>
        <v>https://opac.libnet.pref.okayama.jp/licsxp-opac/WOpacMsgNewListToTifTilDetailAction.do?tilcod=2002222336966</v>
      </c>
    </row>
    <row r="58" spans="1:9" x14ac:dyDescent="0.4">
      <c r="A58" t="str">
        <f>"あかれんが ; 東公民館だより"</f>
        <v>あかれんが ; 東公民館だより</v>
      </c>
      <c r="B58" s="1" t="str">
        <f t="shared" si="0"/>
        <v>あかれんが ; 東公民館だより</v>
      </c>
      <c r="C58" t="str">
        <f>"アカレンガ ; ヒガシ コウミンカン ダヨリ"</f>
        <v>アカレンガ ; ヒガシ コウミンカン ダヨリ</v>
      </c>
      <c r="D58" t="str">
        <f>"岡山市立東公民館"</f>
        <v>岡山市立東公民館</v>
      </c>
      <c r="E58" t="str">
        <f>"オカヤマシリツ ヒガシ コウミンカン"</f>
        <v>オカヤマシリツ ヒガシ コウミンカン</v>
      </c>
      <c r="F58" t="str">
        <f>"岡山"</f>
        <v>岡山</v>
      </c>
      <c r="G58" t="str">
        <f>"季刊"</f>
        <v>季刊</v>
      </c>
      <c r="H58" t="str">
        <f>"2002222341371"</f>
        <v>2002222341371</v>
      </c>
      <c r="I58" t="str">
        <f>HYPERLINK("#", "https://opac.libnet.pref.okayama.jp/licsxp-opac/WOpacMsgNewListToTifTilDetailAction.do?tilcod=2002222341371")</f>
        <v>https://opac.libnet.pref.okayama.jp/licsxp-opac/WOpacMsgNewListToTifTilDetailAction.do?tilcod=2002222341371</v>
      </c>
    </row>
    <row r="59" spans="1:9" x14ac:dyDescent="0.4">
      <c r="A59" t="str">
        <f>"赤煉瓦；岡山大学考古学研究室同窓会誌"</f>
        <v>赤煉瓦；岡山大学考古学研究室同窓会誌</v>
      </c>
      <c r="B59" s="1" t="str">
        <f t="shared" si="0"/>
        <v>赤煉瓦；岡山大学考古学研究室同窓会誌</v>
      </c>
      <c r="C59" t="str">
        <f>"アカレンガ＊オカヤマ　ダイガク　コウコガク　ケンキュウシツ　ドウソウカイシ"</f>
        <v>アカレンガ＊オカヤマ　ダイガク　コウコガク　ケンキュウシツ　ドウソウカイシ</v>
      </c>
      <c r="D59" t="str">
        <f>"岡山大学考古学研究室同窓会"</f>
        <v>岡山大学考古学研究室同窓会</v>
      </c>
      <c r="E59" t="str">
        <f>"オカヤマダイガクコウコガクケンキュウシツドウソウカイ"</f>
        <v>オカヤマダイガクコウコガクケンキュウシツドウソウカイ</v>
      </c>
      <c r="F59" t="str">
        <f>"岡山"</f>
        <v>岡山</v>
      </c>
      <c r="G59" t="str">
        <f>"頻度不明"</f>
        <v>頻度不明</v>
      </c>
      <c r="H59" t="str">
        <f>"2002222302056"</f>
        <v>2002222302056</v>
      </c>
      <c r="I59" t="str">
        <f>HYPERLINK("#", "https://opac.libnet.pref.okayama.jp/licsxp-opac/WOpacMsgNewListToTifTilDetailAction.do?tilcod=2002222302056")</f>
        <v>https://opac.libnet.pref.okayama.jp/licsxp-opac/WOpacMsgNewListToTifTilDetailAction.do?tilcod=2002222302056</v>
      </c>
    </row>
    <row r="60" spans="1:9" x14ac:dyDescent="0.4">
      <c r="A60" t="str">
        <f>"安幾津"</f>
        <v>安幾津</v>
      </c>
      <c r="B60" s="1" t="str">
        <f t="shared" si="0"/>
        <v>安幾津</v>
      </c>
      <c r="C60" t="str">
        <f>"アキツ"</f>
        <v>アキツ</v>
      </c>
      <c r="D60" t="str">
        <f>"安幾津歌会"</f>
        <v>安幾津歌会</v>
      </c>
      <c r="E60" t="str">
        <f>"アキツ カカイ"</f>
        <v>アキツ カカイ</v>
      </c>
      <c r="F60" t="str">
        <f>"岡山"</f>
        <v>岡山</v>
      </c>
      <c r="G60" t="str">
        <f>"頻度不明"</f>
        <v>頻度不明</v>
      </c>
      <c r="H60" t="str">
        <f>"2002222289051"</f>
        <v>2002222289051</v>
      </c>
      <c r="I60" t="str">
        <f>HYPERLINK("#", "https://opac.libnet.pref.okayama.jp/licsxp-opac/WOpacMsgNewListToTifTilDetailAction.do?tilcod=2002222289051")</f>
        <v>https://opac.libnet.pref.okayama.jp/licsxp-opac/WOpacMsgNewListToTifTilDetailAction.do?tilcod=2002222289051</v>
      </c>
    </row>
    <row r="61" spans="1:9" x14ac:dyDescent="0.4">
      <c r="A61" t="str">
        <f>"アクア通信；水道局だより"</f>
        <v>アクア通信；水道局だより</v>
      </c>
      <c r="B61" s="1" t="str">
        <f t="shared" si="0"/>
        <v>アクア通信；水道局だより</v>
      </c>
      <c r="C61" t="str">
        <f>"アクア　ツウシン＊スイドウキョク　ダヨリ"</f>
        <v>アクア　ツウシン＊スイドウキョク　ダヨリ</v>
      </c>
      <c r="D61" t="str">
        <f>"岡山市水道局"</f>
        <v>岡山市水道局</v>
      </c>
      <c r="E61" t="str">
        <f>"オカヤマシ スイドウキョク"</f>
        <v>オカヤマシ スイドウキョク</v>
      </c>
      <c r="F61" t="str">
        <f>"岡山"</f>
        <v>岡山</v>
      </c>
      <c r="G61" t="str">
        <f>"頻度不明"</f>
        <v>頻度不明</v>
      </c>
      <c r="H61" t="str">
        <f>"2002222283051"</f>
        <v>2002222283051</v>
      </c>
      <c r="I61" t="str">
        <f>HYPERLINK("#", "https://opac.libnet.pref.okayama.jp/licsxp-opac/WOpacMsgNewListToTifTilDetailAction.do?tilcod=2002222283051")</f>
        <v>https://opac.libnet.pref.okayama.jp/licsxp-opac/WOpacMsgNewListToTifTilDetailAction.do?tilcod=2002222283051</v>
      </c>
    </row>
    <row r="62" spans="1:9" x14ac:dyDescent="0.4">
      <c r="A62" t="str">
        <f>"ａｃｔｉｖｅ（アクティブ）"</f>
        <v>ａｃｔｉｖｅ（アクティブ）</v>
      </c>
      <c r="B62" s="1" t="str">
        <f t="shared" si="0"/>
        <v>ａｃｔｉｖｅ（アクティブ）</v>
      </c>
      <c r="C62" t="str">
        <f>"アクティブ"</f>
        <v>アクティブ</v>
      </c>
      <c r="D62" t="str">
        <f>"西日本旅客鉄道株式会社岡山支社総務企画課"</f>
        <v>西日本旅客鉄道株式会社岡山支社総務企画課</v>
      </c>
      <c r="E62" t="str">
        <f>"ニシニホンリョカクテツドウカブシキガイシャオカヤマシシャソウムキカクカ"</f>
        <v>ニシニホンリョカクテツドウカブシキガイシャオカヤマシシャソウムキカクカ</v>
      </c>
      <c r="F62" t="str">
        <f>"岡山"</f>
        <v>岡山</v>
      </c>
      <c r="G62" t="str">
        <f>"月刊"</f>
        <v>月刊</v>
      </c>
      <c r="H62" t="str">
        <f>"2002222281001"</f>
        <v>2002222281001</v>
      </c>
      <c r="I62" t="str">
        <f>HYPERLINK("#", "https://opac.libnet.pref.okayama.jp/licsxp-opac/WOpacMsgNewListToTifTilDetailAction.do?tilcod=2002222281001")</f>
        <v>https://opac.libnet.pref.okayama.jp/licsxp-opac/WOpacMsgNewListToTifTilDetailAction.do?tilcod=2002222281001</v>
      </c>
    </row>
    <row r="63" spans="1:9" x14ac:dyDescent="0.4">
      <c r="A63" t="str">
        <f>"ＡＣＴＩＶＥ　ＰＥＯＰＬＥ（アクティブ　ピープル）"</f>
        <v>ＡＣＴＩＶＥ　ＰＥＯＰＬＥ（アクティブ　ピープル）</v>
      </c>
      <c r="B63" s="1" t="str">
        <f t="shared" si="0"/>
        <v>ＡＣＴＩＶＥ　ＰＥＯＰＬＥ（アクティブ　ピープル）</v>
      </c>
      <c r="C63" t="str">
        <f>"アクティブ　ピープル"</f>
        <v>アクティブ　ピープル</v>
      </c>
      <c r="D63" t="str">
        <f>"岡山県スポーツ振興財団"</f>
        <v>岡山県スポーツ振興財団</v>
      </c>
      <c r="E63" t="str">
        <f>"オカヤマケン スポーツ シンコウ ザイダン"</f>
        <v>オカヤマケン スポーツ シンコウ ザイダン</v>
      </c>
      <c r="F63" t="str">
        <f>""</f>
        <v/>
      </c>
      <c r="G63" t="str">
        <f>"年刊"</f>
        <v>年刊</v>
      </c>
      <c r="H63" t="str">
        <f>"2002222287091"</f>
        <v>2002222287091</v>
      </c>
      <c r="I63" t="str">
        <f>HYPERLINK("#", "https://opac.libnet.pref.okayama.jp/licsxp-opac/WOpacMsgNewListToTifTilDetailAction.do?tilcod=2002222287091")</f>
        <v>https://opac.libnet.pref.okayama.jp/licsxp-opac/WOpacMsgNewListToTifTilDetailAction.do?tilcod=2002222287091</v>
      </c>
    </row>
    <row r="64" spans="1:9" x14ac:dyDescent="0.4">
      <c r="A64" t="str">
        <f>"あくら"</f>
        <v>あくら</v>
      </c>
      <c r="B64" s="1" t="str">
        <f t="shared" si="0"/>
        <v>あくら</v>
      </c>
      <c r="C64" t="str">
        <f>"アクラ"</f>
        <v>アクラ</v>
      </c>
      <c r="D64" t="str">
        <f>"岡山東間税会"</f>
        <v>岡山東間税会</v>
      </c>
      <c r="E64" t="str">
        <f>"オカヤマ ヒガシ カンゼイカイ"</f>
        <v>オカヤマ ヒガシ カンゼイカイ</v>
      </c>
      <c r="F64" t="str">
        <f>"岡山"</f>
        <v>岡山</v>
      </c>
      <c r="G64" t="str">
        <f>"頻度不明"</f>
        <v>頻度不明</v>
      </c>
      <c r="H64" t="str">
        <f>"2002222331466"</f>
        <v>2002222331466</v>
      </c>
      <c r="I64" t="str">
        <f>HYPERLINK("#", "https://opac.libnet.pref.okayama.jp/licsxp-opac/WOpacMsgNewListToTifTilDetailAction.do?tilcod=2002222331466")</f>
        <v>https://opac.libnet.pref.okayama.jp/licsxp-opac/WOpacMsgNewListToTifTilDetailAction.do?tilcod=2002222331466</v>
      </c>
    </row>
    <row r="65" spans="1:9" x14ac:dyDescent="0.4">
      <c r="A65" t="str">
        <f>"あくら　公民館ミニニュース"</f>
        <v>あくら　公民館ミニニュース</v>
      </c>
      <c r="B65" s="1" t="str">
        <f t="shared" si="0"/>
        <v>あくら　公民館ミニニュース</v>
      </c>
      <c r="C65" t="str">
        <f>"アクラ　コウミンカン　ミニ　ニュース"</f>
        <v>アクラ　コウミンカン　ミニ　ニュース</v>
      </c>
      <c r="D65" t="str">
        <f>"瀬戸内市長船町公民館"</f>
        <v>瀬戸内市長船町公民館</v>
      </c>
      <c r="E65" t="str">
        <f>"セトウチシオサフネチョウコウミンカン"</f>
        <v>セトウチシオサフネチョウコウミンカン</v>
      </c>
      <c r="F65" t="str">
        <f>"瀬戸内"</f>
        <v>瀬戸内</v>
      </c>
      <c r="G65" t="str">
        <f>"月刊"</f>
        <v>月刊</v>
      </c>
      <c r="H65" t="str">
        <f>"2002222281921"</f>
        <v>2002222281921</v>
      </c>
      <c r="I65" t="str">
        <f>HYPERLINK("#", "https://opac.libnet.pref.okayama.jp/licsxp-opac/WOpacMsgNewListToTifTilDetailAction.do?tilcod=2002222281921")</f>
        <v>https://opac.libnet.pref.okayama.jp/licsxp-opac/WOpacMsgNewListToTifTilDetailAction.do?tilcod=2002222281921</v>
      </c>
    </row>
    <row r="66" spans="1:9" x14ac:dyDescent="0.4">
      <c r="A66" t="str">
        <f>"あくら（ポルトガル語版）"</f>
        <v>あくら（ポルトガル語版）</v>
      </c>
      <c r="B66" s="1" t="str">
        <f t="shared" si="0"/>
        <v>あくら（ポルトガル語版）</v>
      </c>
      <c r="C66" t="str">
        <f>"アクラ ポルトガルゴ バン"</f>
        <v>アクラ ポルトガルゴ バン</v>
      </c>
      <c r="D66" t="str">
        <f t="shared" ref="D66:D72" si="3">"岡山市国際交流協議会"</f>
        <v>岡山市国際交流協議会</v>
      </c>
      <c r="E66" t="str">
        <f t="shared" ref="E66:E72" si="4">"オカヤマシ コクサイ コウリュウ キョウギカイ"</f>
        <v>オカヤマシ コクサイ コウリュウ キョウギカイ</v>
      </c>
      <c r="F66" t="str">
        <f t="shared" ref="F66:F71" si="5">"岡山"</f>
        <v>岡山</v>
      </c>
      <c r="G66" t="str">
        <f t="shared" ref="G66:G71" si="6">"不定期刊"</f>
        <v>不定期刊</v>
      </c>
      <c r="H66" t="str">
        <f>"2002222307267"</f>
        <v>2002222307267</v>
      </c>
      <c r="I66" t="str">
        <f>HYPERLINK("#", "https://opac.libnet.pref.okayama.jp/licsxp-opac/WOpacMsgNewListToTifTilDetailAction.do?tilcod=2002222307267")</f>
        <v>https://opac.libnet.pref.okayama.jp/licsxp-opac/WOpacMsgNewListToTifTilDetailAction.do?tilcod=2002222307267</v>
      </c>
    </row>
    <row r="67" spans="1:9" x14ac:dyDescent="0.4">
      <c r="A67" t="str">
        <f>"あくら（英語版）"</f>
        <v>あくら（英語版）</v>
      </c>
      <c r="B67" s="1" t="str">
        <f t="shared" si="0"/>
        <v>あくら（英語版）</v>
      </c>
      <c r="C67" t="str">
        <f>"アクラ＊エイゴバン"</f>
        <v>アクラ＊エイゴバン</v>
      </c>
      <c r="D67" t="str">
        <f t="shared" si="3"/>
        <v>岡山市国際交流協議会</v>
      </c>
      <c r="E67" t="str">
        <f t="shared" si="4"/>
        <v>オカヤマシ コクサイ コウリュウ キョウギカイ</v>
      </c>
      <c r="F67" t="str">
        <f t="shared" si="5"/>
        <v>岡山</v>
      </c>
      <c r="G67" t="str">
        <f t="shared" si="6"/>
        <v>不定期刊</v>
      </c>
      <c r="H67" t="str">
        <f>"2002222281644"</f>
        <v>2002222281644</v>
      </c>
      <c r="I67" t="str">
        <f>HYPERLINK("#", "https://opac.libnet.pref.okayama.jp/licsxp-opac/WOpacMsgNewListToTifTilDetailAction.do?tilcod=2002222281644")</f>
        <v>https://opac.libnet.pref.okayama.jp/licsxp-opac/WOpacMsgNewListToTifTilDetailAction.do?tilcod=2002222281644</v>
      </c>
    </row>
    <row r="68" spans="1:9" x14ac:dyDescent="0.4">
      <c r="A68" t="str">
        <f>"あくら（共通紙面）"</f>
        <v>あくら（共通紙面）</v>
      </c>
      <c r="B68" s="1" t="str">
        <f t="shared" ref="B68:B131" si="7">HYPERLINK("#", A68)</f>
        <v>あくら（共通紙面）</v>
      </c>
      <c r="C68" t="str">
        <f>"アクラ＊キョウツウシメン"</f>
        <v>アクラ＊キョウツウシメン</v>
      </c>
      <c r="D68" t="str">
        <f t="shared" si="3"/>
        <v>岡山市国際交流協議会</v>
      </c>
      <c r="E68" t="str">
        <f t="shared" si="4"/>
        <v>オカヤマシ コクサイ コウリュウ キョウギカイ</v>
      </c>
      <c r="F68" t="str">
        <f t="shared" si="5"/>
        <v>岡山</v>
      </c>
      <c r="G68" t="str">
        <f t="shared" si="6"/>
        <v>不定期刊</v>
      </c>
      <c r="H68" t="str">
        <f>"2002222291831"</f>
        <v>2002222291831</v>
      </c>
      <c r="I68" t="str">
        <f>HYPERLINK("#", "https://opac.libnet.pref.okayama.jp/licsxp-opac/WOpacMsgNewListToTifTilDetailAction.do?tilcod=2002222291831")</f>
        <v>https://opac.libnet.pref.okayama.jp/licsxp-opac/WOpacMsgNewListToTifTilDetailAction.do?tilcod=2002222291831</v>
      </c>
    </row>
    <row r="69" spans="1:9" x14ac:dyDescent="0.4">
      <c r="A69" t="str">
        <f>"あくら（スペイン語版）"</f>
        <v>あくら（スペイン語版）</v>
      </c>
      <c r="B69" s="1" t="str">
        <f t="shared" si="7"/>
        <v>あくら（スペイン語版）</v>
      </c>
      <c r="C69" t="str">
        <f>"アクラ＊スペインゴバン"</f>
        <v>アクラ＊スペインゴバン</v>
      </c>
      <c r="D69" t="str">
        <f t="shared" si="3"/>
        <v>岡山市国際交流協議会</v>
      </c>
      <c r="E69" t="str">
        <f t="shared" si="4"/>
        <v>オカヤマシ コクサイ コウリュウ キョウギカイ</v>
      </c>
      <c r="F69" t="str">
        <f t="shared" si="5"/>
        <v>岡山</v>
      </c>
      <c r="G69" t="str">
        <f t="shared" si="6"/>
        <v>不定期刊</v>
      </c>
      <c r="H69" t="str">
        <f>"2002222281624"</f>
        <v>2002222281624</v>
      </c>
      <c r="I69" t="str">
        <f>HYPERLINK("#", "https://opac.libnet.pref.okayama.jp/licsxp-opac/WOpacMsgNewListToTifTilDetailAction.do?tilcod=2002222281624")</f>
        <v>https://opac.libnet.pref.okayama.jp/licsxp-opac/WOpacMsgNewListToTifTilDetailAction.do?tilcod=2002222281624</v>
      </c>
    </row>
    <row r="70" spans="1:9" x14ac:dyDescent="0.4">
      <c r="A70" t="str">
        <f>"あくら（中国語版）"</f>
        <v>あくら（中国語版）</v>
      </c>
      <c r="B70" s="1" t="str">
        <f t="shared" si="7"/>
        <v>あくら（中国語版）</v>
      </c>
      <c r="C70" t="str">
        <f>"アクラ＊チュウゴクゴバン"</f>
        <v>アクラ＊チュウゴクゴバン</v>
      </c>
      <c r="D70" t="str">
        <f t="shared" si="3"/>
        <v>岡山市国際交流協議会</v>
      </c>
      <c r="E70" t="str">
        <f t="shared" si="4"/>
        <v>オカヤマシ コクサイ コウリュウ キョウギカイ</v>
      </c>
      <c r="F70" t="str">
        <f t="shared" si="5"/>
        <v>岡山</v>
      </c>
      <c r="G70" t="str">
        <f t="shared" si="6"/>
        <v>不定期刊</v>
      </c>
      <c r="H70" t="str">
        <f>"2002222281654"</f>
        <v>2002222281654</v>
      </c>
      <c r="I70" t="str">
        <f>HYPERLINK("#", "https://opac.libnet.pref.okayama.jp/licsxp-opac/WOpacMsgNewListToTifTilDetailAction.do?tilcod=2002222281654")</f>
        <v>https://opac.libnet.pref.okayama.jp/licsxp-opac/WOpacMsgNewListToTifTilDetailAction.do?tilcod=2002222281654</v>
      </c>
    </row>
    <row r="71" spans="1:9" x14ac:dyDescent="0.4">
      <c r="A71" t="str">
        <f>"あくら（ハングル版）"</f>
        <v>あくら（ハングル版）</v>
      </c>
      <c r="B71" s="1" t="str">
        <f t="shared" si="7"/>
        <v>あくら（ハングル版）</v>
      </c>
      <c r="C71" t="str">
        <f>"アクラ＊ハングルバン"</f>
        <v>アクラ＊ハングルバン</v>
      </c>
      <c r="D71" t="str">
        <f t="shared" si="3"/>
        <v>岡山市国際交流協議会</v>
      </c>
      <c r="E71" t="str">
        <f t="shared" si="4"/>
        <v>オカヤマシ コクサイ コウリュウ キョウギカイ</v>
      </c>
      <c r="F71" t="str">
        <f t="shared" si="5"/>
        <v>岡山</v>
      </c>
      <c r="G71" t="str">
        <f t="shared" si="6"/>
        <v>不定期刊</v>
      </c>
      <c r="H71" t="str">
        <f>"2002222281634"</f>
        <v>2002222281634</v>
      </c>
      <c r="I71" t="str">
        <f>HYPERLINK("#", "https://opac.libnet.pref.okayama.jp/licsxp-opac/WOpacMsgNewListToTifTilDetailAction.do?tilcod=2002222281634")</f>
        <v>https://opac.libnet.pref.okayama.jp/licsxp-opac/WOpacMsgNewListToTifTilDetailAction.do?tilcod=2002222281634</v>
      </c>
    </row>
    <row r="72" spans="1:9" x14ac:dyDescent="0.4">
      <c r="A72" t="str">
        <f>"あくら（ベトナム語版）"</f>
        <v>あくら（ベトナム語版）</v>
      </c>
      <c r="B72" s="1" t="str">
        <f t="shared" si="7"/>
        <v>あくら（ベトナム語版）</v>
      </c>
      <c r="C72" t="str">
        <f>"アクラ＊ベトナムゴ　バン"</f>
        <v>アクラ＊ベトナムゴ　バン</v>
      </c>
      <c r="D72" t="str">
        <f t="shared" si="3"/>
        <v>岡山市国際交流協議会</v>
      </c>
      <c r="E72" t="str">
        <f t="shared" si="4"/>
        <v>オカヤマシ コクサイ コウリュウ キョウギカイ</v>
      </c>
      <c r="F72" t="str">
        <f>""</f>
        <v/>
      </c>
      <c r="G72" t="str">
        <f>"季刊"</f>
        <v>季刊</v>
      </c>
      <c r="H72" t="str">
        <f>"2002222327546"</f>
        <v>2002222327546</v>
      </c>
      <c r="I72" t="str">
        <f>HYPERLINK("#", "https://opac.libnet.pref.okayama.jp/licsxp-opac/WOpacMsgNewListToTifTilDetailAction.do?tilcod=2002222327546")</f>
        <v>https://opac.libnet.pref.okayama.jp/licsxp-opac/WOpacMsgNewListToTifTilDetailAction.do?tilcod=2002222327546</v>
      </c>
    </row>
    <row r="73" spans="1:9" x14ac:dyDescent="0.4">
      <c r="A73" t="str">
        <f>"あぐろぐOKAYAMA"</f>
        <v>あぐろぐOKAYAMA</v>
      </c>
      <c r="B73" s="1" t="str">
        <f t="shared" si="7"/>
        <v>あぐろぐOKAYAMA</v>
      </c>
      <c r="C73" t="str">
        <f>"アグログ オカヤマ"</f>
        <v>アグログ オカヤマ</v>
      </c>
      <c r="D73" t="str">
        <f>"岡山市農業協同組合"</f>
        <v>岡山市農業協同組合</v>
      </c>
      <c r="E73" t="str">
        <f>"オカヤマシ ノウギョウ キョウドウ クミアイ"</f>
        <v>オカヤマシ ノウギョウ キョウドウ クミアイ</v>
      </c>
      <c r="F73" t="str">
        <f>"岡山"</f>
        <v>岡山</v>
      </c>
      <c r="G73" t="str">
        <f>"年２回刊"</f>
        <v>年２回刊</v>
      </c>
      <c r="H73" t="str">
        <f>"2002222313826"</f>
        <v>2002222313826</v>
      </c>
      <c r="I73" t="str">
        <f>HYPERLINK("#", "https://opac.libnet.pref.okayama.jp/licsxp-opac/WOpacMsgNewListToTifTilDetailAction.do?tilcod=2002222313826")</f>
        <v>https://opac.libnet.pref.okayama.jp/licsxp-opac/WOpacMsgNewListToTifTilDetailAction.do?tilcod=2002222313826</v>
      </c>
    </row>
    <row r="74" spans="1:9" x14ac:dyDescent="0.4">
      <c r="A74" t="str">
        <f>"明"</f>
        <v>明</v>
      </c>
      <c r="B74" s="1" t="str">
        <f t="shared" si="7"/>
        <v>明</v>
      </c>
      <c r="C74" t="str">
        <f>"アケ"</f>
        <v>アケ</v>
      </c>
      <c r="D74" t="str">
        <f>"明俳句会"</f>
        <v>明俳句会</v>
      </c>
      <c r="E74" t="str">
        <f>"アケハイクカイ"</f>
        <v>アケハイクカイ</v>
      </c>
      <c r="F74" t="str">
        <f>"岡山"</f>
        <v>岡山</v>
      </c>
      <c r="G74" t="str">
        <f>"月刊"</f>
        <v>月刊</v>
      </c>
      <c r="H74" t="str">
        <f>"2002222301983"</f>
        <v>2002222301983</v>
      </c>
      <c r="I74" t="str">
        <f>HYPERLINK("#", "https://opac.libnet.pref.okayama.jp/licsxp-opac/WOpacMsgNewListToTifTilDetailAction.do?tilcod=2002222301983")</f>
        <v>https://opac.libnet.pref.okayama.jp/licsxp-opac/WOpacMsgNewListToTifTilDetailAction.do?tilcod=2002222301983</v>
      </c>
    </row>
    <row r="75" spans="1:9" x14ac:dyDescent="0.4">
      <c r="A75" t="str">
        <f>"あけぼの"</f>
        <v>あけぼの</v>
      </c>
      <c r="B75" s="1" t="str">
        <f t="shared" si="7"/>
        <v>あけぼの</v>
      </c>
      <c r="C75" t="str">
        <f>"アケボノ"</f>
        <v>アケボノ</v>
      </c>
      <c r="D75" t="str">
        <f>"〔出版者不明〕"</f>
        <v>〔出版者不明〕</v>
      </c>
      <c r="E75" t="str">
        <f>"シュッパンシャフメイ"</f>
        <v>シュッパンシャフメイ</v>
      </c>
      <c r="F75" t="str">
        <f>""</f>
        <v/>
      </c>
      <c r="G75" t="str">
        <f>"頻度不明"</f>
        <v>頻度不明</v>
      </c>
      <c r="H75" t="str">
        <f>"2002222289061"</f>
        <v>2002222289061</v>
      </c>
      <c r="I75" t="str">
        <f>HYPERLINK("#", "https://opac.libnet.pref.okayama.jp/licsxp-opac/WOpacMsgNewListToTifTilDetailAction.do?tilcod=2002222289061")</f>
        <v>https://opac.libnet.pref.okayama.jp/licsxp-opac/WOpacMsgNewListToTifTilDetailAction.do?tilcod=2002222289061</v>
      </c>
    </row>
    <row r="76" spans="1:9" x14ac:dyDescent="0.4">
      <c r="A76" t="str">
        <f>"曙[複製]"</f>
        <v>曙[複製]</v>
      </c>
      <c r="B76" s="1" t="str">
        <f t="shared" si="7"/>
        <v>曙[複製]</v>
      </c>
      <c r="C76" t="str">
        <f>"アケボノ"</f>
        <v>アケボノ</v>
      </c>
      <c r="D76" t="str">
        <f>"曙会"</f>
        <v>曙会</v>
      </c>
      <c r="E76" t="str">
        <f>"アケボノカイ"</f>
        <v>アケボノカイ</v>
      </c>
      <c r="F76" t="str">
        <f>"岡山"</f>
        <v>岡山</v>
      </c>
      <c r="G76" t="str">
        <f>"頻度不明"</f>
        <v>頻度不明</v>
      </c>
      <c r="H76" t="str">
        <f>"2002222289081"</f>
        <v>2002222289081</v>
      </c>
      <c r="I76" t="str">
        <f>HYPERLINK("#", "https://opac.libnet.pref.okayama.jp/licsxp-opac/WOpacMsgNewListToTifTilDetailAction.do?tilcod=2002222289081")</f>
        <v>https://opac.libnet.pref.okayama.jp/licsxp-opac/WOpacMsgNewListToTifTilDetailAction.do?tilcod=2002222289081</v>
      </c>
    </row>
    <row r="77" spans="1:9" x14ac:dyDescent="0.4">
      <c r="A77" t="str">
        <f>"曙"</f>
        <v>曙</v>
      </c>
      <c r="B77" s="1" t="str">
        <f t="shared" si="7"/>
        <v>曙</v>
      </c>
      <c r="C77" t="str">
        <f>"アケボノ"</f>
        <v>アケボノ</v>
      </c>
      <c r="D77" t="str">
        <f>"曙詩社"</f>
        <v>曙詩社</v>
      </c>
      <c r="E77" t="str">
        <f>"アケボノシシャ"</f>
        <v>アケボノシシャ</v>
      </c>
      <c r="F77" t="str">
        <f>"岡山"</f>
        <v>岡山</v>
      </c>
      <c r="G77" t="str">
        <f>"頻度不明"</f>
        <v>頻度不明</v>
      </c>
      <c r="H77" t="str">
        <f>"2002222327246"</f>
        <v>2002222327246</v>
      </c>
      <c r="I77" t="str">
        <f>HYPERLINK("#", "https://opac.libnet.pref.okayama.jp/licsxp-opac/WOpacMsgNewListToTifTilDetailAction.do?tilcod=2002222327246")</f>
        <v>https://opac.libnet.pref.okayama.jp/licsxp-opac/WOpacMsgNewListToTifTilDetailAction.do?tilcod=2002222327246</v>
      </c>
    </row>
    <row r="78" spans="1:9" x14ac:dyDescent="0.4">
      <c r="A78" t="str">
        <f>"浅口公論"</f>
        <v>浅口公論</v>
      </c>
      <c r="B78" s="1" t="str">
        <f t="shared" si="7"/>
        <v>浅口公論</v>
      </c>
      <c r="C78" t="str">
        <f>"アサクチ コウロン"</f>
        <v>アサクチ コウロン</v>
      </c>
      <c r="D78" t="str">
        <f>"浅口公論社"</f>
        <v>浅口公論社</v>
      </c>
      <c r="E78" t="str">
        <f>"アサクチ コウロンシャ"</f>
        <v>アサクチ コウロンシャ</v>
      </c>
      <c r="F78" t="str">
        <f>"玉島町(浅口郡)"</f>
        <v>玉島町(浅口郡)</v>
      </c>
      <c r="G78" t="str">
        <f>"月２回刊"</f>
        <v>月２回刊</v>
      </c>
      <c r="H78" t="str">
        <f>"2002222331936"</f>
        <v>2002222331936</v>
      </c>
      <c r="I78" t="str">
        <f>HYPERLINK("#", "https://opac.libnet.pref.okayama.jp/licsxp-opac/WOpacMsgNewListToTifTilDetailAction.do?tilcod=2002222331936")</f>
        <v>https://opac.libnet.pref.okayama.jp/licsxp-opac/WOpacMsgNewListToTifTilDetailAction.do?tilcod=2002222331936</v>
      </c>
    </row>
    <row r="79" spans="1:9" x14ac:dyDescent="0.4">
      <c r="A79" t="str">
        <f>"あさくちこどもセンター"</f>
        <v>あさくちこどもセンター</v>
      </c>
      <c r="B79" s="1" t="str">
        <f t="shared" si="7"/>
        <v>あさくちこどもセンター</v>
      </c>
      <c r="C79" t="str">
        <f>"アサクチ　コドモ　センター"</f>
        <v>アサクチ　コドモ　センター</v>
      </c>
      <c r="D79" t="str">
        <f>"船穂町教育委員会"</f>
        <v>船穂町教育委員会</v>
      </c>
      <c r="E79" t="str">
        <f>"フナオチョウキョウイクイインカイ"</f>
        <v>フナオチョウキョウイクイインカイ</v>
      </c>
      <c r="F79" t="str">
        <f>"船穂町（浅口郡）"</f>
        <v>船穂町（浅口郡）</v>
      </c>
      <c r="G79" t="str">
        <f>"頻度不明"</f>
        <v>頻度不明</v>
      </c>
      <c r="H79" t="str">
        <f>"2002222285891"</f>
        <v>2002222285891</v>
      </c>
      <c r="I79" t="str">
        <f>HYPERLINK("#", "https://opac.libnet.pref.okayama.jp/licsxp-opac/WOpacMsgNewListToTifTilDetailAction.do?tilcod=2002222285891")</f>
        <v>https://opac.libnet.pref.okayama.jp/licsxp-opac/WOpacMsgNewListToTifTilDetailAction.do?tilcod=2002222285891</v>
      </c>
    </row>
    <row r="80" spans="1:9" x14ac:dyDescent="0.4">
      <c r="A80" t="str">
        <f>"〔浅口郡園芸会〕会報"</f>
        <v>〔浅口郡園芸会〕会報</v>
      </c>
      <c r="B80" s="1" t="str">
        <f t="shared" si="7"/>
        <v>〔浅口郡園芸会〕会報</v>
      </c>
      <c r="C80" t="str">
        <f>"アサクチグン　エンゲイカイ　カイホウ＊カイホウ"</f>
        <v>アサクチグン　エンゲイカイ　カイホウ＊カイホウ</v>
      </c>
      <c r="D80" t="str">
        <f>"浅口郡園芸会"</f>
        <v>浅口郡園芸会</v>
      </c>
      <c r="E80" t="str">
        <f>"アサクチグンエンゲイカイ"</f>
        <v>アサクチグンエンゲイカイ</v>
      </c>
      <c r="F80" t="str">
        <f>""</f>
        <v/>
      </c>
      <c r="G80" t="str">
        <f>"頻度不明"</f>
        <v>頻度不明</v>
      </c>
      <c r="H80" t="str">
        <f>"2002222287101"</f>
        <v>2002222287101</v>
      </c>
      <c r="I80" t="str">
        <f>HYPERLINK("#", "https://opac.libnet.pref.okayama.jp/licsxp-opac/WOpacMsgNewListToTifTilDetailAction.do?tilcod=2002222287101")</f>
        <v>https://opac.libnet.pref.okayama.jp/licsxp-opac/WOpacMsgNewListToTifTilDetailAction.do?tilcod=2002222287101</v>
      </c>
    </row>
    <row r="81" spans="1:9" x14ac:dyDescent="0.4">
      <c r="A81" t="str">
        <f>"浅口市議会だより"</f>
        <v>浅口市議会だより</v>
      </c>
      <c r="B81" s="1" t="str">
        <f t="shared" si="7"/>
        <v>浅口市議会だより</v>
      </c>
      <c r="C81" t="str">
        <f>"アサクチシ　ギカイ　ダヨリ"</f>
        <v>アサクチシ　ギカイ　ダヨリ</v>
      </c>
      <c r="D81" t="str">
        <f>"浅口市議会"</f>
        <v>浅口市議会</v>
      </c>
      <c r="E81" t="str">
        <f>"アサクチシギカイ"</f>
        <v>アサクチシギカイ</v>
      </c>
      <c r="F81" t="str">
        <f>"浅口"</f>
        <v>浅口</v>
      </c>
      <c r="G81" t="str">
        <f>"頻度不明"</f>
        <v>頻度不明</v>
      </c>
      <c r="H81" t="str">
        <f>"2002222302266"</f>
        <v>2002222302266</v>
      </c>
      <c r="I81" t="str">
        <f>HYPERLINK("#", "https://opac.libnet.pref.okayama.jp/licsxp-opac/WOpacMsgNewListToTifTilDetailAction.do?tilcod=2002222302266")</f>
        <v>https://opac.libnet.pref.okayama.jp/licsxp-opac/WOpacMsgNewListToTifTilDetailAction.do?tilcod=2002222302266</v>
      </c>
    </row>
    <row r="82" spans="1:9" x14ac:dyDescent="0.4">
      <c r="A82" t="str">
        <f>"あさしお"</f>
        <v>あさしお</v>
      </c>
      <c r="B82" s="1" t="str">
        <f t="shared" si="7"/>
        <v>あさしお</v>
      </c>
      <c r="C82" t="str">
        <f>"アサシオ"</f>
        <v>アサシオ</v>
      </c>
      <c r="D82" t="str">
        <f>"教組玉島市浅口郡支部中学校部国語科同好会"</f>
        <v>教組玉島市浅口郡支部中学校部国語科同好会</v>
      </c>
      <c r="E82" t="str">
        <f>"キョウソタマシマシアサクチグンシブチュウガッコウコクゴカドウコウカイ"</f>
        <v>キョウソタマシマシアサクチグンシブチュウガッコウコクゴカドウコウカイ</v>
      </c>
      <c r="F82" t="str">
        <f>"倉敷"</f>
        <v>倉敷</v>
      </c>
      <c r="G82" t="str">
        <f>"頻度不明"</f>
        <v>頻度不明</v>
      </c>
      <c r="H82" t="str">
        <f>"2002222287111"</f>
        <v>2002222287111</v>
      </c>
      <c r="I82" t="str">
        <f>HYPERLINK("#", "https://opac.libnet.pref.okayama.jp/licsxp-opac/WOpacMsgNewListToTifTilDetailAction.do?tilcod=2002222287111")</f>
        <v>https://opac.libnet.pref.okayama.jp/licsxp-opac/WOpacMsgNewListToTifTilDetailAction.do?tilcod=2002222287111</v>
      </c>
    </row>
    <row r="83" spans="1:9" x14ac:dyDescent="0.4">
      <c r="A83" t="str">
        <f>"旭"</f>
        <v>旭</v>
      </c>
      <c r="B83" s="1" t="str">
        <f t="shared" si="7"/>
        <v>旭</v>
      </c>
      <c r="C83" t="str">
        <f>"アサヒ"</f>
        <v>アサヒ</v>
      </c>
      <c r="D83" t="str">
        <f>"山陽新聞カルチャーセンタープラザ本部教室「小説実作講座」"</f>
        <v>山陽新聞カルチャーセンタープラザ本部教室「小説実作講座」</v>
      </c>
      <c r="E83" t="str">
        <f>"サンヨウシンブンカルチャーセンタープラザホンブキョウシツショウセツジッサクコウザ"</f>
        <v>サンヨウシンブンカルチャーセンタープラザホンブキョウシツショウセツジッサクコウザ</v>
      </c>
      <c r="F83" t="str">
        <f>"岡山"</f>
        <v>岡山</v>
      </c>
      <c r="G83" t="str">
        <f>"年刊"</f>
        <v>年刊</v>
      </c>
      <c r="H83" t="str">
        <f>"2002222291841"</f>
        <v>2002222291841</v>
      </c>
      <c r="I83" t="str">
        <f>HYPERLINK("#", "https://opac.libnet.pref.okayama.jp/licsxp-opac/WOpacMsgNewListToTifTilDetailAction.do?tilcod=2002222291841")</f>
        <v>https://opac.libnet.pref.okayama.jp/licsxp-opac/WOpacMsgNewListToTifTilDetailAction.do?tilcod=2002222291841</v>
      </c>
    </row>
    <row r="84" spans="1:9" x14ac:dyDescent="0.4">
      <c r="A84" t="str">
        <f>"あさひ"</f>
        <v>あさひ</v>
      </c>
      <c r="B84" s="1" t="str">
        <f t="shared" si="7"/>
        <v>あさひ</v>
      </c>
      <c r="C84" t="str">
        <f>"アサヒ"</f>
        <v>アサヒ</v>
      </c>
      <c r="D84" t="str">
        <f>"朝日カルチャーセンター岡山「小説入門講座」"</f>
        <v>朝日カルチャーセンター岡山「小説入門講座」</v>
      </c>
      <c r="E84" t="str">
        <f>"アサヒ カルチャー センター オカヤマ ショウセツ ニュウモン コウザ"</f>
        <v>アサヒ カルチャー センター オカヤマ ショウセツ ニュウモン コウザ</v>
      </c>
      <c r="F84" t="str">
        <f>"岡山"</f>
        <v>岡山</v>
      </c>
      <c r="G84" t="str">
        <f>"頻度不明"</f>
        <v>頻度不明</v>
      </c>
      <c r="H84" t="str">
        <f>"2002222339390"</f>
        <v>2002222339390</v>
      </c>
      <c r="I84" t="str">
        <f>HYPERLINK("#", "https://opac.libnet.pref.okayama.jp/licsxp-opac/WOpacMsgNewListToTifTilDetailAction.do?tilcod=2002222339390")</f>
        <v>https://opac.libnet.pref.okayama.jp/licsxp-opac/WOpacMsgNewListToTifTilDetailAction.do?tilcod=2002222339390</v>
      </c>
    </row>
    <row r="85" spans="1:9" x14ac:dyDescent="0.4">
      <c r="A85" t="str">
        <f>"旭公民館だより"</f>
        <v>旭公民館だより</v>
      </c>
      <c r="B85" s="1" t="str">
        <f t="shared" si="7"/>
        <v>旭公民館だより</v>
      </c>
      <c r="C85" t="str">
        <f>"アサヒ コウミンカン ダヨリ"</f>
        <v>アサヒ コウミンカン ダヨリ</v>
      </c>
      <c r="D85" t="str">
        <f>"岡山市立旭公民館"</f>
        <v>岡山市立旭公民館</v>
      </c>
      <c r="E85" t="str">
        <f>"オカヤマシリツ アサヒ コウミンカン"</f>
        <v>オカヤマシリツ アサヒ コウミンカン</v>
      </c>
      <c r="F85" t="str">
        <f>"岡山"</f>
        <v>岡山</v>
      </c>
      <c r="G85" t="str">
        <f>"隔月刊"</f>
        <v>隔月刊</v>
      </c>
      <c r="H85" t="str">
        <f>"2002222341373"</f>
        <v>2002222341373</v>
      </c>
      <c r="I85" t="str">
        <f>HYPERLINK("#", "https://opac.libnet.pref.okayama.jp/licsxp-opac/WOpacMsgNewListToTifTilDetailAction.do?tilcod=2002222341373")</f>
        <v>https://opac.libnet.pref.okayama.jp/licsxp-opac/WOpacMsgNewListToTifTilDetailAction.do?tilcod=2002222341373</v>
      </c>
    </row>
    <row r="86" spans="1:9" x14ac:dyDescent="0.4">
      <c r="A86" t="str">
        <f>"旭中学新聞"</f>
        <v>旭中学新聞</v>
      </c>
      <c r="B86" s="1" t="str">
        <f t="shared" si="7"/>
        <v>旭中学新聞</v>
      </c>
      <c r="C86" t="str">
        <f>"アサヒ チュウガク シンブン"</f>
        <v>アサヒ チュウガク シンブン</v>
      </c>
      <c r="D86" t="str">
        <f>"岡山市立旭中学校"</f>
        <v>岡山市立旭中学校</v>
      </c>
      <c r="E86" t="str">
        <f>"オカヤマシリツ アサヒ チュウガッコウ"</f>
        <v>オカヤマシリツ アサヒ チュウガッコウ</v>
      </c>
      <c r="F86" t="str">
        <f>"[岡山]"</f>
        <v>[岡山]</v>
      </c>
      <c r="G86" t="str">
        <f>"頻度不明"</f>
        <v>頻度不明</v>
      </c>
      <c r="H86" t="str">
        <f>"2002222338770"</f>
        <v>2002222338770</v>
      </c>
      <c r="I86" t="str">
        <f>HYPERLINK("#", "https://opac.libnet.pref.okayama.jp/licsxp-opac/WOpacMsgNewListToTifTilDetailAction.do?tilcod=2002222338770")</f>
        <v>https://opac.libnet.pref.okayama.jp/licsxp-opac/WOpacMsgNewListToTifTilDetailAction.do?tilcod=2002222338770</v>
      </c>
    </row>
    <row r="87" spans="1:9" x14ac:dyDescent="0.4">
      <c r="A87" t="str">
        <f>"あさひ園だより"</f>
        <v>あさひ園だより</v>
      </c>
      <c r="B87" s="1" t="str">
        <f t="shared" si="7"/>
        <v>あさひ園だより</v>
      </c>
      <c r="C87" t="str">
        <f>"アサヒエン ダヨリ"</f>
        <v>アサヒエン ダヨリ</v>
      </c>
      <c r="D87" t="str">
        <f>"特別養護老人ホームあさひ園"</f>
        <v>特別養護老人ホームあさひ園</v>
      </c>
      <c r="E87" t="str">
        <f>"トクベツ ヨウゴ ロウジン ホーム アサヒエン"</f>
        <v>トクベツ ヨウゴ ロウジン ホーム アサヒエン</v>
      </c>
      <c r="F87" t="str">
        <f t="shared" ref="F87:F95" si="8">"岡山"</f>
        <v>岡山</v>
      </c>
      <c r="G87" t="str">
        <f>"頻度不明"</f>
        <v>頻度不明</v>
      </c>
      <c r="H87" t="str">
        <f>"2002222340933"</f>
        <v>2002222340933</v>
      </c>
      <c r="I87" t="str">
        <f>HYPERLINK("#", "https://opac.libnet.pref.okayama.jp/licsxp-opac/WOpacMsgNewListToTifTilDetailAction.do?tilcod=2002222340933")</f>
        <v>https://opac.libnet.pref.okayama.jp/licsxp-opac/WOpacMsgNewListToTifTilDetailAction.do?tilcod=2002222340933</v>
      </c>
    </row>
    <row r="88" spans="1:9" x14ac:dyDescent="0.4">
      <c r="A88" t="str">
        <f>"朝陽会報"</f>
        <v>朝陽会報</v>
      </c>
      <c r="B88" s="1" t="str">
        <f t="shared" si="7"/>
        <v>朝陽会報</v>
      </c>
      <c r="C88" t="str">
        <f>"アサヒカイホウ"</f>
        <v>アサヒカイホウ</v>
      </c>
      <c r="D88" t="str">
        <f>"朝陽会"</f>
        <v>朝陽会</v>
      </c>
      <c r="E88" t="str">
        <f>"アサヒカイ"</f>
        <v>アサヒカイ</v>
      </c>
      <c r="F88" t="str">
        <f t="shared" si="8"/>
        <v>岡山</v>
      </c>
      <c r="G88" t="str">
        <f>"頻度不明"</f>
        <v>頻度不明</v>
      </c>
      <c r="H88" t="str">
        <f>"2002222329869"</f>
        <v>2002222329869</v>
      </c>
      <c r="I88" t="str">
        <f>HYPERLINK("#", "https://opac.libnet.pref.okayama.jp/licsxp-opac/WOpacMsgNewListToTifTilDetailAction.do?tilcod=2002222329869")</f>
        <v>https://opac.libnet.pref.okayama.jp/licsxp-opac/WOpacMsgNewListToTifTilDetailAction.do?tilcod=2002222329869</v>
      </c>
    </row>
    <row r="89" spans="1:9" x14ac:dyDescent="0.4">
      <c r="A89" t="str">
        <f>"旭川"</f>
        <v>旭川</v>
      </c>
      <c r="B89" s="1" t="str">
        <f t="shared" si="7"/>
        <v>旭川</v>
      </c>
      <c r="C89" t="str">
        <f>"アサヒガワ"</f>
        <v>アサヒガワ</v>
      </c>
      <c r="D89" t="str">
        <f>"岡山大学漕艇部"</f>
        <v>岡山大学漕艇部</v>
      </c>
      <c r="E89" t="str">
        <f>"オカヤマダイガクソウテイブ"</f>
        <v>オカヤマダイガクソウテイブ</v>
      </c>
      <c r="F89" t="str">
        <f t="shared" si="8"/>
        <v>岡山</v>
      </c>
      <c r="G89" t="str">
        <f>"年刊"</f>
        <v>年刊</v>
      </c>
      <c r="H89" t="str">
        <f>"2002222301505"</f>
        <v>2002222301505</v>
      </c>
      <c r="I89" t="str">
        <f>HYPERLINK("#", "https://opac.libnet.pref.okayama.jp/licsxp-opac/WOpacMsgNewListToTifTilDetailAction.do?tilcod=2002222301505")</f>
        <v>https://opac.libnet.pref.okayama.jp/licsxp-opac/WOpacMsgNewListToTifTilDetailAction.do?tilcod=2002222301505</v>
      </c>
    </row>
    <row r="90" spans="1:9" x14ac:dyDescent="0.4">
      <c r="A90" t="str">
        <f>"旭川荘内報"</f>
        <v>旭川荘内報</v>
      </c>
      <c r="B90" s="1" t="str">
        <f t="shared" si="7"/>
        <v>旭川荘内報</v>
      </c>
      <c r="C90" t="str">
        <f>"アサヒガワ　ソウ　ナイホウ"</f>
        <v>アサヒガワ　ソウ　ナイホウ</v>
      </c>
      <c r="D90" t="str">
        <f>"旭川荘"</f>
        <v>旭川荘</v>
      </c>
      <c r="E90" t="str">
        <f>"アサヒガワソウ"</f>
        <v>アサヒガワソウ</v>
      </c>
      <c r="F90" t="str">
        <f t="shared" si="8"/>
        <v>岡山</v>
      </c>
      <c r="G90" t="str">
        <f>"月刊"</f>
        <v>月刊</v>
      </c>
      <c r="H90" t="str">
        <f>"2002222291861"</f>
        <v>2002222291861</v>
      </c>
      <c r="I90" t="str">
        <f>HYPERLINK("#", "https://opac.libnet.pref.okayama.jp/licsxp-opac/WOpacMsgNewListToTifTilDetailAction.do?tilcod=2002222291861")</f>
        <v>https://opac.libnet.pref.okayama.jp/licsxp-opac/WOpacMsgNewListToTifTilDetailAction.do?tilcod=2002222291861</v>
      </c>
    </row>
    <row r="91" spans="1:9" x14ac:dyDescent="0.4">
      <c r="A91" t="str">
        <f>"旭川艇友"</f>
        <v>旭川艇友</v>
      </c>
      <c r="B91" s="1" t="str">
        <f t="shared" si="7"/>
        <v>旭川艇友</v>
      </c>
      <c r="C91" t="str">
        <f>"アサヒガワ　テイユウ"</f>
        <v>アサヒガワ　テイユウ</v>
      </c>
      <c r="D91" t="str">
        <f>"旭水艇友会"</f>
        <v>旭水艇友会</v>
      </c>
      <c r="E91" t="str">
        <f>"キョクスイテイユウカイ"</f>
        <v>キョクスイテイユウカイ</v>
      </c>
      <c r="F91" t="str">
        <f t="shared" si="8"/>
        <v>岡山</v>
      </c>
      <c r="G91" t="str">
        <f>"年２回刊"</f>
        <v>年２回刊</v>
      </c>
      <c r="H91" t="str">
        <f>"2002222287121"</f>
        <v>2002222287121</v>
      </c>
      <c r="I91" t="str">
        <f>HYPERLINK("#", "https://opac.libnet.pref.okayama.jp/licsxp-opac/WOpacMsgNewListToTifTilDetailAction.do?tilcod=2002222287121")</f>
        <v>https://opac.libnet.pref.okayama.jp/licsxp-opac/WOpacMsgNewListToTifTilDetailAction.do?tilcod=2002222287121</v>
      </c>
    </row>
    <row r="92" spans="1:9" x14ac:dyDescent="0.4">
      <c r="A92" t="str">
        <f>"旭川ニューズレター；旭川水系河川整備計画"</f>
        <v>旭川ニューズレター；旭川水系河川整備計画</v>
      </c>
      <c r="B92" s="1" t="str">
        <f t="shared" si="7"/>
        <v>旭川ニューズレター；旭川水系河川整備計画</v>
      </c>
      <c r="C92" t="str">
        <f>"アサヒガワ　ニューズ　レター＊アサヒガワ　スイケイ　カセン　セイビ　ケイカク"</f>
        <v>アサヒガワ　ニューズ　レター＊アサヒガワ　スイケイ　カセン　セイビ　ケイカク</v>
      </c>
      <c r="D92" t="str">
        <f>"岡山河川事務所"</f>
        <v>岡山河川事務所</v>
      </c>
      <c r="E92" t="str">
        <f>"オカヤマカセンジムショ"</f>
        <v>オカヤマカセンジムショ</v>
      </c>
      <c r="F92" t="str">
        <f t="shared" si="8"/>
        <v>岡山</v>
      </c>
      <c r="G92" t="str">
        <f>"頻度不明"</f>
        <v>頻度不明</v>
      </c>
      <c r="H92" t="str">
        <f>"2002222302419"</f>
        <v>2002222302419</v>
      </c>
      <c r="I92" t="str">
        <f>HYPERLINK("#", "https://opac.libnet.pref.okayama.jp/licsxp-opac/WOpacMsgNewListToTifTilDetailAction.do?tilcod=2002222302419")</f>
        <v>https://opac.libnet.pref.okayama.jp/licsxp-opac/WOpacMsgNewListToTifTilDetailAction.do?tilcod=2002222302419</v>
      </c>
    </row>
    <row r="93" spans="1:9" x14ac:dyDescent="0.4">
      <c r="A93" t="str">
        <f>"旭川ものがたり"</f>
        <v>旭川ものがたり</v>
      </c>
      <c r="B93" s="1" t="str">
        <f t="shared" si="7"/>
        <v>旭川ものがたり</v>
      </c>
      <c r="C93" t="str">
        <f>"アサヒガワ　モノガタリ"</f>
        <v>アサヒガワ　モノガタリ</v>
      </c>
      <c r="D93" t="str">
        <f>"旭川上・中流域水質浄化対策推進協議会"</f>
        <v>旭川上・中流域水質浄化対策推進協議会</v>
      </c>
      <c r="E93" t="str">
        <f>"アサヒガワジョウ・チュウリュウイキスイシツジョウカタイサクスイシンキョウギカイ"</f>
        <v>アサヒガワジョウ・チュウリュウイキスイシツジョウカタイサクスイシンキョウギカイ</v>
      </c>
      <c r="F93" t="str">
        <f t="shared" si="8"/>
        <v>岡山</v>
      </c>
      <c r="G93" t="str">
        <f>"年刊"</f>
        <v>年刊</v>
      </c>
      <c r="H93" t="str">
        <f>"2002222282651"</f>
        <v>2002222282651</v>
      </c>
      <c r="I93" t="str">
        <f>HYPERLINK("#", "https://opac.libnet.pref.okayama.jp/licsxp-opac/WOpacMsgNewListToTifTilDetailAction.do?tilcod=2002222282651")</f>
        <v>https://opac.libnet.pref.okayama.jp/licsxp-opac/WOpacMsgNewListToTifTilDetailAction.do?tilcod=2002222282651</v>
      </c>
    </row>
    <row r="94" spans="1:9" x14ac:dyDescent="0.4">
      <c r="A94" t="str">
        <f>"旭川荘研究年報"</f>
        <v>旭川荘研究年報</v>
      </c>
      <c r="B94" s="1" t="str">
        <f t="shared" si="7"/>
        <v>旭川荘研究年報</v>
      </c>
      <c r="C94" t="str">
        <f>"アサヒガワソウ　ケンキュウ　ネンポウ"</f>
        <v>アサヒガワソウ　ケンキュウ　ネンポウ</v>
      </c>
      <c r="D94" t="str">
        <f>"旭川荘"</f>
        <v>旭川荘</v>
      </c>
      <c r="E94" t="str">
        <f>"アサヒガワソウ"</f>
        <v>アサヒガワソウ</v>
      </c>
      <c r="F94" t="str">
        <f t="shared" si="8"/>
        <v>岡山</v>
      </c>
      <c r="G94" t="str">
        <f>"年刊"</f>
        <v>年刊</v>
      </c>
      <c r="H94" t="str">
        <f>"2002222294631"</f>
        <v>2002222294631</v>
      </c>
      <c r="I94" t="str">
        <f>HYPERLINK("#", "https://opac.libnet.pref.okayama.jp/licsxp-opac/WOpacMsgNewListToTifTilDetailAction.do?tilcod=2002222294631")</f>
        <v>https://opac.libnet.pref.okayama.jp/licsxp-opac/WOpacMsgNewListToTifTilDetailAction.do?tilcod=2002222294631</v>
      </c>
    </row>
    <row r="95" spans="1:9" x14ac:dyDescent="0.4">
      <c r="A95" t="str">
        <f>"旭川荘だより"</f>
        <v>旭川荘だより</v>
      </c>
      <c r="B95" s="1" t="str">
        <f t="shared" si="7"/>
        <v>旭川荘だより</v>
      </c>
      <c r="C95" t="str">
        <f>"アサヒガワソウ　ダヨリ"</f>
        <v>アサヒガワソウ　ダヨリ</v>
      </c>
      <c r="D95" t="str">
        <f>"旭川荘"</f>
        <v>旭川荘</v>
      </c>
      <c r="E95" t="str">
        <f>"アサヒガワソウ"</f>
        <v>アサヒガワソウ</v>
      </c>
      <c r="F95" t="str">
        <f t="shared" si="8"/>
        <v>岡山</v>
      </c>
      <c r="G95" t="str">
        <f>"隔月刊"</f>
        <v>隔月刊</v>
      </c>
      <c r="H95" t="str">
        <f>"2002222291851"</f>
        <v>2002222291851</v>
      </c>
      <c r="I95" t="str">
        <f>HYPERLINK("#", "https://opac.libnet.pref.okayama.jp/licsxp-opac/WOpacMsgNewListToTifTilDetailAction.do?tilcod=2002222291851")</f>
        <v>https://opac.libnet.pref.okayama.jp/licsxp-opac/WOpacMsgNewListToTifTilDetailAction.do?tilcod=2002222291851</v>
      </c>
    </row>
    <row r="96" spans="1:9" x14ac:dyDescent="0.4">
      <c r="A96" t="str">
        <f>"あさひ湖"</f>
        <v>あさひ湖</v>
      </c>
      <c r="B96" s="1" t="str">
        <f t="shared" si="7"/>
        <v>あさひ湖</v>
      </c>
      <c r="C96" t="str">
        <f>"アサヒコ"</f>
        <v>アサヒコ</v>
      </c>
      <c r="D96" t="str">
        <f>"旭短歌会"</f>
        <v>旭短歌会</v>
      </c>
      <c r="E96" t="str">
        <f>"アサヒタンカカイ"</f>
        <v>アサヒタンカカイ</v>
      </c>
      <c r="F96" t="str">
        <f>"旭町（久米郡）"</f>
        <v>旭町（久米郡）</v>
      </c>
      <c r="G96" t="str">
        <f>"年刊"</f>
        <v>年刊</v>
      </c>
      <c r="H96" t="str">
        <f>"2002222294641"</f>
        <v>2002222294641</v>
      </c>
      <c r="I96" t="str">
        <f>HYPERLINK("#", "https://opac.libnet.pref.okayama.jp/licsxp-opac/WOpacMsgNewListToTifTilDetailAction.do?tilcod=2002222294641")</f>
        <v>https://opac.libnet.pref.okayama.jp/licsxp-opac/WOpacMsgNewListToTifTilDetailAction.do?tilcod=2002222294641</v>
      </c>
    </row>
    <row r="97" spans="1:9" x14ac:dyDescent="0.4">
      <c r="A97" t="str">
        <f>"朝日塾高等学校学校案内；朝日塾中学高等学校学校案内"</f>
        <v>朝日塾高等学校学校案内；朝日塾中学高等学校学校案内</v>
      </c>
      <c r="B97" s="1" t="str">
        <f t="shared" si="7"/>
        <v>朝日塾高等学校学校案内；朝日塾中学高等学校学校案内</v>
      </c>
      <c r="C97" t="str">
        <f>"アサヒジュク　コウトウ　ガッコウ　ガッコウ　アンナイ＊アサヒジュク　チュウガク　コウトウ　ガッコウ　ガッコウ　アンナイ"</f>
        <v>アサヒジュク　コウトウ　ガッコウ　ガッコウ　アンナイ＊アサヒジュク　チュウガク　コウトウ　ガッコウ　ガッコウ　アンナイ</v>
      </c>
      <c r="D97" t="str">
        <f>"朝日塾高等学校"</f>
        <v>朝日塾高等学校</v>
      </c>
      <c r="E97" t="str">
        <f>"アサヒジュクコウトウガッコウ"</f>
        <v>アサヒジュクコウトウガッコウ</v>
      </c>
      <c r="F97" t="str">
        <f>"岡山"</f>
        <v>岡山</v>
      </c>
      <c r="G97" t="str">
        <f>"年刊"</f>
        <v>年刊</v>
      </c>
      <c r="H97" t="str">
        <f>"2002222301216"</f>
        <v>2002222301216</v>
      </c>
      <c r="I97" t="str">
        <f>HYPERLINK("#", "https://opac.libnet.pref.okayama.jp/licsxp-opac/WOpacMsgNewListToTifTilDetailAction.do?tilcod=2002222301216")</f>
        <v>https://opac.libnet.pref.okayama.jp/licsxp-opac/WOpacMsgNewListToTifTilDetailAction.do?tilcod=2002222301216</v>
      </c>
    </row>
    <row r="98" spans="1:9" x14ac:dyDescent="0.4">
      <c r="A98" t="str">
        <f>"朝日塾中等教育学校学校案内"</f>
        <v>朝日塾中等教育学校学校案内</v>
      </c>
      <c r="B98" s="1" t="str">
        <f t="shared" si="7"/>
        <v>朝日塾中等教育学校学校案内</v>
      </c>
      <c r="C98" t="str">
        <f>"アサヒジュク　チュウトウ　キョウイク　ガッコウ　ガッコウ　アンナイ"</f>
        <v>アサヒジュク　チュウトウ　キョウイク　ガッコウ　ガッコウ　アンナイ</v>
      </c>
      <c r="D98" t="str">
        <f>"朝日塾中等教育学校"</f>
        <v>朝日塾中等教育学校</v>
      </c>
      <c r="E98" t="str">
        <f>"アサヒジュク チュウトウ キョウイク ガッコウ"</f>
        <v>アサヒジュク チュウトウ キョウイク ガッコウ</v>
      </c>
      <c r="F98" t="str">
        <f>"岡山"</f>
        <v>岡山</v>
      </c>
      <c r="G98" t="str">
        <f>"年刊"</f>
        <v>年刊</v>
      </c>
      <c r="H98" t="str">
        <f>"2002222330671"</f>
        <v>2002222330671</v>
      </c>
      <c r="I98" t="str">
        <f>HYPERLINK("#", "https://opac.libnet.pref.okayama.jp/licsxp-opac/WOpacMsgNewListToTifTilDetailAction.do?tilcod=2002222330671")</f>
        <v>https://opac.libnet.pref.okayama.jp/licsxp-opac/WOpacMsgNewListToTifTilDetailAction.do?tilcod=2002222330671</v>
      </c>
    </row>
    <row r="99" spans="1:9" x14ac:dyDescent="0.4">
      <c r="A99" t="str">
        <f>"〔旭町〕くらしのニュース"</f>
        <v>〔旭町〕くらしのニュース</v>
      </c>
      <c r="B99" s="1" t="str">
        <f t="shared" si="7"/>
        <v>〔旭町〕くらしのニュース</v>
      </c>
      <c r="C99" t="str">
        <f>"アサヒチョウ　クラシ　ノ　ニュース"</f>
        <v>アサヒチョウ　クラシ　ノ　ニュース</v>
      </c>
      <c r="D99" t="str">
        <f>"旭町消費生活問題研究協議会"</f>
        <v>旭町消費生活問題研究協議会</v>
      </c>
      <c r="E99" t="str">
        <f>"アサヒチョウショウヒセイカツモンダイケンキュウキョウギカイ"</f>
        <v>アサヒチョウショウヒセイカツモンダイケンキュウキョウギカイ</v>
      </c>
      <c r="F99" t="str">
        <f>"旭町（久米郡）"</f>
        <v>旭町（久米郡）</v>
      </c>
      <c r="G99" t="str">
        <f>"年３回刊"</f>
        <v>年３回刊</v>
      </c>
      <c r="H99" t="str">
        <f>"2002222281561"</f>
        <v>2002222281561</v>
      </c>
      <c r="I99" t="str">
        <f>HYPERLINK("#", "https://opac.libnet.pref.okayama.jp/licsxp-opac/WOpacMsgNewListToTifTilDetailAction.do?tilcod=2002222281561")</f>
        <v>https://opac.libnet.pref.okayama.jp/licsxp-opac/WOpacMsgNewListToTifTilDetailAction.do?tilcod=2002222281561</v>
      </c>
    </row>
    <row r="100" spans="1:9" x14ac:dyDescent="0.4">
      <c r="A100" t="str">
        <f>"浅蜊貝"</f>
        <v>浅蜊貝</v>
      </c>
      <c r="B100" s="1" t="str">
        <f t="shared" si="7"/>
        <v>浅蜊貝</v>
      </c>
      <c r="C100" t="str">
        <f>"アサリガイ"</f>
        <v>アサリガイ</v>
      </c>
      <c r="D100" t="str">
        <f>"玉島文化クラブ"</f>
        <v>玉島文化クラブ</v>
      </c>
      <c r="E100" t="str">
        <f>"タマシマ ブンカ クラブ"</f>
        <v>タマシマ ブンカ クラブ</v>
      </c>
      <c r="F100" t="str">
        <f>""</f>
        <v/>
      </c>
      <c r="G100" t="str">
        <f>"月刊"</f>
        <v>月刊</v>
      </c>
      <c r="H100" t="str">
        <f>"2002222287131"</f>
        <v>2002222287131</v>
      </c>
      <c r="I100" t="str">
        <f>HYPERLINK("#", "https://opac.libnet.pref.okayama.jp/licsxp-opac/WOpacMsgNewListToTifTilDetailAction.do?tilcod=2002222287131")</f>
        <v>https://opac.libnet.pref.okayama.jp/licsxp-opac/WOpacMsgNewListToTifTilDetailAction.do?tilcod=2002222287131</v>
      </c>
    </row>
    <row r="101" spans="1:9" x14ac:dyDescent="0.4">
      <c r="A101" t="str">
        <f>"味"</f>
        <v>味</v>
      </c>
      <c r="B101" s="1" t="str">
        <f t="shared" si="7"/>
        <v>味</v>
      </c>
      <c r="C101" t="str">
        <f>"アジ"</f>
        <v>アジ</v>
      </c>
      <c r="D101" t="str">
        <f>"食生活社"</f>
        <v>食生活社</v>
      </c>
      <c r="E101" t="str">
        <f>"ショク セイカツシャ"</f>
        <v>ショク セイカツシャ</v>
      </c>
      <c r="F101" t="str">
        <f>"岡山"</f>
        <v>岡山</v>
      </c>
      <c r="G101" t="str">
        <f>"月刊"</f>
        <v>月刊</v>
      </c>
      <c r="H101" t="str">
        <f>"2002222329871"</f>
        <v>2002222329871</v>
      </c>
      <c r="I101" t="str">
        <f>HYPERLINK("#", "https://opac.libnet.pref.okayama.jp/licsxp-opac/WOpacMsgNewListToTifTilDetailAction.do?tilcod=2002222329871")</f>
        <v>https://opac.libnet.pref.okayama.jp/licsxp-opac/WOpacMsgNewListToTifTilDetailAction.do?tilcod=2002222329871</v>
      </c>
    </row>
    <row r="102" spans="1:9" x14ac:dyDescent="0.4">
      <c r="A102" t="str">
        <f>"あし；西小学校PTA新聞"</f>
        <v>あし；西小学校PTA新聞</v>
      </c>
      <c r="B102" s="1" t="str">
        <f t="shared" si="7"/>
        <v>あし；西小学校PTA新聞</v>
      </c>
      <c r="C102" t="str">
        <f>"アシ ニシショウガッコウ ピーティーエー シンブン"</f>
        <v>アシ ニシショウガッコウ ピーティーエー シンブン</v>
      </c>
      <c r="D102" t="str">
        <f>"西小学校PTA"</f>
        <v>西小学校PTA</v>
      </c>
      <c r="E102" t="str">
        <f>"ニシショウガッコウ ピーティーエー"</f>
        <v>ニシショウガッコウ ピーティーエー</v>
      </c>
      <c r="F102" t="str">
        <f>""</f>
        <v/>
      </c>
      <c r="G102" t="str">
        <f>"頻度不明"</f>
        <v>頻度不明</v>
      </c>
      <c r="H102" t="str">
        <f>"2002222338772"</f>
        <v>2002222338772</v>
      </c>
      <c r="I102" t="str">
        <f>HYPERLINK("#", "https://opac.libnet.pref.okayama.jp/licsxp-opac/WOpacMsgNewListToTifTilDetailAction.do?tilcod=2002222338772")</f>
        <v>https://opac.libnet.pref.okayama.jp/licsxp-opac/WOpacMsgNewListToTifTilDetailAction.do?tilcod=2002222338772</v>
      </c>
    </row>
    <row r="103" spans="1:9" x14ac:dyDescent="0.4">
      <c r="A103" t="str">
        <f>"アジア福祉文化研究センター研究紀要"</f>
        <v>アジア福祉文化研究センター研究紀要</v>
      </c>
      <c r="B103" s="1" t="str">
        <f t="shared" si="7"/>
        <v>アジア福祉文化研究センター研究紀要</v>
      </c>
      <c r="C103" t="str">
        <f>"アジア　フクシ　ブンカ　ケンキュウ　センター　ケンキュウ　キヨウ"</f>
        <v>アジア　フクシ　ブンカ　ケンキュウ　センター　ケンキュウ　キヨウ</v>
      </c>
      <c r="D103" t="str">
        <f>"旭川荘"</f>
        <v>旭川荘</v>
      </c>
      <c r="E103" t="str">
        <f>"アサヒガワソウ"</f>
        <v>アサヒガワソウ</v>
      </c>
      <c r="F103" t="str">
        <f>"岡山"</f>
        <v>岡山</v>
      </c>
      <c r="G103" t="str">
        <f>"年刊"</f>
        <v>年刊</v>
      </c>
      <c r="H103" t="str">
        <f>"2002222282401"</f>
        <v>2002222282401</v>
      </c>
      <c r="I103" t="str">
        <f>HYPERLINK("#", "https://opac.libnet.pref.okayama.jp/licsxp-opac/WOpacMsgNewListToTifTilDetailAction.do?tilcod=2002222282401")</f>
        <v>https://opac.libnet.pref.okayama.jp/licsxp-opac/WOpacMsgNewListToTifTilDetailAction.do?tilcod=2002222282401</v>
      </c>
    </row>
    <row r="104" spans="1:9" x14ac:dyDescent="0.4">
      <c r="A104" t="str">
        <f>"あ志阿と"</f>
        <v>あ志阿と</v>
      </c>
      <c r="B104" s="1" t="str">
        <f t="shared" si="7"/>
        <v>あ志阿と</v>
      </c>
      <c r="C104" t="str">
        <f>"アシアト"</f>
        <v>アシアト</v>
      </c>
      <c r="D104" t="str">
        <f>"玉島高等学校社会科研究部"</f>
        <v>玉島高等学校社会科研究部</v>
      </c>
      <c r="E104" t="str">
        <f>"タマシマ コウトウ ガッコウ シャカイカ ケンキュウブ"</f>
        <v>タマシマ コウトウ ガッコウ シャカイカ ケンキュウブ</v>
      </c>
      <c r="F104" t="str">
        <f>"玉島"</f>
        <v>玉島</v>
      </c>
      <c r="G104" t="str">
        <f>"年刊"</f>
        <v>年刊</v>
      </c>
      <c r="H104" t="str">
        <f>"2002222287141"</f>
        <v>2002222287141</v>
      </c>
      <c r="I104" t="str">
        <f>HYPERLINK("#", "https://opac.libnet.pref.okayama.jp/licsxp-opac/WOpacMsgNewListToTifTilDetailAction.do?tilcod=2002222287141")</f>
        <v>https://opac.libnet.pref.okayama.jp/licsxp-opac/WOpacMsgNewListToTifTilDetailAction.do?tilcod=2002222287141</v>
      </c>
    </row>
    <row r="105" spans="1:9" x14ac:dyDescent="0.4">
      <c r="A105" t="str">
        <f>"紫陽華"</f>
        <v>紫陽華</v>
      </c>
      <c r="B105" s="1" t="str">
        <f t="shared" si="7"/>
        <v>紫陽華</v>
      </c>
      <c r="C105" t="str">
        <f>"アジサイ"</f>
        <v>アジサイ</v>
      </c>
      <c r="D105" t="str">
        <f>"紫陽花社"</f>
        <v>紫陽花社</v>
      </c>
      <c r="E105" t="str">
        <f>"アジサイシャ"</f>
        <v>アジサイシャ</v>
      </c>
      <c r="F105" t="str">
        <f>"岡山"</f>
        <v>岡山</v>
      </c>
      <c r="G105" t="str">
        <f>"頻度不明"</f>
        <v>頻度不明</v>
      </c>
      <c r="H105" t="str">
        <f>"2002222287161"</f>
        <v>2002222287161</v>
      </c>
      <c r="I105" t="str">
        <f>HYPERLINK("#", "https://opac.libnet.pref.okayama.jp/licsxp-opac/WOpacMsgNewListToTifTilDetailAction.do?tilcod=2002222287161")</f>
        <v>https://opac.libnet.pref.okayama.jp/licsxp-opac/WOpacMsgNewListToTifTilDetailAction.do?tilcod=2002222287161</v>
      </c>
    </row>
    <row r="106" spans="1:9" x14ac:dyDescent="0.4">
      <c r="A106" t="str">
        <f>"あした"</f>
        <v>あした</v>
      </c>
      <c r="B106" s="1" t="str">
        <f t="shared" si="7"/>
        <v>あした</v>
      </c>
      <c r="C106" t="str">
        <f>"アシタ"</f>
        <v>アシタ</v>
      </c>
      <c r="D106" t="str">
        <f>"津山青年会議所"</f>
        <v>津山青年会議所</v>
      </c>
      <c r="E106" t="str">
        <f>"ツヤマ セイネン カイギショ"</f>
        <v>ツヤマ セイネン カイギショ</v>
      </c>
      <c r="F106" t="str">
        <f>"津山"</f>
        <v>津山</v>
      </c>
      <c r="G106" t="str">
        <f>"頻度不明"</f>
        <v>頻度不明</v>
      </c>
      <c r="H106" t="str">
        <f>"2002222300774"</f>
        <v>2002222300774</v>
      </c>
      <c r="I106" t="str">
        <f>HYPERLINK("#", "https://opac.libnet.pref.okayama.jp/licsxp-opac/WOpacMsgNewListToTifTilDetailAction.do?tilcod=2002222300774")</f>
        <v>https://opac.libnet.pref.okayama.jp/licsxp-opac/WOpacMsgNewListToTifTilDetailAction.do?tilcod=2002222300774</v>
      </c>
    </row>
    <row r="107" spans="1:9" x14ac:dyDescent="0.4">
      <c r="A107" t="str">
        <f>"あしたり；岡山弁協会会報"</f>
        <v>あしたり；岡山弁協会会報</v>
      </c>
      <c r="B107" s="1" t="str">
        <f t="shared" si="7"/>
        <v>あしたり；岡山弁協会会報</v>
      </c>
      <c r="C107" t="str">
        <f>"アシタリ＊オカヤマベン　キョウカイ　カイホウ"</f>
        <v>アシタリ＊オカヤマベン　キョウカイ　カイホウ</v>
      </c>
      <c r="D107" t="str">
        <f>"岡山弁協会"</f>
        <v>岡山弁協会</v>
      </c>
      <c r="E107" t="str">
        <f>"オカヤマベンキョウカイ"</f>
        <v>オカヤマベンキョウカイ</v>
      </c>
      <c r="F107" t="str">
        <f>"岡山"</f>
        <v>岡山</v>
      </c>
      <c r="G107" t="str">
        <f>"年２回刊"</f>
        <v>年２回刊</v>
      </c>
      <c r="H107" t="str">
        <f>"2002222302336"</f>
        <v>2002222302336</v>
      </c>
      <c r="I107" t="str">
        <f>HYPERLINK("#", "https://opac.libnet.pref.okayama.jp/licsxp-opac/WOpacMsgNewListToTifTilDetailAction.do?tilcod=2002222302336")</f>
        <v>https://opac.libnet.pref.okayama.jp/licsxp-opac/WOpacMsgNewListToTifTilDetailAction.do?tilcod=2002222302336</v>
      </c>
    </row>
    <row r="108" spans="1:9" x14ac:dyDescent="0.4">
      <c r="A108" t="str">
        <f>"足守公民館だより"</f>
        <v>足守公民館だより</v>
      </c>
      <c r="B108" s="1" t="str">
        <f t="shared" si="7"/>
        <v>足守公民館だより</v>
      </c>
      <c r="C108" t="str">
        <f>"アシモリ コウミンカン ダヨリ"</f>
        <v>アシモリ コウミンカン ダヨリ</v>
      </c>
      <c r="D108" t="str">
        <f>"岡山市立足守公民館"</f>
        <v>岡山市立足守公民館</v>
      </c>
      <c r="E108" t="str">
        <f>"オカヤマシリツ アシモリ コウミンカン"</f>
        <v>オカヤマシリツ アシモリ コウミンカン</v>
      </c>
      <c r="F108" t="str">
        <f>"岡山"</f>
        <v>岡山</v>
      </c>
      <c r="G108" t="str">
        <f>"月刊"</f>
        <v>月刊</v>
      </c>
      <c r="H108" t="str">
        <f>"2002222341383"</f>
        <v>2002222341383</v>
      </c>
      <c r="I108" t="str">
        <f>HYPERLINK("#", "https://opac.libnet.pref.okayama.jp/licsxp-opac/WOpacMsgNewListToTifTilDetailAction.do?tilcod=2002222341383")</f>
        <v>https://opac.libnet.pref.okayama.jp/licsxp-opac/WOpacMsgNewListToTifTilDetailAction.do?tilcod=2002222341383</v>
      </c>
    </row>
    <row r="109" spans="1:9" x14ac:dyDescent="0.4">
      <c r="A109" t="str">
        <f>"足守史跡巡り"</f>
        <v>足守史跡巡り</v>
      </c>
      <c r="B109" s="1" t="str">
        <f t="shared" si="7"/>
        <v>足守史跡巡り</v>
      </c>
      <c r="C109" t="str">
        <f>"アシモリ　シセキ　メグリ"</f>
        <v>アシモリ　シセキ　メグリ</v>
      </c>
      <c r="D109" t="str">
        <f>"吉備文化財同好会"</f>
        <v>吉備文化財同好会</v>
      </c>
      <c r="E109" t="str">
        <f>"キビブンカザイドウコウカイ"</f>
        <v>キビブンカザイドウコウカイ</v>
      </c>
      <c r="F109" t="str">
        <f>""</f>
        <v/>
      </c>
      <c r="G109" t="str">
        <f>"頻度不明"</f>
        <v>頻度不明</v>
      </c>
      <c r="H109" t="str">
        <f>"2002222287171"</f>
        <v>2002222287171</v>
      </c>
      <c r="I109" t="str">
        <f>HYPERLINK("#", "https://opac.libnet.pref.okayama.jp/licsxp-opac/WOpacMsgNewListToTifTilDetailAction.do?tilcod=2002222287171")</f>
        <v>https://opac.libnet.pref.okayama.jp/licsxp-opac/WOpacMsgNewListToTifTilDetailAction.do?tilcod=2002222287171</v>
      </c>
    </row>
    <row r="110" spans="1:9" x14ac:dyDescent="0.4">
      <c r="A110" t="str">
        <f>"ａｓｈｉｎ（アシン）"</f>
        <v>ａｓｈｉｎ（アシン）</v>
      </c>
      <c r="B110" s="1" t="str">
        <f t="shared" si="7"/>
        <v>ａｓｈｉｎ（アシン）</v>
      </c>
      <c r="C110" t="str">
        <f>"アシン"</f>
        <v>アシン</v>
      </c>
      <c r="D110" t="str">
        <f>"阿新地域観光協議会"</f>
        <v>阿新地域観光協議会</v>
      </c>
      <c r="E110" t="str">
        <f>"アシンチイキカンコウキョウギカイ"</f>
        <v>アシンチイキカンコウキョウギカイ</v>
      </c>
      <c r="F110" t="str">
        <f>"新見"</f>
        <v>新見</v>
      </c>
      <c r="G110" t="str">
        <f>"不定期刊"</f>
        <v>不定期刊</v>
      </c>
      <c r="H110" t="str">
        <f>"2002222280614"</f>
        <v>2002222280614</v>
      </c>
      <c r="I110" t="str">
        <f>HYPERLINK("#", "https://opac.libnet.pref.okayama.jp/licsxp-opac/WOpacMsgNewListToTifTilDetailAction.do?tilcod=2002222280614")</f>
        <v>https://opac.libnet.pref.okayama.jp/licsxp-opac/WOpacMsgNewListToTifTilDetailAction.do?tilcod=2002222280614</v>
      </c>
    </row>
    <row r="111" spans="1:9" x14ac:dyDescent="0.4">
      <c r="A111" t="str">
        <f>"阿新地域合併協議会だより；新見市・大佐町・神郷町・哲多町・哲西町"</f>
        <v>阿新地域合併協議会だより；新見市・大佐町・神郷町・哲多町・哲西町</v>
      </c>
      <c r="B111" s="1" t="str">
        <f t="shared" si="7"/>
        <v>阿新地域合併協議会だより；新見市・大佐町・神郷町・哲多町・哲西町</v>
      </c>
      <c r="C111" t="str">
        <f>"アシン　チイキ　ガッペイ　キョウギカイ　ダヨリ＊ニイミシ　オオサチョウ　シンゴウチョウ　テッタチョウ　テッセイチョウ"</f>
        <v>アシン　チイキ　ガッペイ　キョウギカイ　ダヨリ＊ニイミシ　オオサチョウ　シンゴウチョウ　テッタチョウ　テッセイチョウ</v>
      </c>
      <c r="D111" t="str">
        <f>"阿新地域合併協議会事務局"</f>
        <v>阿新地域合併協議会事務局</v>
      </c>
      <c r="E111" t="str">
        <f>"アシンチイキガッペイキョウギカイジムキョク"</f>
        <v>アシンチイキガッペイキョウギカイジムキョク</v>
      </c>
      <c r="F111" t="str">
        <f>"新見"</f>
        <v>新見</v>
      </c>
      <c r="G111" t="str">
        <f>"月刊"</f>
        <v>月刊</v>
      </c>
      <c r="H111" t="str">
        <f>"2002222282054"</f>
        <v>2002222282054</v>
      </c>
      <c r="I111" t="str">
        <f>HYPERLINK("#", "https://opac.libnet.pref.okayama.jp/licsxp-opac/WOpacMsgNewListToTifTilDetailAction.do?tilcod=2002222282054")</f>
        <v>https://opac.libnet.pref.okayama.jp/licsxp-opac/WOpacMsgNewListToTifTilDetailAction.do?tilcod=2002222282054</v>
      </c>
    </row>
    <row r="112" spans="1:9" x14ac:dyDescent="0.4">
      <c r="A112" t="str">
        <f>"〔阿新農業改良普及所〕普及だより"</f>
        <v>〔阿新農業改良普及所〕普及だより</v>
      </c>
      <c r="B112" s="1" t="str">
        <f t="shared" si="7"/>
        <v>〔阿新農業改良普及所〕普及だより</v>
      </c>
      <c r="C112" t="str">
        <f>"アシン　ノウギョウ　カイリョウ　フキュウジョ＊フキュウ　ダヨリ"</f>
        <v>アシン　ノウギョウ　カイリョウ　フキュウジョ＊フキュウ　ダヨリ</v>
      </c>
      <c r="D112" t="str">
        <f>"阿新農業改良普及所"</f>
        <v>阿新農業改良普及所</v>
      </c>
      <c r="E112" t="str">
        <f>"アシン ノウギョウ カイリョウ フキュウジョ"</f>
        <v>アシン ノウギョウ カイリョウ フキュウジョ</v>
      </c>
      <c r="F112" t="str">
        <f>""</f>
        <v/>
      </c>
      <c r="G112" t="str">
        <f>"頻度不明"</f>
        <v>頻度不明</v>
      </c>
      <c r="H112" t="str">
        <f>"2002222280104"</f>
        <v>2002222280104</v>
      </c>
      <c r="I112" t="str">
        <f>HYPERLINK("#", "https://opac.libnet.pref.okayama.jp/licsxp-opac/WOpacMsgNewListToTifTilDetailAction.do?tilcod=2002222280104")</f>
        <v>https://opac.libnet.pref.okayama.jp/licsxp-opac/WOpacMsgNewListToTifTilDetailAction.do?tilcod=2002222280104</v>
      </c>
    </row>
    <row r="113" spans="1:9" x14ac:dyDescent="0.4">
      <c r="A113" t="str">
        <f>"あしん；ＪＡ阿新広報誌"</f>
        <v>あしん；ＪＡ阿新広報誌</v>
      </c>
      <c r="B113" s="1" t="str">
        <f t="shared" si="7"/>
        <v>あしん；ＪＡ阿新広報誌</v>
      </c>
      <c r="C113" t="str">
        <f>"アシン＊ジェイエー　アシン　コウホウシ"</f>
        <v>アシン＊ジェイエー　アシン　コウホウシ</v>
      </c>
      <c r="D113" t="str">
        <f>"阿新農業協同組合"</f>
        <v>阿新農業協同組合</v>
      </c>
      <c r="E113" t="str">
        <f>"アシン ノウギョウ キョウドウ クミアイ"</f>
        <v>アシン ノウギョウ キョウドウ クミアイ</v>
      </c>
      <c r="F113" t="str">
        <f>"新見"</f>
        <v>新見</v>
      </c>
      <c r="G113" t="str">
        <f>"月刊"</f>
        <v>月刊</v>
      </c>
      <c r="H113" t="str">
        <f>"2002222302106"</f>
        <v>2002222302106</v>
      </c>
      <c r="I113" t="str">
        <f>HYPERLINK("#", "https://opac.libnet.pref.okayama.jp/licsxp-opac/WOpacMsgNewListToTifTilDetailAction.do?tilcod=2002222302106")</f>
        <v>https://opac.libnet.pref.okayama.jp/licsxp-opac/WOpacMsgNewListToTifTilDetailAction.do?tilcod=2002222302106</v>
      </c>
    </row>
    <row r="114" spans="1:9" x14ac:dyDescent="0.4">
      <c r="A114" t="str">
        <f>"阿新路イベント情報"</f>
        <v>阿新路イベント情報</v>
      </c>
      <c r="B114" s="1" t="str">
        <f t="shared" si="7"/>
        <v>阿新路イベント情報</v>
      </c>
      <c r="C114" t="str">
        <f>"アシンジ　イベント　ジョウホウ"</f>
        <v>アシンジ　イベント　ジョウホウ</v>
      </c>
      <c r="D114" t="str">
        <f>"阿新地域観光協議会"</f>
        <v>阿新地域観光協議会</v>
      </c>
      <c r="E114" t="str">
        <f>"アシンチイキカンコウキョウギカイ"</f>
        <v>アシンチイキカンコウキョウギカイ</v>
      </c>
      <c r="F114" t="str">
        <f>"新見"</f>
        <v>新見</v>
      </c>
      <c r="G114" t="str">
        <f>"隔月刊"</f>
        <v>隔月刊</v>
      </c>
      <c r="H114" t="str">
        <f>"2002222281774"</f>
        <v>2002222281774</v>
      </c>
      <c r="I114" t="str">
        <f>HYPERLINK("#", "https://opac.libnet.pref.okayama.jp/licsxp-opac/WOpacMsgNewListToTifTilDetailAction.do?tilcod=2002222281774")</f>
        <v>https://opac.libnet.pref.okayama.jp/licsxp-opac/WOpacMsgNewListToTifTilDetailAction.do?tilcod=2002222281774</v>
      </c>
    </row>
    <row r="115" spans="1:9" x14ac:dyDescent="0.4">
      <c r="A115" t="str">
        <f>"あすの岡山アンケート集計結果"</f>
        <v>あすの岡山アンケート集計結果</v>
      </c>
      <c r="B115" s="1" t="str">
        <f t="shared" si="7"/>
        <v>あすの岡山アンケート集計結果</v>
      </c>
      <c r="C115" t="str">
        <f>"アス　ノ　オカヤマ　アンケート　シュウケイ　ケッカ"</f>
        <v>アス　ノ　オカヤマ　アンケート　シュウケイ　ケッカ</v>
      </c>
      <c r="D115" t="str">
        <f>"山陽新聞社"</f>
        <v>山陽新聞社</v>
      </c>
      <c r="E115" t="str">
        <f>"サンヨウシンブンシャ"</f>
        <v>サンヨウシンブンシャ</v>
      </c>
      <c r="F115" t="str">
        <f>"岡山"</f>
        <v>岡山</v>
      </c>
      <c r="G115" t="str">
        <f>"年刊"</f>
        <v>年刊</v>
      </c>
      <c r="H115" t="str">
        <f>"2002222281181"</f>
        <v>2002222281181</v>
      </c>
      <c r="I115" t="str">
        <f>HYPERLINK("#", "https://opac.libnet.pref.okayama.jp/licsxp-opac/WOpacMsgNewListToTifTilDetailAction.do?tilcod=2002222281181")</f>
        <v>https://opac.libnet.pref.okayama.jp/licsxp-opac/WOpacMsgNewListToTifTilDetailAction.do?tilcod=2002222281181</v>
      </c>
    </row>
    <row r="116" spans="1:9" x14ac:dyDescent="0.4">
      <c r="A116" t="str">
        <f>"アスエコかわらばん"</f>
        <v>アスエコかわらばん</v>
      </c>
      <c r="B116" s="1" t="str">
        <f t="shared" si="7"/>
        <v>アスエコかわらばん</v>
      </c>
      <c r="C116" t="str">
        <f>"アスエコ カワラバン"</f>
        <v>アスエコ カワラバン</v>
      </c>
      <c r="D116" t="str">
        <f>"岡山県環境保全事業団環境学習センター「アスエコ」"</f>
        <v>岡山県環境保全事業団環境学習センター「アスエコ」</v>
      </c>
      <c r="E116" t="str">
        <f>"オカヤマケン カンキョウ ホゼン ジギョウダン カンキョウ ガクシュウ センター アスエコ"</f>
        <v>オカヤマケン カンキョウ ホゼン ジギョウダン カンキョウ ガクシュウ センター アスエコ</v>
      </c>
      <c r="F116" t="str">
        <f>"岡山"</f>
        <v>岡山</v>
      </c>
      <c r="G116" t="str">
        <f>"隔月刊"</f>
        <v>隔月刊</v>
      </c>
      <c r="H116" t="str">
        <f>"2002222316986"</f>
        <v>2002222316986</v>
      </c>
      <c r="I116" t="str">
        <f>HYPERLINK("#", "https://opac.libnet.pref.okayama.jp/licsxp-opac/WOpacMsgNewListToTifTilDetailAction.do?tilcod=2002222316986")</f>
        <v>https://opac.libnet.pref.okayama.jp/licsxp-opac/WOpacMsgNewListToTifTilDetailAction.do?tilcod=2002222316986</v>
      </c>
    </row>
    <row r="117" spans="1:9" x14ac:dyDescent="0.4">
      <c r="A117" t="str">
        <f>"あすなろ"</f>
        <v>あすなろ</v>
      </c>
      <c r="B117" s="1" t="str">
        <f t="shared" si="7"/>
        <v>あすなろ</v>
      </c>
      <c r="C117" t="str">
        <f>"アスナロ"</f>
        <v>アスナロ</v>
      </c>
      <c r="D117" t="str">
        <f>"久米町教育振興会"</f>
        <v>久米町教育振興会</v>
      </c>
      <c r="E117" t="str">
        <f>"クメチョウキョウイクシンコウカイ"</f>
        <v>クメチョウキョウイクシンコウカイ</v>
      </c>
      <c r="F117" t="str">
        <f>"久米町（久米郡）"</f>
        <v>久米町（久米郡）</v>
      </c>
      <c r="G117" t="str">
        <f>"頻度不明"</f>
        <v>頻度不明</v>
      </c>
      <c r="H117" t="str">
        <f>"2002222287181"</f>
        <v>2002222287181</v>
      </c>
      <c r="I117" t="str">
        <f>HYPERLINK("#", "https://opac.libnet.pref.okayama.jp/licsxp-opac/WOpacMsgNewListToTifTilDetailAction.do?tilcod=2002222287181")</f>
        <v>https://opac.libnet.pref.okayama.jp/licsxp-opac/WOpacMsgNewListToTifTilDetailAction.do?tilcod=2002222287181</v>
      </c>
    </row>
    <row r="118" spans="1:9" x14ac:dyDescent="0.4">
      <c r="A118" t="str">
        <f>"あすなろ"</f>
        <v>あすなろ</v>
      </c>
      <c r="B118" s="1" t="str">
        <f t="shared" si="7"/>
        <v>あすなろ</v>
      </c>
      <c r="C118" t="str">
        <f>"アスナロ"</f>
        <v>アスナロ</v>
      </c>
      <c r="D118" t="str">
        <f>"至道高等学校文芸部"</f>
        <v>至道高等学校文芸部</v>
      </c>
      <c r="E118" t="str">
        <f>"シドウ コウトウ ガッコウ ブンゲイブ"</f>
        <v>シドウ コウトウ ガッコウ ブンゲイブ</v>
      </c>
      <c r="F118" t="str">
        <f>"北房町（上房郡）"</f>
        <v>北房町（上房郡）</v>
      </c>
      <c r="G118" t="str">
        <f>"頻度不明"</f>
        <v>頻度不明</v>
      </c>
      <c r="H118" t="str">
        <f>"2002222319735"</f>
        <v>2002222319735</v>
      </c>
      <c r="I118" t="str">
        <f>HYPERLINK("#", "https://opac.libnet.pref.okayama.jp/licsxp-opac/WOpacMsgNewListToTifTilDetailAction.do?tilcod=2002222319735")</f>
        <v>https://opac.libnet.pref.okayama.jp/licsxp-opac/WOpacMsgNewListToTifTilDetailAction.do?tilcod=2002222319735</v>
      </c>
    </row>
    <row r="119" spans="1:9" x14ac:dyDescent="0.4">
      <c r="A119" t="str">
        <f>"あすなろ"</f>
        <v>あすなろ</v>
      </c>
      <c r="B119" s="1" t="str">
        <f t="shared" si="7"/>
        <v>あすなろ</v>
      </c>
      <c r="C119" t="str">
        <f>"アスナロ"</f>
        <v>アスナロ</v>
      </c>
      <c r="D119" t="str">
        <f>"勝央町教育委員会"</f>
        <v>勝央町教育委員会</v>
      </c>
      <c r="E119" t="str">
        <f>"ショウオウチョウ キョウイク イインカイ"</f>
        <v>ショウオウチョウ キョウイク イインカイ</v>
      </c>
      <c r="F119" t="str">
        <f>"勝央町（勝田郡）"</f>
        <v>勝央町（勝田郡）</v>
      </c>
      <c r="G119" t="str">
        <f>"季刊"</f>
        <v>季刊</v>
      </c>
      <c r="H119" t="str">
        <f>"2002222333226"</f>
        <v>2002222333226</v>
      </c>
      <c r="I119" t="str">
        <f>HYPERLINK("#", "https://opac.libnet.pref.okayama.jp/licsxp-opac/WOpacMsgNewListToTifTilDetailAction.do?tilcod=2002222333226")</f>
        <v>https://opac.libnet.pref.okayama.jp/licsxp-opac/WOpacMsgNewListToTifTilDetailAction.do?tilcod=2002222333226</v>
      </c>
    </row>
    <row r="120" spans="1:9" x14ac:dyDescent="0.4">
      <c r="A120" t="str">
        <f>"あすぱらがす；ガスと楽しむぬくもりある暮らし"</f>
        <v>あすぱらがす；ガスと楽しむぬくもりある暮らし</v>
      </c>
      <c r="B120" s="1" t="str">
        <f t="shared" si="7"/>
        <v>あすぱらがす；ガスと楽しむぬくもりある暮らし</v>
      </c>
      <c r="C120" t="str">
        <f>"アスパラガス＊ガス ト タノシム ヌクモリ アル クラシ"</f>
        <v>アスパラガス＊ガス ト タノシム ヌクモリ アル クラシ</v>
      </c>
      <c r="D120" t="str">
        <f>"岡山ガス"</f>
        <v>岡山ガス</v>
      </c>
      <c r="E120" t="str">
        <f>"オカヤマ ガス"</f>
        <v>オカヤマ ガス</v>
      </c>
      <c r="F120" t="str">
        <f>"岡山"</f>
        <v>岡山</v>
      </c>
      <c r="G120" t="str">
        <f>"季刊"</f>
        <v>季刊</v>
      </c>
      <c r="H120" t="str">
        <f>"2002222343971"</f>
        <v>2002222343971</v>
      </c>
      <c r="I120" t="str">
        <f>HYPERLINK("#", "https://opac.libnet.pref.okayama.jp/licsxp-opac/WOpacMsgNewListToTifTilDetailAction.do?tilcod=2002222343971")</f>
        <v>https://opac.libnet.pref.okayama.jp/licsxp-opac/WOpacMsgNewListToTifTilDetailAction.do?tilcod=2002222343971</v>
      </c>
    </row>
    <row r="121" spans="1:9" x14ac:dyDescent="0.4">
      <c r="A121" t="str">
        <f>"あぜみち情報"</f>
        <v>あぜみち情報</v>
      </c>
      <c r="B121" s="1" t="str">
        <f t="shared" si="7"/>
        <v>あぜみち情報</v>
      </c>
      <c r="C121" t="str">
        <f>"アゼミチ ジョウホウ"</f>
        <v>アゼミチ ジョウホウ</v>
      </c>
      <c r="D121" t="str">
        <f>"岡山県農林部"</f>
        <v>岡山県農林部</v>
      </c>
      <c r="E121" t="str">
        <f>"オカヤマケン ノウリンブ"</f>
        <v>オカヤマケン ノウリンブ</v>
      </c>
      <c r="F121" t="str">
        <f>"岡山"</f>
        <v>岡山</v>
      </c>
      <c r="G121" t="str">
        <f>"月刊"</f>
        <v>月刊</v>
      </c>
      <c r="H121" t="str">
        <f>"2002222287191"</f>
        <v>2002222287191</v>
      </c>
      <c r="I121" t="str">
        <f>HYPERLINK("#", "https://opac.libnet.pref.okayama.jp/licsxp-opac/WOpacMsgNewListToTifTilDetailAction.do?tilcod=2002222287191")</f>
        <v>https://opac.libnet.pref.okayama.jp/licsxp-opac/WOpacMsgNewListToTifTilDetailAction.do?tilcod=2002222287191</v>
      </c>
    </row>
    <row r="122" spans="1:9" x14ac:dyDescent="0.4">
      <c r="A122" t="str">
        <f>"あそびひろば"</f>
        <v>あそびひろば</v>
      </c>
      <c r="B122" s="1" t="str">
        <f t="shared" si="7"/>
        <v>あそびひろば</v>
      </c>
      <c r="C122" t="str">
        <f>"アソビ　ヒロバ"</f>
        <v>アソビ　ヒロバ</v>
      </c>
      <c r="D122" t="str">
        <f>"にいみ子どもセンター協議会"</f>
        <v>にいみ子どもセンター協議会</v>
      </c>
      <c r="E122" t="str">
        <f>"ニイミコドモセンターキョウギカイ"</f>
        <v>ニイミコドモセンターキョウギカイ</v>
      </c>
      <c r="F122" t="str">
        <f>"新見"</f>
        <v>新見</v>
      </c>
      <c r="G122" t="str">
        <f>"頻度不明"</f>
        <v>頻度不明</v>
      </c>
      <c r="H122" t="str">
        <f>"2002222282581"</f>
        <v>2002222282581</v>
      </c>
      <c r="I122" t="str">
        <f>HYPERLINK("#", "https://opac.libnet.pref.okayama.jp/licsxp-opac/WOpacMsgNewListToTifTilDetailAction.do?tilcod=2002222282581")</f>
        <v>https://opac.libnet.pref.okayama.jp/licsxp-opac/WOpacMsgNewListToTifTilDetailAction.do?tilcod=2002222282581</v>
      </c>
    </row>
    <row r="123" spans="1:9" x14ac:dyDescent="0.4">
      <c r="A123" t="str">
        <f>"新しき光"</f>
        <v>新しき光</v>
      </c>
      <c r="B123" s="1" t="str">
        <f t="shared" si="7"/>
        <v>新しき光</v>
      </c>
      <c r="C123" t="str">
        <f>"アタラシキ　ヒカリ"</f>
        <v>アタラシキ　ヒカリ</v>
      </c>
      <c r="D123" t="str">
        <f>"安原修"</f>
        <v>安原修</v>
      </c>
      <c r="E123" t="str">
        <f>"ヤスハラオサム"</f>
        <v>ヤスハラオサム</v>
      </c>
      <c r="F123" t="str">
        <f>""</f>
        <v/>
      </c>
      <c r="G123" t="str">
        <f>"頻度不明"</f>
        <v>頻度不明</v>
      </c>
      <c r="H123" t="str">
        <f>"2002222287201"</f>
        <v>2002222287201</v>
      </c>
      <c r="I123" t="str">
        <f>HYPERLINK("#", "https://opac.libnet.pref.okayama.jp/licsxp-opac/WOpacMsgNewListToTifTilDetailAction.do?tilcod=2002222287201")</f>
        <v>https://opac.libnet.pref.okayama.jp/licsxp-opac/WOpacMsgNewListToTifTilDetailAction.do?tilcod=2002222287201</v>
      </c>
    </row>
    <row r="124" spans="1:9" x14ac:dyDescent="0.4">
      <c r="A124" t="str">
        <f>"阿知館週報"</f>
        <v>阿知館週報</v>
      </c>
      <c r="B124" s="1" t="str">
        <f t="shared" si="7"/>
        <v>阿知館週報</v>
      </c>
      <c r="C124" t="str">
        <f>"アチカン シュウホウ"</f>
        <v>アチカン シュウホウ</v>
      </c>
      <c r="D124" t="str">
        <f>"阿知館宣伝部"</f>
        <v>阿知館宣伝部</v>
      </c>
      <c r="E124" t="str">
        <f>"アチカン センデンブ"</f>
        <v>アチカン センデンブ</v>
      </c>
      <c r="F124" t="str">
        <f>"[出版地不明] "</f>
        <v xml:space="preserve">[出版地不明] </v>
      </c>
      <c r="G124" t="str">
        <f>"頻度不明"</f>
        <v>頻度不明</v>
      </c>
      <c r="H124" t="str">
        <f>"2002222331934"</f>
        <v>2002222331934</v>
      </c>
      <c r="I124" t="str">
        <f>HYPERLINK("#", "https://opac.libnet.pref.okayama.jp/licsxp-opac/WOpacMsgNewListToTifTilDetailAction.do?tilcod=2002222331934")</f>
        <v>https://opac.libnet.pref.okayama.jp/licsxp-opac/WOpacMsgNewListToTifTilDetailAction.do?tilcod=2002222331934</v>
      </c>
    </row>
    <row r="125" spans="1:9" x14ac:dyDescent="0.4">
      <c r="A125" t="str">
        <f>"アッケシソウ通信"</f>
        <v>アッケシソウ通信</v>
      </c>
      <c r="B125" s="1" t="str">
        <f t="shared" si="7"/>
        <v>アッケシソウ通信</v>
      </c>
      <c r="C125" t="str">
        <f>"アッケシソウ ツウシン"</f>
        <v>アッケシソウ ツウシン</v>
      </c>
      <c r="D125" t="str">
        <f>"アッケシソウを守る会"</f>
        <v>アッケシソウを守る会</v>
      </c>
      <c r="E125" t="str">
        <f>"アッケシソウ オ マモル カイ"</f>
        <v>アッケシソウ オ マモル カイ</v>
      </c>
      <c r="F125" t="str">
        <f>"浅口"</f>
        <v>浅口</v>
      </c>
      <c r="G125" t="str">
        <f>"年刊"</f>
        <v>年刊</v>
      </c>
      <c r="H125" t="str">
        <f>"2002222337470"</f>
        <v>2002222337470</v>
      </c>
      <c r="I125" t="str">
        <f>HYPERLINK("#", "https://opac.libnet.pref.okayama.jp/licsxp-opac/WOpacMsgNewListToTifTilDetailAction.do?tilcod=2002222337470")</f>
        <v>https://opac.libnet.pref.okayama.jp/licsxp-opac/WOpacMsgNewListToTifTilDetailAction.do?tilcod=2002222337470</v>
      </c>
    </row>
    <row r="126" spans="1:9" x14ac:dyDescent="0.4">
      <c r="A126" t="str">
        <f>"ＡＴＴＡ！岡山版（アッタ岡山版）"</f>
        <v>ＡＴＴＡ！岡山版（アッタ岡山版）</v>
      </c>
      <c r="B126" s="1" t="str">
        <f t="shared" si="7"/>
        <v>ＡＴＴＡ！岡山版（アッタ岡山版）</v>
      </c>
      <c r="C126" t="str">
        <f>"アッタ　オカヤマバン"</f>
        <v>アッタ　オカヤマバン</v>
      </c>
      <c r="D126" t="str">
        <f>"ＫＧ情報"</f>
        <v>ＫＧ情報</v>
      </c>
      <c r="E126" t="str">
        <f>"ケージージョウホウ"</f>
        <v>ケージージョウホウ</v>
      </c>
      <c r="F126" t="str">
        <f>"岡山"</f>
        <v>岡山</v>
      </c>
      <c r="G126" t="str">
        <f>"週刊"</f>
        <v>週刊</v>
      </c>
      <c r="H126" t="str">
        <f>"2002222291871"</f>
        <v>2002222291871</v>
      </c>
      <c r="I126" t="str">
        <f>HYPERLINK("#", "https://opac.libnet.pref.okayama.jp/licsxp-opac/WOpacMsgNewListToTifTilDetailAction.do?tilcod=2002222291871")</f>
        <v>https://opac.libnet.pref.okayama.jp/licsxp-opac/WOpacMsgNewListToTifTilDetailAction.do?tilcod=2002222291871</v>
      </c>
    </row>
    <row r="127" spans="1:9" x14ac:dyDescent="0.4">
      <c r="A127" t="str">
        <f>"ＡＴＴＡ（アッタ）広島・岡山・兵庫版"</f>
        <v>ＡＴＴＡ（アッタ）広島・岡山・兵庫版</v>
      </c>
      <c r="B127" s="1" t="str">
        <f t="shared" si="7"/>
        <v>ＡＴＴＡ（アッタ）広島・岡山・兵庫版</v>
      </c>
      <c r="C127" t="str">
        <f>"アッタ＊ヒロシマ　オカヤマ　ヒョウゴバン"</f>
        <v>アッタ＊ヒロシマ　オカヤマ　ヒョウゴバン</v>
      </c>
      <c r="D127" t="str">
        <f>"ＫＧ情報"</f>
        <v>ＫＧ情報</v>
      </c>
      <c r="E127" t="str">
        <f>"ケージージョウホウ"</f>
        <v>ケージージョウホウ</v>
      </c>
      <c r="F127" t="str">
        <f>""</f>
        <v/>
      </c>
      <c r="G127" t="str">
        <f>"季刊"</f>
        <v>季刊</v>
      </c>
      <c r="H127" t="str">
        <f>"2002222302116"</f>
        <v>2002222302116</v>
      </c>
      <c r="I127" t="str">
        <f>HYPERLINK("#", "https://opac.libnet.pref.okayama.jp/licsxp-opac/WOpacMsgNewListToTifTilDetailAction.do?tilcod=2002222302116")</f>
        <v>https://opac.libnet.pref.okayama.jp/licsxp-opac/WOpacMsgNewListToTifTilDetailAction.do?tilcod=2002222302116</v>
      </c>
    </row>
    <row r="128" spans="1:9" x14ac:dyDescent="0.4">
      <c r="A128" t="str">
        <f>"Ａｔ　ｔｈｅ　Ｗｏｒｌｄ（アット　ザ　ワールド）"</f>
        <v>Ａｔ　ｔｈｅ　Ｗｏｒｌｄ（アット　ザ　ワールド）</v>
      </c>
      <c r="B128" s="1" t="str">
        <f t="shared" si="7"/>
        <v>Ａｔ　ｔｈｅ　Ｗｏｒｌｄ（アット　ザ　ワールド）</v>
      </c>
      <c r="C128" t="str">
        <f>"アット　ザ　ワールド"</f>
        <v>アット　ザ　ワールド</v>
      </c>
      <c r="D128" t="str">
        <f>"吉備国際大学大学院文化財保存修復学研究科"</f>
        <v>吉備国際大学大学院文化財保存修復学研究科</v>
      </c>
      <c r="E128" t="str">
        <f>"キビコクサイダイガクイガクインブンカザイホゾンシュウフクガクケンキュウカ"</f>
        <v>キビコクサイダイガクイガクインブンカザイホゾンシュウフクガクケンキュウカ</v>
      </c>
      <c r="F128" t="str">
        <f>"高梁"</f>
        <v>高梁</v>
      </c>
      <c r="G128" t="str">
        <f>"年刊"</f>
        <v>年刊</v>
      </c>
      <c r="H128" t="str">
        <f>"2002222302383"</f>
        <v>2002222302383</v>
      </c>
      <c r="I128" t="str">
        <f>HYPERLINK("#", "https://opac.libnet.pref.okayama.jp/licsxp-opac/WOpacMsgNewListToTifTilDetailAction.do?tilcod=2002222302383")</f>
        <v>https://opac.libnet.pref.okayama.jp/licsxp-opac/WOpacMsgNewListToTifTilDetailAction.do?tilcod=2002222302383</v>
      </c>
    </row>
    <row r="129" spans="1:9" x14ac:dyDescent="0.4">
      <c r="A129" t="str">
        <f>"@アットタウン Free Paper"</f>
        <v>@アットタウン Free Paper</v>
      </c>
      <c r="B129" s="1" t="str">
        <f t="shared" si="7"/>
        <v>@アットタウン Free Paper</v>
      </c>
      <c r="C129" t="str">
        <f>"アット タウン フリー ペーパー"</f>
        <v>アット タウン フリー ペーパー</v>
      </c>
      <c r="D129" t="str">
        <f>"AFWアットタウン"</f>
        <v>AFWアットタウン</v>
      </c>
      <c r="E129" t="str">
        <f>"エーエフダブリューアットタウン"</f>
        <v>エーエフダブリューアットタウン</v>
      </c>
      <c r="F129" t="str">
        <f>"津山"</f>
        <v>津山</v>
      </c>
      <c r="G129" t="str">
        <f>"月刊"</f>
        <v>月刊</v>
      </c>
      <c r="H129" t="str">
        <f>"2002222317746"</f>
        <v>2002222317746</v>
      </c>
      <c r="I129" t="str">
        <f>HYPERLINK("#", "https://opac.libnet.pref.okayama.jp/licsxp-opac/WOpacMsgNewListToTifTilDetailAction.do?tilcod=2002222317746")</f>
        <v>https://opac.libnet.pref.okayama.jp/licsxp-opac/WOpacMsgNewListToTifTilDetailAction.do?tilcod=2002222317746</v>
      </c>
    </row>
    <row r="130" spans="1:9" x14ac:dyDescent="0.4">
      <c r="A130" t="str">
        <f>"あてつげんきっ子クラブ；子ども体験情報誌"</f>
        <v>あてつげんきっ子クラブ；子ども体験情報誌</v>
      </c>
      <c r="B130" s="1" t="str">
        <f t="shared" si="7"/>
        <v>あてつげんきっ子クラブ；子ども体験情報誌</v>
      </c>
      <c r="C130" t="str">
        <f>"アテツ　ゲンキッコ　クラブ　コドモ　タイケン　ジョウホウシ"</f>
        <v>アテツ　ゲンキッコ　クラブ　コドモ　タイケン　ジョウホウシ</v>
      </c>
      <c r="D130" t="str">
        <f>"あてつ子どもセンター"</f>
        <v>あてつ子どもセンター</v>
      </c>
      <c r="E130" t="str">
        <f>"アテツコドモセンター"</f>
        <v>アテツコドモセンター</v>
      </c>
      <c r="F130" t="str">
        <f>"哲西町（阿哲郡）"</f>
        <v>哲西町（阿哲郡）</v>
      </c>
      <c r="G130" t="str">
        <f>"頻度不明"</f>
        <v>頻度不明</v>
      </c>
      <c r="H130" t="str">
        <f>"2002222285871"</f>
        <v>2002222285871</v>
      </c>
      <c r="I130" t="str">
        <f>HYPERLINK("#", "https://opac.libnet.pref.okayama.jp/licsxp-opac/WOpacMsgNewListToTifTilDetailAction.do?tilcod=2002222285871")</f>
        <v>https://opac.libnet.pref.okayama.jp/licsxp-opac/WOpacMsgNewListToTifTilDetailAction.do?tilcod=2002222285871</v>
      </c>
    </row>
    <row r="131" spans="1:9" x14ac:dyDescent="0.4">
      <c r="A131" t="str">
        <f>"阿哲郡教育会会誌"</f>
        <v>阿哲郡教育会会誌</v>
      </c>
      <c r="B131" s="1" t="str">
        <f t="shared" si="7"/>
        <v>阿哲郡教育会会誌</v>
      </c>
      <c r="C131" t="str">
        <f>"アテツグン　キョウイクカイ　カイシ"</f>
        <v>アテツグン　キョウイクカイ　カイシ</v>
      </c>
      <c r="D131" t="str">
        <f>"阿哲郡教育会"</f>
        <v>阿哲郡教育会</v>
      </c>
      <c r="E131" t="str">
        <f>"アテツグンキョウイクカイ"</f>
        <v>アテツグンキョウイクカイ</v>
      </c>
      <c r="F131" t="str">
        <f>""</f>
        <v/>
      </c>
      <c r="G131" t="str">
        <f>"年刊"</f>
        <v>年刊</v>
      </c>
      <c r="H131" t="str">
        <f>"2002222287211"</f>
        <v>2002222287211</v>
      </c>
      <c r="I131" t="str">
        <f>HYPERLINK("#", "https://opac.libnet.pref.okayama.jp/licsxp-opac/WOpacMsgNewListToTifTilDetailAction.do?tilcod=2002222287211")</f>
        <v>https://opac.libnet.pref.okayama.jp/licsxp-opac/WOpacMsgNewListToTifTilDetailAction.do?tilcod=2002222287211</v>
      </c>
    </row>
    <row r="132" spans="1:9" x14ac:dyDescent="0.4">
      <c r="A132" t="str">
        <f>"あど. ねっと"</f>
        <v>あど. ねっと</v>
      </c>
      <c r="B132" s="1" t="str">
        <f t="shared" ref="B132:B195" si="9">HYPERLINK("#", A132)</f>
        <v>あど. ねっと</v>
      </c>
      <c r="C132" t="str">
        <f>"アド ネット"</f>
        <v>アド ネット</v>
      </c>
      <c r="D132" t="str">
        <f>"岡山市子どもセンター"</f>
        <v>岡山市子どもセンター</v>
      </c>
      <c r="E132" t="str">
        <f>"オカヤマシ コドモ センター"</f>
        <v>オカヤマシ コドモ センター</v>
      </c>
      <c r="F132" t="str">
        <f>"岡山"</f>
        <v>岡山</v>
      </c>
      <c r="G132" t="str">
        <f>"不定期刊"</f>
        <v>不定期刊</v>
      </c>
      <c r="H132" t="str">
        <f>"2002222310106"</f>
        <v>2002222310106</v>
      </c>
      <c r="I132" t="str">
        <f>HYPERLINK("#", "https://opac.libnet.pref.okayama.jp/licsxp-opac/WOpacMsgNewListToTifTilDetailAction.do?tilcod=2002222310106")</f>
        <v>https://opac.libnet.pref.okayama.jp/licsxp-opac/WOpacMsgNewListToTifTilDetailAction.do?tilcod=2002222310106</v>
      </c>
    </row>
    <row r="133" spans="1:9" x14ac:dyDescent="0.4">
      <c r="A133" t="str">
        <f>"アドバイザー岡山"</f>
        <v>アドバイザー岡山</v>
      </c>
      <c r="B133" s="1" t="str">
        <f t="shared" si="9"/>
        <v>アドバイザー岡山</v>
      </c>
      <c r="C133" t="str">
        <f>"アドバイザー　オカヤマ"</f>
        <v>アドバイザー　オカヤマ</v>
      </c>
      <c r="D133" t="str">
        <f>"地方自治問題所"</f>
        <v>地方自治問題所</v>
      </c>
      <c r="E133" t="str">
        <f>"チホウジチモンダイケンキュウジョ"</f>
        <v>チホウジチモンダイケンキュウジョ</v>
      </c>
      <c r="F133" t="str">
        <f>"岡山"</f>
        <v>岡山</v>
      </c>
      <c r="G133" t="str">
        <f>"旬刊"</f>
        <v>旬刊</v>
      </c>
      <c r="H133" t="str">
        <f>"2002222300775"</f>
        <v>2002222300775</v>
      </c>
      <c r="I133" t="str">
        <f>HYPERLINK("#", "https://opac.libnet.pref.okayama.jp/licsxp-opac/WOpacMsgNewListToTifTilDetailAction.do?tilcod=2002222300775")</f>
        <v>https://opac.libnet.pref.okayama.jp/licsxp-opac/WOpacMsgNewListToTifTilDetailAction.do?tilcod=2002222300775</v>
      </c>
    </row>
    <row r="134" spans="1:9" x14ac:dyDescent="0.4">
      <c r="A134" t="str">
        <f>"ANNUAL REPORT OF THE OKAYAMA FOUNDATION FOR SCIENCE AND TECHNOLOGY；[岡山工学振興会] 年報"</f>
        <v>ANNUAL REPORT OF THE OKAYAMA FOUNDATION FOR SCIENCE AND TECHNOLOGY；[岡山工学振興会] 年報</v>
      </c>
      <c r="B134" s="1" t="str">
        <f t="shared" si="9"/>
        <v>ANNUAL REPORT OF THE OKAYAMA FOUNDATION FOR SCIENCE AND TECHNOLOGY；[岡山工学振興会] 年報</v>
      </c>
      <c r="C134" t="str">
        <f>"アニュアル レポート オブ ザ オカヤマ ファウンデーション フォー サイエンス アンド テクノロジー＊オカヤマ コウガク シンコウカイ ネンポウ"</f>
        <v>アニュアル レポート オブ ザ オカヤマ ファウンデーション フォー サイエンス アンド テクノロジー＊オカヤマ コウガク シンコウカイ ネンポウ</v>
      </c>
      <c r="D134" t="str">
        <f>"岡山工学振興会"</f>
        <v>岡山工学振興会</v>
      </c>
      <c r="E134" t="str">
        <f>"オカヤマ コウガク シンコウカイ"</f>
        <v>オカヤマ コウガク シンコウカイ</v>
      </c>
      <c r="F134" t="str">
        <f>"岡山"</f>
        <v>岡山</v>
      </c>
      <c r="G134" t="str">
        <f>"年刊"</f>
        <v>年刊</v>
      </c>
      <c r="H134" t="str">
        <f>"2002222337090"</f>
        <v>2002222337090</v>
      </c>
      <c r="I134" t="str">
        <f>HYPERLINK("#", "https://opac.libnet.pref.okayama.jp/licsxp-opac/WOpacMsgNewListToTifTilDetailAction.do?tilcod=2002222337090")</f>
        <v>https://opac.libnet.pref.okayama.jp/licsxp-opac/WOpacMsgNewListToTifTilDetailAction.do?tilcod=2002222337090</v>
      </c>
    </row>
    <row r="135" spans="1:9" x14ac:dyDescent="0.4">
      <c r="A135" t="str">
        <f>"ａｐｔ（アプト）"</f>
        <v>ａｐｔ（アプト）</v>
      </c>
      <c r="B135" s="1" t="str">
        <f t="shared" si="9"/>
        <v>ａｐｔ（アプト）</v>
      </c>
      <c r="C135" t="str">
        <f>"アプト"</f>
        <v>アプト</v>
      </c>
      <c r="D135" t="str">
        <f>"ｔｅｔｅ-ｌａｂ．"</f>
        <v>ｔｅｔｅ-ｌａｂ．</v>
      </c>
      <c r="E135" t="str">
        <f>"テテラボ"</f>
        <v>テテラボ</v>
      </c>
      <c r="F135" t="str">
        <f>""</f>
        <v/>
      </c>
      <c r="G135" t="str">
        <f>"隔月刊"</f>
        <v>隔月刊</v>
      </c>
      <c r="H135" t="str">
        <f>"2002222302480"</f>
        <v>2002222302480</v>
      </c>
      <c r="I135" t="str">
        <f>HYPERLINK("#", "https://opac.libnet.pref.okayama.jp/licsxp-opac/WOpacMsgNewListToTifTilDetailAction.do?tilcod=2002222302480")</f>
        <v>https://opac.libnet.pref.okayama.jp/licsxp-opac/WOpacMsgNewListToTifTilDetailAction.do?tilcod=2002222302480</v>
      </c>
    </row>
    <row r="136" spans="1:9" x14ac:dyDescent="0.4">
      <c r="A136" t="str">
        <f>"あべすまこ後援会だより"</f>
        <v>あべすまこ後援会だより</v>
      </c>
      <c r="B136" s="1" t="str">
        <f t="shared" si="9"/>
        <v>あべすまこ後援会だより</v>
      </c>
      <c r="C136" t="str">
        <f>"アベ　スマコ　コウエンカイ　ダヨリ"</f>
        <v>アベ　スマコ　コウエンカイ　ダヨリ</v>
      </c>
      <c r="D136" t="str">
        <f>"あべすまこ後援会事務所"</f>
        <v>あべすまこ後援会事務所</v>
      </c>
      <c r="E136" t="str">
        <f>"アベスマココウエンカイジムショ"</f>
        <v>アベスマココウエンカイジムショ</v>
      </c>
      <c r="F136" t="str">
        <f>"岡山"</f>
        <v>岡山</v>
      </c>
      <c r="G136" t="str">
        <f>"頻度不明"</f>
        <v>頻度不明</v>
      </c>
      <c r="H136" t="str">
        <f>"2002222281451"</f>
        <v>2002222281451</v>
      </c>
      <c r="I136" t="str">
        <f>HYPERLINK("#", "https://opac.libnet.pref.okayama.jp/licsxp-opac/WOpacMsgNewListToTifTilDetailAction.do?tilcod=2002222281451")</f>
        <v>https://opac.libnet.pref.okayama.jp/licsxp-opac/WOpacMsgNewListToTifTilDetailAction.do?tilcod=2002222281451</v>
      </c>
    </row>
    <row r="137" spans="1:9" x14ac:dyDescent="0.4">
      <c r="A137" t="str">
        <f>"あほうどり"</f>
        <v>あほうどり</v>
      </c>
      <c r="B137" s="1" t="str">
        <f t="shared" si="9"/>
        <v>あほうどり</v>
      </c>
      <c r="C137" t="str">
        <f>"アホウドリ"</f>
        <v>アホウドリ</v>
      </c>
      <c r="D137" t="str">
        <f>"日生町青年協議会"</f>
        <v>日生町青年協議会</v>
      </c>
      <c r="E137" t="str">
        <f>"ヒナセチョウ セイネン キョウギカイ"</f>
        <v>ヒナセチョウ セイネン キョウギカイ</v>
      </c>
      <c r="F137" t="str">
        <f>"[日生町(和気郡)]"</f>
        <v>[日生町(和気郡)]</v>
      </c>
      <c r="G137" t="str">
        <f>"頻度不明"</f>
        <v>頻度不明</v>
      </c>
      <c r="H137" t="str">
        <f>"2002222334666"</f>
        <v>2002222334666</v>
      </c>
      <c r="I137" t="str">
        <f>HYPERLINK("#", "https://opac.libnet.pref.okayama.jp/licsxp-opac/WOpacMsgNewListToTifTilDetailAction.do?tilcod=2002222334666")</f>
        <v>https://opac.libnet.pref.okayama.jp/licsxp-opac/WOpacMsgNewListToTifTilDetailAction.do?tilcod=2002222334666</v>
      </c>
    </row>
    <row r="138" spans="1:9" x14ac:dyDescent="0.4">
      <c r="A138" t="str">
        <f>"天城"</f>
        <v>天城</v>
      </c>
      <c r="B138" s="1" t="str">
        <f t="shared" si="9"/>
        <v>天城</v>
      </c>
      <c r="C138" t="str">
        <f>"アマギ"</f>
        <v>アマギ</v>
      </c>
      <c r="D138" t="str">
        <f>"関西中学校丙申会"</f>
        <v>関西中学校丙申会</v>
      </c>
      <c r="E138" t="str">
        <f>"カンゼイ チュウガッコウ ヘイシンカイ"</f>
        <v>カンゼイ チュウガッコウ ヘイシンカイ</v>
      </c>
      <c r="F138" t="str">
        <f>""</f>
        <v/>
      </c>
      <c r="G138" t="str">
        <f>"頻度不明"</f>
        <v>頻度不明</v>
      </c>
      <c r="H138" t="str">
        <f>"2002222287221"</f>
        <v>2002222287221</v>
      </c>
      <c r="I138" t="str">
        <f>HYPERLINK("#", "https://opac.libnet.pref.okayama.jp/licsxp-opac/WOpacMsgNewListToTifTilDetailAction.do?tilcod=2002222287221")</f>
        <v>https://opac.libnet.pref.okayama.jp/licsxp-opac/WOpacMsgNewListToTifTilDetailAction.do?tilcod=2002222287221</v>
      </c>
    </row>
    <row r="139" spans="1:9" x14ac:dyDescent="0.4">
      <c r="A139" t="str">
        <f>"Amigo；通訳会会報"</f>
        <v>Amigo；通訳会会報</v>
      </c>
      <c r="B139" s="1" t="str">
        <f t="shared" si="9"/>
        <v>Amigo；通訳会会報</v>
      </c>
      <c r="C139" t="str">
        <f>"アミーゴ＊ツウヤクカイカイホウ"</f>
        <v>アミーゴ＊ツウヤクカイカイホウ</v>
      </c>
      <c r="D139" t="str">
        <f>"倉敷善意通訳会"</f>
        <v>倉敷善意通訳会</v>
      </c>
      <c r="E139" t="str">
        <f>"クラシキ ゼンイ ツウヤクカイ"</f>
        <v>クラシキ ゼンイ ツウヤクカイ</v>
      </c>
      <c r="F139" t="str">
        <f>"倉敷"</f>
        <v>倉敷</v>
      </c>
      <c r="G139" t="str">
        <f>"隔月刊"</f>
        <v>隔月刊</v>
      </c>
      <c r="H139" t="str">
        <f>"2002222336906"</f>
        <v>2002222336906</v>
      </c>
      <c r="I139" t="str">
        <f>HYPERLINK("#", "https://opac.libnet.pref.okayama.jp/licsxp-opac/WOpacMsgNewListToTifTilDetailAction.do?tilcod=2002222336906")</f>
        <v>https://opac.libnet.pref.okayama.jp/licsxp-opac/WOpacMsgNewListToTifTilDetailAction.do?tilcod=2002222336906</v>
      </c>
    </row>
    <row r="140" spans="1:9" x14ac:dyDescent="0.4">
      <c r="A140" t="str">
        <f>"ＡＭＤＡ　ジャーナル　ダイジェスト（アムダジャーナルダイジェスト）"</f>
        <v>ＡＭＤＡ　ジャーナル　ダイジェスト（アムダジャーナルダイジェスト）</v>
      </c>
      <c r="B140" s="1" t="str">
        <f t="shared" si="9"/>
        <v>ＡＭＤＡ　ジャーナル　ダイジェスト（アムダジャーナルダイジェスト）</v>
      </c>
      <c r="C140" t="str">
        <f>"アムダ　ジャーナル　ダイジェスト"</f>
        <v>アムダ　ジャーナル　ダイジェスト</v>
      </c>
      <c r="D140" t="str">
        <f>"ＡＭＤＡ"</f>
        <v>ＡＭＤＡ</v>
      </c>
      <c r="E140" t="str">
        <f>"アムダ"</f>
        <v>アムダ</v>
      </c>
      <c r="F140" t="str">
        <f>"岡山"</f>
        <v>岡山</v>
      </c>
      <c r="G140" t="str">
        <f>"年２回刊"</f>
        <v>年２回刊</v>
      </c>
      <c r="H140" t="str">
        <f>"2002222301690"</f>
        <v>2002222301690</v>
      </c>
      <c r="I140" t="str">
        <f>HYPERLINK("#", "https://opac.libnet.pref.okayama.jp/licsxp-opac/WOpacMsgNewListToTifTilDetailAction.do?tilcod=2002222301690")</f>
        <v>https://opac.libnet.pref.okayama.jp/licsxp-opac/WOpacMsgNewListToTifTilDetailAction.do?tilcod=2002222301690</v>
      </c>
    </row>
    <row r="141" spans="1:9" x14ac:dyDescent="0.4">
      <c r="A141" t="str">
        <f>"ＡＭＤＡ　ジャーナル（アムダジャーナル）；多様性の共存"</f>
        <v>ＡＭＤＡ　ジャーナル（アムダジャーナル）；多様性の共存</v>
      </c>
      <c r="B141" s="1" t="str">
        <f t="shared" si="9"/>
        <v>ＡＭＤＡ　ジャーナル（アムダジャーナル）；多様性の共存</v>
      </c>
      <c r="C141" t="str">
        <f>"アムダ　ジャーナル＊タヨウセイ ノ キョウゾン"</f>
        <v>アムダ　ジャーナル＊タヨウセイ ノ キョウゾン</v>
      </c>
      <c r="D141" t="str">
        <f>"ＡＭＤＡ"</f>
        <v>ＡＭＤＡ</v>
      </c>
      <c r="E141" t="str">
        <f>"アムダ"</f>
        <v>アムダ</v>
      </c>
      <c r="F141" t="str">
        <f>"岡山"</f>
        <v>岡山</v>
      </c>
      <c r="G141" t="str">
        <f>"季刊"</f>
        <v>季刊</v>
      </c>
      <c r="H141" t="str">
        <f>"2002222282011"</f>
        <v>2002222282011</v>
      </c>
      <c r="I141" t="str">
        <f>HYPERLINK("#", "https://opac.libnet.pref.okayama.jp/licsxp-opac/WOpacMsgNewListToTifTilDetailAction.do?tilcod=2002222282011")</f>
        <v>https://opac.libnet.pref.okayama.jp/licsxp-opac/WOpacMsgNewListToTifTilDetailAction.do?tilcod=2002222282011</v>
      </c>
    </row>
    <row r="142" spans="1:9" x14ac:dyDescent="0.4">
      <c r="A142" t="str">
        <f>"天地（あめつち）；金光教報"</f>
        <v>天地（あめつち）；金光教報</v>
      </c>
      <c r="B142" s="1" t="str">
        <f t="shared" si="9"/>
        <v>天地（あめつち）；金光教報</v>
      </c>
      <c r="C142" t="str">
        <f>"アメツチ＊コンコウキョウホウ"</f>
        <v>アメツチ＊コンコウキョウホウ</v>
      </c>
      <c r="D142" t="str">
        <f>"金光教本部教庁"</f>
        <v>金光教本部教庁</v>
      </c>
      <c r="E142" t="str">
        <f>"コンコウキョウ ホンブ キョウチョウ"</f>
        <v>コンコウキョウ ホンブ キョウチョウ</v>
      </c>
      <c r="F142" t="str">
        <f>"浅口"</f>
        <v>浅口</v>
      </c>
      <c r="G142" t="str">
        <f>"月刊"</f>
        <v>月刊</v>
      </c>
      <c r="H142" t="str">
        <f>"2002222281871"</f>
        <v>2002222281871</v>
      </c>
      <c r="I142" t="str">
        <f>HYPERLINK("#", "https://opac.libnet.pref.okayama.jp/licsxp-opac/WOpacMsgNewListToTifTilDetailAction.do?tilcod=2002222281871")</f>
        <v>https://opac.libnet.pref.okayama.jp/licsxp-opac/WOpacMsgNewListToTifTilDetailAction.do?tilcod=2002222281871</v>
      </c>
    </row>
    <row r="143" spans="1:9" x14ac:dyDescent="0.4">
      <c r="A143" t="str">
        <f>"天地AMETSUCHI；金光教報別冊"</f>
        <v>天地AMETSUCHI；金光教報別冊</v>
      </c>
      <c r="B143" s="1" t="str">
        <f t="shared" si="9"/>
        <v>天地AMETSUCHI；金光教報別冊</v>
      </c>
      <c r="C143" t="str">
        <f>"アメツチ＊コンコウキョウホウベッサツ"</f>
        <v>アメツチ＊コンコウキョウホウベッサツ</v>
      </c>
      <c r="D143" t="str">
        <f>"金光教本部教庁"</f>
        <v>金光教本部教庁</v>
      </c>
      <c r="E143" t="str">
        <f>"コンコウキョウ ホンブ キョウチョウ"</f>
        <v>コンコウキョウ ホンブ キョウチョウ</v>
      </c>
      <c r="F143" t="str">
        <f>"浅口"</f>
        <v>浅口</v>
      </c>
      <c r="G143" t="str">
        <f>"季刊"</f>
        <v>季刊</v>
      </c>
      <c r="H143" t="str">
        <f>"2002222337870"</f>
        <v>2002222337870</v>
      </c>
      <c r="I143" t="str">
        <f>HYPERLINK("#", "https://opac.libnet.pref.okayama.jp/licsxp-opac/WOpacMsgNewListToTifTilDetailAction.do?tilcod=2002222337870")</f>
        <v>https://opac.libnet.pref.okayama.jp/licsxp-opac/WOpacMsgNewListToTifTilDetailAction.do?tilcod=2002222337870</v>
      </c>
    </row>
    <row r="144" spans="1:9" x14ac:dyDescent="0.4">
      <c r="A144" t="str">
        <f>"あめりか楓"</f>
        <v>あめりか楓</v>
      </c>
      <c r="B144" s="1" t="str">
        <f t="shared" si="9"/>
        <v>あめりか楓</v>
      </c>
      <c r="C144" t="str">
        <f>"アメリカ　カエデ"</f>
        <v>アメリカ　カエデ</v>
      </c>
      <c r="D144" t="str">
        <f>"岡山大学短歌愛好会"</f>
        <v>岡山大学短歌愛好会</v>
      </c>
      <c r="E144" t="str">
        <f>"オカヤマダイガクタンカアイコウカイ"</f>
        <v>オカヤマダイガクタンカアイコウカイ</v>
      </c>
      <c r="F144" t="str">
        <f>"岡山"</f>
        <v>岡山</v>
      </c>
      <c r="G144" t="str">
        <f>"年刊"</f>
        <v>年刊</v>
      </c>
      <c r="H144" t="str">
        <f>"2002222294651"</f>
        <v>2002222294651</v>
      </c>
      <c r="I144" t="str">
        <f>HYPERLINK("#", "https://opac.libnet.pref.okayama.jp/licsxp-opac/WOpacMsgNewListToTifTilDetailAction.do?tilcod=2002222294651")</f>
        <v>https://opac.libnet.pref.okayama.jp/licsxp-opac/WOpacMsgNewListToTifTilDetailAction.do?tilcod=2002222294651</v>
      </c>
    </row>
    <row r="145" spans="1:9" x14ac:dyDescent="0.4">
      <c r="A145" t="str">
        <f>"あやくも"</f>
        <v>あやくも</v>
      </c>
      <c r="B145" s="1" t="str">
        <f t="shared" si="9"/>
        <v>あやくも</v>
      </c>
      <c r="C145" t="str">
        <f>"アヤクモ"</f>
        <v>アヤクモ</v>
      </c>
      <c r="D145" t="str">
        <f>"岡山師範学校女子部学芸部"</f>
        <v>岡山師範学校女子部学芸部</v>
      </c>
      <c r="E145" t="str">
        <f>"オカヤマシハンガッコウジョシブガクゲイブ"</f>
        <v>オカヤマシハンガッコウジョシブガクゲイブ</v>
      </c>
      <c r="F145" t="str">
        <f>"福田村（児島郡）"</f>
        <v>福田村（児島郡）</v>
      </c>
      <c r="G145" t="str">
        <f>"頻度不明"</f>
        <v>頻度不明</v>
      </c>
      <c r="H145" t="str">
        <f>"2002222300788"</f>
        <v>2002222300788</v>
      </c>
      <c r="I145" t="str">
        <f>HYPERLINK("#", "https://opac.libnet.pref.okayama.jp/licsxp-opac/WOpacMsgNewListToTifTilDetailAction.do?tilcod=2002222300788")</f>
        <v>https://opac.libnet.pref.okayama.jp/licsxp-opac/WOpacMsgNewListToTifTilDetailAction.do?tilcod=2002222300788</v>
      </c>
    </row>
    <row r="146" spans="1:9" x14ac:dyDescent="0.4">
      <c r="A146" t="str">
        <f>"あゆみ"</f>
        <v>あゆみ</v>
      </c>
      <c r="B146" s="1" t="str">
        <f t="shared" si="9"/>
        <v>あゆみ</v>
      </c>
      <c r="C146" t="str">
        <f>"アユミ"</f>
        <v>アユミ</v>
      </c>
      <c r="D146" t="str">
        <f>"玉野市立玉野商工高等学校"</f>
        <v>玉野市立玉野商工高等学校</v>
      </c>
      <c r="E146" t="str">
        <f>"タマノ シリツ タマノ ショウコウ コウトウ ガッコウ"</f>
        <v>タマノ シリツ タマノ ショウコウ コウトウ ガッコウ</v>
      </c>
      <c r="F146" t="str">
        <f>"玉野"</f>
        <v>玉野</v>
      </c>
      <c r="G146" t="str">
        <f>"年刊"</f>
        <v>年刊</v>
      </c>
      <c r="H146" t="str">
        <f>"2002222342690"</f>
        <v>2002222342690</v>
      </c>
      <c r="I146" t="str">
        <f>HYPERLINK("#", "https://opac.libnet.pref.okayama.jp/licsxp-opac/WOpacMsgNewListToTifTilDetailAction.do?tilcod=2002222342690")</f>
        <v>https://opac.libnet.pref.okayama.jp/licsxp-opac/WOpacMsgNewListToTifTilDetailAction.do?tilcod=2002222342690</v>
      </c>
    </row>
    <row r="147" spans="1:9" x14ac:dyDescent="0.4">
      <c r="A147" t="str">
        <f>"あゆみ；看護研究会報"</f>
        <v>あゆみ；看護研究会報</v>
      </c>
      <c r="B147" s="1" t="str">
        <f t="shared" si="9"/>
        <v>あゆみ；看護研究会報</v>
      </c>
      <c r="C147" t="str">
        <f>"アユミ＊カンゴ　ケンキュウ　カイホウ"</f>
        <v>アユミ＊カンゴ　ケンキュウ　カイホウ</v>
      </c>
      <c r="D147" t="str">
        <f>"創和会重井病院"</f>
        <v>創和会重井病院</v>
      </c>
      <c r="E147" t="str">
        <f>"ソウワカイシゲイビョウイン"</f>
        <v>ソウワカイシゲイビョウイン</v>
      </c>
      <c r="F147" t="str">
        <f>"倉敷"</f>
        <v>倉敷</v>
      </c>
      <c r="G147" t="str">
        <f>"年刊"</f>
        <v>年刊</v>
      </c>
      <c r="H147" t="str">
        <f>"2002222301508"</f>
        <v>2002222301508</v>
      </c>
      <c r="I147" t="str">
        <f>HYPERLINK("#", "https://opac.libnet.pref.okayama.jp/licsxp-opac/WOpacMsgNewListToTifTilDetailAction.do?tilcod=2002222301508")</f>
        <v>https://opac.libnet.pref.okayama.jp/licsxp-opac/WOpacMsgNewListToTifTilDetailAction.do?tilcod=2002222301508</v>
      </c>
    </row>
    <row r="148" spans="1:9" x14ac:dyDescent="0.4">
      <c r="A148" t="str">
        <f>"あゆみ；県税だより"</f>
        <v>あゆみ；県税だより</v>
      </c>
      <c r="B148" s="1" t="str">
        <f t="shared" si="9"/>
        <v>あゆみ；県税だより</v>
      </c>
      <c r="C148" t="str">
        <f>"アユミ＊ケンゼイ　ダヨリ"</f>
        <v>アユミ＊ケンゼイ　ダヨリ</v>
      </c>
      <c r="D148" t="str">
        <f>"〔出版者不明〕"</f>
        <v>〔出版者不明〕</v>
      </c>
      <c r="E148" t="str">
        <f>"シュッパンシャフメイ"</f>
        <v>シュッパンシャフメイ</v>
      </c>
      <c r="F148" t="str">
        <f>""</f>
        <v/>
      </c>
      <c r="G148" t="str">
        <f>"月刊"</f>
        <v>月刊</v>
      </c>
      <c r="H148" t="str">
        <f>"2002222287241"</f>
        <v>2002222287241</v>
      </c>
      <c r="I148" t="str">
        <f>HYPERLINK("#", "https://opac.libnet.pref.okayama.jp/licsxp-opac/WOpacMsgNewListToTifTilDetailAction.do?tilcod=2002222287241")</f>
        <v>https://opac.libnet.pref.okayama.jp/licsxp-opac/WOpacMsgNewListToTifTilDetailAction.do?tilcod=2002222287241</v>
      </c>
    </row>
    <row r="149" spans="1:9" x14ac:dyDescent="0.4">
      <c r="A149" t="str">
        <f>"あゆみ；広報誌縮刷版"</f>
        <v>あゆみ；広報誌縮刷版</v>
      </c>
      <c r="B149" s="1" t="str">
        <f t="shared" si="9"/>
        <v>あゆみ；広報誌縮刷版</v>
      </c>
      <c r="C149" t="str">
        <f>"アユミ＊コウホウシ　シュクサツバン"</f>
        <v>アユミ＊コウホウシ　シュクサツバン</v>
      </c>
      <c r="D149" t="str">
        <f>"山手村"</f>
        <v>山手村</v>
      </c>
      <c r="E149" t="str">
        <f>"ヤマテソン"</f>
        <v>ヤマテソン</v>
      </c>
      <c r="F149" t="str">
        <f>"山手村（都窪郡）"</f>
        <v>山手村（都窪郡）</v>
      </c>
      <c r="G149" t="str">
        <f>"不定期刊"</f>
        <v>不定期刊</v>
      </c>
      <c r="H149" t="str">
        <f>"2002222301464"</f>
        <v>2002222301464</v>
      </c>
      <c r="I149" t="str">
        <f>HYPERLINK("#", "https://opac.libnet.pref.okayama.jp/licsxp-opac/WOpacMsgNewListToTifTilDetailAction.do?tilcod=2002222301464")</f>
        <v>https://opac.libnet.pref.okayama.jp/licsxp-opac/WOpacMsgNewListToTifTilDetailAction.do?tilcod=2002222301464</v>
      </c>
    </row>
    <row r="150" spans="1:9" x14ac:dyDescent="0.4">
      <c r="A150" t="str">
        <f>"あらうんど"</f>
        <v>あらうんど</v>
      </c>
      <c r="B150" s="1" t="str">
        <f t="shared" si="9"/>
        <v>あらうんど</v>
      </c>
      <c r="C150" t="str">
        <f>"アラウンド"</f>
        <v>アラウンド</v>
      </c>
      <c r="D150" t="str">
        <f>"津山広域事務組合"</f>
        <v>津山広域事務組合</v>
      </c>
      <c r="E150" t="str">
        <f>"ツヤマ コウイキ ジム クミアイ"</f>
        <v>ツヤマ コウイキ ジム クミアイ</v>
      </c>
      <c r="F150" t="str">
        <f>"津山"</f>
        <v>津山</v>
      </c>
      <c r="G150" t="str">
        <f>"頻度不明"</f>
        <v>頻度不明</v>
      </c>
      <c r="H150" t="str">
        <f>"2002222282501"</f>
        <v>2002222282501</v>
      </c>
      <c r="I150" t="str">
        <f>HYPERLINK("#", "https://opac.libnet.pref.okayama.jp/licsxp-opac/WOpacMsgNewListToTifTilDetailAction.do?tilcod=2002222282501")</f>
        <v>https://opac.libnet.pref.okayama.jp/licsxp-opac/WOpacMsgNewListToTifTilDetailAction.do?tilcod=2002222282501</v>
      </c>
    </row>
    <row r="151" spans="1:9" x14ac:dyDescent="0.4">
      <c r="A151" t="str">
        <f>"阿ら久佐"</f>
        <v>阿ら久佐</v>
      </c>
      <c r="B151" s="1" t="str">
        <f t="shared" si="9"/>
        <v>阿ら久佐</v>
      </c>
      <c r="C151" t="str">
        <f>"アラクサ"</f>
        <v>アラクサ</v>
      </c>
      <c r="D151" t="str">
        <f>"加茂川町教育委員会"</f>
        <v>加茂川町教育委員会</v>
      </c>
      <c r="E151" t="str">
        <f>"カモガワチョウキョウイクイインカイ"</f>
        <v>カモガワチョウキョウイクイインカイ</v>
      </c>
      <c r="F151" t="str">
        <f>"加茂川町（御津郡）"</f>
        <v>加茂川町（御津郡）</v>
      </c>
      <c r="G151" t="str">
        <f>"頻度不明"</f>
        <v>頻度不明</v>
      </c>
      <c r="H151" t="str">
        <f>"2002222289211"</f>
        <v>2002222289211</v>
      </c>
      <c r="I151" t="str">
        <f>HYPERLINK("#", "https://opac.libnet.pref.okayama.jp/licsxp-opac/WOpacMsgNewListToTifTilDetailAction.do?tilcod=2002222289211")</f>
        <v>https://opac.libnet.pref.okayama.jp/licsxp-opac/WOpacMsgNewListToTifTilDetailAction.do?tilcod=2002222289211</v>
      </c>
    </row>
    <row r="152" spans="1:9" x14ac:dyDescent="0.4">
      <c r="A152" t="str">
        <f>"ＡＲＩＳ岡山（ありすおかやま）"</f>
        <v>ＡＲＩＳ岡山（ありすおかやま）</v>
      </c>
      <c r="B152" s="1" t="str">
        <f t="shared" si="9"/>
        <v>ＡＲＩＳ岡山（ありすおかやま）</v>
      </c>
      <c r="C152" t="str">
        <f>"アリス　オカヤマ"</f>
        <v>アリス　オカヤマ</v>
      </c>
      <c r="D152" t="str">
        <f>"日本航空コンサルタンツ"</f>
        <v>日本航空コンサルタンツ</v>
      </c>
      <c r="E152" t="str">
        <f>"ニホンコウクウコンサルタンツ"</f>
        <v>ニホンコウクウコンサルタンツ</v>
      </c>
      <c r="F152" t="str">
        <f>"東京都"</f>
        <v>東京都</v>
      </c>
      <c r="G152" t="str">
        <f>"年３回刊"</f>
        <v>年３回刊</v>
      </c>
      <c r="H152" t="str">
        <f>"2002222282221"</f>
        <v>2002222282221</v>
      </c>
      <c r="I152" t="str">
        <f>HYPERLINK("#", "https://opac.libnet.pref.okayama.jp/licsxp-opac/WOpacMsgNewListToTifTilDetailAction.do?tilcod=2002222282221")</f>
        <v>https://opac.libnet.pref.okayama.jp/licsxp-opac/WOpacMsgNewListToTifTilDetailAction.do?tilcod=2002222282221</v>
      </c>
    </row>
    <row r="153" spans="1:9" x14ac:dyDescent="0.4">
      <c r="A153" t="str">
        <f>"歩く木"</f>
        <v>歩く木</v>
      </c>
      <c r="B153" s="1" t="str">
        <f t="shared" si="9"/>
        <v>歩く木</v>
      </c>
      <c r="C153" t="str">
        <f>"アルク キ"</f>
        <v>アルク キ</v>
      </c>
      <c r="D153" t="str">
        <f>"歩く木編集委員会"</f>
        <v>歩く木編集委員会</v>
      </c>
      <c r="E153" t="str">
        <f>"アルク キ ヘンシュウ イインカイ"</f>
        <v>アルク キ ヘンシュウ イインカイ</v>
      </c>
      <c r="F153" t="str">
        <f>"倉敷"</f>
        <v>倉敷</v>
      </c>
      <c r="G153" t="str">
        <f>"年２回刊"</f>
        <v>年２回刊</v>
      </c>
      <c r="H153" t="str">
        <f>"2002222319788"</f>
        <v>2002222319788</v>
      </c>
      <c r="I153" t="str">
        <f>HYPERLINK("#", "https://opac.libnet.pref.okayama.jp/licsxp-opac/WOpacMsgNewListToTifTilDetailAction.do?tilcod=2002222319788")</f>
        <v>https://opac.libnet.pref.okayama.jp/licsxp-opac/WOpacMsgNewListToTifTilDetailAction.do?tilcod=2002222319788</v>
      </c>
    </row>
    <row r="154" spans="1:9" x14ac:dyDescent="0.4">
      <c r="A154" t="str">
        <f>"歩く通信"</f>
        <v>歩く通信</v>
      </c>
      <c r="B154" s="1" t="str">
        <f t="shared" si="9"/>
        <v>歩く通信</v>
      </c>
      <c r="C154" t="str">
        <f>"アルク　ツウシン"</f>
        <v>アルク　ツウシン</v>
      </c>
      <c r="D154" t="str">
        <f>"歩く通信社"</f>
        <v>歩く通信社</v>
      </c>
      <c r="E154" t="str">
        <f>"アルクツウシンシャ"</f>
        <v>アルクツウシンシャ</v>
      </c>
      <c r="F154" t="str">
        <f>""</f>
        <v/>
      </c>
      <c r="G154" t="str">
        <f>"頻度不明"</f>
        <v>頻度不明</v>
      </c>
      <c r="H154" t="str">
        <f>"2002222287301"</f>
        <v>2002222287301</v>
      </c>
      <c r="I154" t="str">
        <f>HYPERLINK("#", "https://opac.libnet.pref.okayama.jp/licsxp-opac/WOpacMsgNewListToTifTilDetailAction.do?tilcod=2002222287301")</f>
        <v>https://opac.libnet.pref.okayama.jp/licsxp-opac/WOpacMsgNewListToTifTilDetailAction.do?tilcod=2002222287301</v>
      </c>
    </row>
    <row r="155" spans="1:9" x14ac:dyDescent="0.4">
      <c r="A155" t="str">
        <f>"アルスくらしき；Ａｒｓ　Ｋｕｒａｓｈｉｋｉ"</f>
        <v>アルスくらしき；Ａｒｓ　Ｋｕｒａｓｈｉｋｉ</v>
      </c>
      <c r="B155" s="1" t="str">
        <f t="shared" si="9"/>
        <v>アルスくらしき；Ａｒｓ　Ｋｕｒａｓｈｉｋｉ</v>
      </c>
      <c r="C155" t="str">
        <f>"アルス　クラシキ"</f>
        <v>アルス　クラシキ</v>
      </c>
      <c r="D155" t="str">
        <f>"倉敷市文化振興財団"</f>
        <v>倉敷市文化振興財団</v>
      </c>
      <c r="E155" t="str">
        <f>"クラシキシ ブンカ シンコウ ザイダン"</f>
        <v>クラシキシ ブンカ シンコウ ザイダン</v>
      </c>
      <c r="F155" t="str">
        <f>"倉敷"</f>
        <v>倉敷</v>
      </c>
      <c r="G155" t="str">
        <f>"季刊"</f>
        <v>季刊</v>
      </c>
      <c r="H155" t="str">
        <f>"2002222291011"</f>
        <v>2002222291011</v>
      </c>
      <c r="I155" t="str">
        <f>HYPERLINK("#", "https://opac.libnet.pref.okayama.jp/licsxp-opac/WOpacMsgNewListToTifTilDetailAction.do?tilcod=2002222291011")</f>
        <v>https://opac.libnet.pref.okayama.jp/licsxp-opac/WOpacMsgNewListToTifTilDetailAction.do?tilcod=2002222291011</v>
      </c>
    </row>
    <row r="156" spans="1:9" x14ac:dyDescent="0.4">
      <c r="A156" t="str">
        <f>"Ａｒｓ（アルス）；アルスくらしき"</f>
        <v>Ａｒｓ（アルス）；アルスくらしき</v>
      </c>
      <c r="B156" s="1" t="str">
        <f t="shared" si="9"/>
        <v>Ａｒｓ（アルス）；アルスくらしき</v>
      </c>
      <c r="C156" t="str">
        <f>"アルス＊アルス　クラシキ"</f>
        <v>アルス＊アルス　クラシキ</v>
      </c>
      <c r="D156" t="str">
        <f>"倉敷市文化振興財団"</f>
        <v>倉敷市文化振興財団</v>
      </c>
      <c r="E156" t="str">
        <f>"クラシキシ ブンカ シンコウ ザイダン"</f>
        <v>クラシキシ ブンカ シンコウ ザイダン</v>
      </c>
      <c r="F156" t="str">
        <f>"倉敷"</f>
        <v>倉敷</v>
      </c>
      <c r="G156" t="str">
        <f>"隔月刊"</f>
        <v>隔月刊</v>
      </c>
      <c r="H156" t="str">
        <f>"2002222301099"</f>
        <v>2002222301099</v>
      </c>
      <c r="I156" t="str">
        <f>HYPERLINK("#", "https://opac.libnet.pref.okayama.jp/licsxp-opac/WOpacMsgNewListToTifTilDetailAction.do?tilcod=2002222301099")</f>
        <v>https://opac.libnet.pref.okayama.jp/licsxp-opac/WOpacMsgNewListToTifTilDetailAction.do?tilcod=2002222301099</v>
      </c>
    </row>
    <row r="157" spans="1:9" x14ac:dyDescent="0.4">
      <c r="A157" t="str">
        <f>"アルゼ；ＡＬＺＥ"</f>
        <v>アルゼ；ＡＬＺＥ</v>
      </c>
      <c r="B157" s="1" t="str">
        <f t="shared" si="9"/>
        <v>アルゼ；ＡＬＺＥ</v>
      </c>
      <c r="C157" t="str">
        <f>"アルゼ＊アルゼ"</f>
        <v>アルゼ＊アルゼ</v>
      </c>
      <c r="D157" t="str">
        <f>"ＫＧ情報"</f>
        <v>ＫＧ情報</v>
      </c>
      <c r="E157" t="str">
        <f>"ケージージョウホウ"</f>
        <v>ケージージョウホウ</v>
      </c>
      <c r="F157" t="str">
        <f>"岡山"</f>
        <v>岡山</v>
      </c>
      <c r="G157" t="str">
        <f>"週刊"</f>
        <v>週刊</v>
      </c>
      <c r="H157" t="str">
        <f>"2002222287311"</f>
        <v>2002222287311</v>
      </c>
      <c r="I157" t="str">
        <f>HYPERLINK("#", "https://opac.libnet.pref.okayama.jp/licsxp-opac/WOpacMsgNewListToTifTilDetailAction.do?tilcod=2002222287311")</f>
        <v>https://opac.libnet.pref.okayama.jp/licsxp-opac/WOpacMsgNewListToTifTilDetailAction.do?tilcod=2002222287311</v>
      </c>
    </row>
    <row r="158" spans="1:9" x14ac:dyDescent="0.4">
      <c r="A158" t="str">
        <f>"ＡＲＰＡ　岡山・倉敷・福山版（アルパ岡山・倉敷・福山版）"</f>
        <v>ＡＲＰＡ　岡山・倉敷・福山版（アルパ岡山・倉敷・福山版）</v>
      </c>
      <c r="B158" s="1" t="str">
        <f t="shared" si="9"/>
        <v>ＡＲＰＡ　岡山・倉敷・福山版（アルパ岡山・倉敷・福山版）</v>
      </c>
      <c r="C158" t="str">
        <f>"アルパ　オカヤマ クラシキ フクヤマバン"</f>
        <v>アルパ　オカヤマ クラシキ フクヤマバン</v>
      </c>
      <c r="D158" t="str">
        <f>"ＫＧ情報"</f>
        <v>ＫＧ情報</v>
      </c>
      <c r="E158" t="str">
        <f>"ケージージョウホウ"</f>
        <v>ケージージョウホウ</v>
      </c>
      <c r="F158" t="str">
        <f>"岡山"</f>
        <v>岡山</v>
      </c>
      <c r="G158" t="str">
        <f>"週刊"</f>
        <v>週刊</v>
      </c>
      <c r="H158" t="str">
        <f>"2002222334147"</f>
        <v>2002222334147</v>
      </c>
      <c r="I158" t="str">
        <f>HYPERLINK("#", "https://opac.libnet.pref.okayama.jp/licsxp-opac/WOpacMsgNewListToTifTilDetailAction.do?tilcod=2002222334147")</f>
        <v>https://opac.libnet.pref.okayama.jp/licsxp-opac/WOpacMsgNewListToTifTilDetailAction.do?tilcod=2002222334147</v>
      </c>
    </row>
    <row r="159" spans="1:9" x14ac:dyDescent="0.4">
      <c r="A159" t="str">
        <f>"ARPA 岡山・倉敷版（アルパ岡山・倉敷版）"</f>
        <v>ARPA 岡山・倉敷版（アルパ岡山・倉敷版）</v>
      </c>
      <c r="B159" s="1" t="str">
        <f t="shared" si="9"/>
        <v>ARPA 岡山・倉敷版（アルパ岡山・倉敷版）</v>
      </c>
      <c r="C159" t="str">
        <f>"アルパ オカヤマ クラシキバン"</f>
        <v>アルパ オカヤマ クラシキバン</v>
      </c>
      <c r="D159" t="str">
        <f>"KG情報"</f>
        <v>KG情報</v>
      </c>
      <c r="E159" t="str">
        <f>"ケージー ジョウホウ"</f>
        <v>ケージー ジョウホウ</v>
      </c>
      <c r="F159" t="str">
        <f>"岡山"</f>
        <v>岡山</v>
      </c>
      <c r="G159" t="str">
        <f>"週刊"</f>
        <v>週刊</v>
      </c>
      <c r="H159" t="str">
        <f>"2002222335866"</f>
        <v>2002222335866</v>
      </c>
      <c r="I159" t="str">
        <f>HYPERLINK("#", "https://opac.libnet.pref.okayama.jp/licsxp-opac/WOpacMsgNewListToTifTilDetailAction.do?tilcod=2002222335866")</f>
        <v>https://opac.libnet.pref.okayama.jp/licsxp-opac/WOpacMsgNewListToTifTilDetailAction.do?tilcod=2002222335866</v>
      </c>
    </row>
    <row r="160" spans="1:9" x14ac:dyDescent="0.4">
      <c r="A160" t="str">
        <f>"ＡＲＰＡ　岡山・倉敷版（アルパ岡山・倉敷版）"</f>
        <v>ＡＲＰＡ　岡山・倉敷版（アルパ岡山・倉敷版）</v>
      </c>
      <c r="B160" s="1" t="str">
        <f t="shared" si="9"/>
        <v>ＡＲＰＡ　岡山・倉敷版（アルパ岡山・倉敷版）</v>
      </c>
      <c r="C160" t="str">
        <f>"アルパ　オカヤマクラシキバン"</f>
        <v>アルパ　オカヤマクラシキバン</v>
      </c>
      <c r="D160" t="str">
        <f>"ＫＧ情報"</f>
        <v>ＫＧ情報</v>
      </c>
      <c r="E160" t="str">
        <f>"ケージージョウホウ"</f>
        <v>ケージージョウホウ</v>
      </c>
      <c r="F160" t="str">
        <f>"岡山"</f>
        <v>岡山</v>
      </c>
      <c r="G160" t="str">
        <f>"週刊"</f>
        <v>週刊</v>
      </c>
      <c r="H160" t="str">
        <f>"2002222291881"</f>
        <v>2002222291881</v>
      </c>
      <c r="I160" t="str">
        <f>HYPERLINK("#", "https://opac.libnet.pref.okayama.jp/licsxp-opac/WOpacMsgNewListToTifTilDetailAction.do?tilcod=2002222291881")</f>
        <v>https://opac.libnet.pref.okayama.jp/licsxp-opac/WOpacMsgNewListToTifTilDetailAction.do?tilcod=2002222291881</v>
      </c>
    </row>
    <row r="161" spans="1:9" x14ac:dyDescent="0.4">
      <c r="A161" t="str">
        <f>"アルバイト情報"</f>
        <v>アルバイト情報</v>
      </c>
      <c r="B161" s="1" t="str">
        <f t="shared" si="9"/>
        <v>アルバイト情報</v>
      </c>
      <c r="C161" t="str">
        <f>"アルバイト　ジョウホウ"</f>
        <v>アルバイト　ジョウホウ</v>
      </c>
      <c r="D161" t="str">
        <f>"岡山情報センター"</f>
        <v>岡山情報センター</v>
      </c>
      <c r="E161" t="str">
        <f>"オカヤマジョウホウセンター"</f>
        <v>オカヤマジョウホウセンター</v>
      </c>
      <c r="F161" t="str">
        <f>""</f>
        <v/>
      </c>
      <c r="G161" t="str">
        <f>"週２回刊"</f>
        <v>週２回刊</v>
      </c>
      <c r="H161" t="str">
        <f>"2002222287321"</f>
        <v>2002222287321</v>
      </c>
      <c r="I161" t="str">
        <f>HYPERLINK("#", "https://opac.libnet.pref.okayama.jp/licsxp-opac/WOpacMsgNewListToTifTilDetailAction.do?tilcod=2002222287321")</f>
        <v>https://opac.libnet.pref.okayama.jp/licsxp-opac/WOpacMsgNewListToTifTilDetailAction.do?tilcod=2002222287321</v>
      </c>
    </row>
    <row r="162" spans="1:9" x14ac:dyDescent="0.4">
      <c r="A162" t="str">
        <f>"ARE;RSKテレビタイムテーブル RSKラジオタイムテーブル"</f>
        <v>ARE;RSKテレビタイムテーブル RSKラジオタイムテーブル</v>
      </c>
      <c r="B162" s="1" t="str">
        <f t="shared" si="9"/>
        <v>ARE;RSKテレビタイムテーブル RSKラジオタイムテーブル</v>
      </c>
      <c r="C162" t="str">
        <f>"アレ＊アールエスケー テレビ タイム テーブル アールエスケー ラジオ タイム テーブル"</f>
        <v>アレ＊アールエスケー テレビ タイム テーブル アールエスケー ラジオ タイム テーブル</v>
      </c>
      <c r="D162" t="str">
        <f>"[RSK]"</f>
        <v>[RSK]</v>
      </c>
      <c r="E162" t="str">
        <f>"アールエスケー"</f>
        <v>アールエスケー</v>
      </c>
      <c r="F162" t="str">
        <f>"岡山"</f>
        <v>岡山</v>
      </c>
      <c r="G162" t="str">
        <f>"季刊"</f>
        <v>季刊</v>
      </c>
      <c r="H162" t="str">
        <f>"2002222301412"</f>
        <v>2002222301412</v>
      </c>
      <c r="I162" t="str">
        <f>HYPERLINK("#", "https://opac.libnet.pref.okayama.jp/licsxp-opac/WOpacMsgNewListToTifTilDetailAction.do?tilcod=2002222301412")</f>
        <v>https://opac.libnet.pref.okayama.jp/licsxp-opac/WOpacMsgNewListToTifTilDetailAction.do?tilcod=2002222301412</v>
      </c>
    </row>
    <row r="163" spans="1:9" x14ac:dyDescent="0.4">
      <c r="A163" t="str">
        <f>"アレすけ通信 : RSKテレビタイムテーブル・RSKラジオタイムテーブル"</f>
        <v>アレすけ通信 : RSKテレビタイムテーブル・RSKラジオタイムテーブル</v>
      </c>
      <c r="B163" s="1" t="str">
        <f t="shared" si="9"/>
        <v>アレすけ通信 : RSKテレビタイムテーブル・RSKラジオタイムテーブル</v>
      </c>
      <c r="C163" t="str">
        <f>"アレスケ ツウシン : アールエスケーテレビタイムテーブル・アールエスケーラジオタイムテーブル"</f>
        <v>アレスケ ツウシン : アールエスケーテレビタイムテーブル・アールエスケーラジオタイムテーブル</v>
      </c>
      <c r="D163" t="str">
        <f>"[RSK]"</f>
        <v>[RSK]</v>
      </c>
      <c r="E163" t="str">
        <f>"アールエスケー"</f>
        <v>アールエスケー</v>
      </c>
      <c r="F163" t="str">
        <f>"岡山"</f>
        <v>岡山</v>
      </c>
      <c r="G163" t="str">
        <f>"季刊"</f>
        <v>季刊</v>
      </c>
      <c r="H163" t="str">
        <f>"2002222326386"</f>
        <v>2002222326386</v>
      </c>
      <c r="I163" t="str">
        <f>HYPERLINK("#", "https://opac.libnet.pref.okayama.jp/licsxp-opac/WOpacMsgNewListToTifTilDetailAction.do?tilcod=2002222326386")</f>
        <v>https://opac.libnet.pref.okayama.jp/licsxp-opac/WOpacMsgNewListToTifTilDetailAction.do?tilcod=2002222326386</v>
      </c>
    </row>
    <row r="164" spans="1:9" x14ac:dyDescent="0.4">
      <c r="A164" t="str">
        <f>"安全・安心通信"</f>
        <v>安全・安心通信</v>
      </c>
      <c r="B164" s="1" t="str">
        <f t="shared" si="9"/>
        <v>安全・安心通信</v>
      </c>
      <c r="C164" t="str">
        <f>"アンゼン　アンシン　ツウシン"</f>
        <v>アンゼン　アンシン　ツウシン</v>
      </c>
      <c r="D164" t="str">
        <f>"岡山県県民生活部くらし安全安心課"</f>
        <v>岡山県県民生活部くらし安全安心課</v>
      </c>
      <c r="E164" t="str">
        <f>"オカヤマケン ケンミン セイカツブ クラシ アンゼン アンシンカ"</f>
        <v>オカヤマケン ケンミン セイカツブ クラシ アンゼン アンシンカ</v>
      </c>
      <c r="F164" t="str">
        <f>"岡山"</f>
        <v>岡山</v>
      </c>
      <c r="G164" t="str">
        <f>"年２回刊"</f>
        <v>年２回刊</v>
      </c>
      <c r="H164" t="str">
        <f>"2002222302014"</f>
        <v>2002222302014</v>
      </c>
      <c r="I164" t="str">
        <f>HYPERLINK("#", "https://opac.libnet.pref.okayama.jp/licsxp-opac/WOpacMsgNewListToTifTilDetailAction.do?tilcod=2002222302014")</f>
        <v>https://opac.libnet.pref.okayama.jp/licsxp-opac/WOpacMsgNewListToTifTilDetailAction.do?tilcod=2002222302014</v>
      </c>
    </row>
    <row r="165" spans="1:9" x14ac:dyDescent="0.4">
      <c r="A165" t="str">
        <f>"安全運転"</f>
        <v>安全運転</v>
      </c>
      <c r="B165" s="1" t="str">
        <f t="shared" si="9"/>
        <v>安全運転</v>
      </c>
      <c r="C165" t="str">
        <f>"アンゼン　ウンテン"</f>
        <v>アンゼン　ウンテン</v>
      </c>
      <c r="D165" t="str">
        <f>"岡山県安全運転運行管理者協議会連合会"</f>
        <v>岡山県安全運転運行管理者協議会連合会</v>
      </c>
      <c r="E165" t="str">
        <f>"オカヤマケンアンゼンウンテンウンコウカンリシャキョウギカイレンゴウカイ"</f>
        <v>オカヤマケンアンゼンウンテンウンコウカンリシャキョウギカイレンゴウカイ</v>
      </c>
      <c r="F165" t="str">
        <f>""</f>
        <v/>
      </c>
      <c r="G165" t="str">
        <f>"頻度不明"</f>
        <v>頻度不明</v>
      </c>
      <c r="H165" t="str">
        <f>"2002222287331"</f>
        <v>2002222287331</v>
      </c>
      <c r="I165" t="str">
        <f>HYPERLINK("#", "https://opac.libnet.pref.okayama.jp/licsxp-opac/WOpacMsgNewListToTifTilDetailAction.do?tilcod=2002222287331")</f>
        <v>https://opac.libnet.pref.okayama.jp/licsxp-opac/WOpacMsgNewListToTifTilDetailAction.do?tilcod=2002222287331</v>
      </c>
    </row>
    <row r="166" spans="1:9" x14ac:dyDescent="0.4">
      <c r="A166" t="str">
        <f>"あんたれす"</f>
        <v>あんたれす</v>
      </c>
      <c r="B166" s="1" t="str">
        <f t="shared" si="9"/>
        <v>あんたれす</v>
      </c>
      <c r="C166" t="str">
        <f>"アンタレス"</f>
        <v>アンタレス</v>
      </c>
      <c r="D166" t="str">
        <f>"金谷　綾太"</f>
        <v>金谷　綾太</v>
      </c>
      <c r="E166" t="str">
        <f>"カナヤ　リョウタ"</f>
        <v>カナヤ　リョウタ</v>
      </c>
      <c r="F166" t="str">
        <f>""</f>
        <v/>
      </c>
      <c r="G166" t="str">
        <f>"頻度不明"</f>
        <v>頻度不明</v>
      </c>
      <c r="H166" t="str">
        <f>"2002222308988"</f>
        <v>2002222308988</v>
      </c>
      <c r="I166" t="str">
        <f>HYPERLINK("#", "https://opac.libnet.pref.okayama.jp/licsxp-opac/WOpacMsgNewListToTifTilDetailAction.do?tilcod=2002222308988")</f>
        <v>https://opac.libnet.pref.okayama.jp/licsxp-opac/WOpacMsgNewListToTifTilDetailAction.do?tilcod=2002222308988</v>
      </c>
    </row>
    <row r="167" spans="1:9" x14ac:dyDescent="0.4">
      <c r="A167" t="str">
        <f>"胃集団検診手術症例"</f>
        <v>胃集団検診手術症例</v>
      </c>
      <c r="B167" s="1" t="str">
        <f t="shared" si="9"/>
        <v>胃集団検診手術症例</v>
      </c>
      <c r="C167" t="str">
        <f>"イ　シュウダン　ケンシン　シュジュツ　ショウレイ"</f>
        <v>イ　シュウダン　ケンシン　シュジュツ　ショウレイ</v>
      </c>
      <c r="D167" t="str">
        <f>"岡山成人病センター"</f>
        <v>岡山成人病センター</v>
      </c>
      <c r="E167" t="str">
        <f>"オカヤマセイジンビョウセンター"</f>
        <v>オカヤマセイジンビョウセンター</v>
      </c>
      <c r="F167" t="str">
        <f>""</f>
        <v/>
      </c>
      <c r="G167" t="str">
        <f>"年刊"</f>
        <v>年刊</v>
      </c>
      <c r="H167" t="str">
        <f>"2002222287371"</f>
        <v>2002222287371</v>
      </c>
      <c r="I167" t="str">
        <f>HYPERLINK("#", "https://opac.libnet.pref.okayama.jp/licsxp-opac/WOpacMsgNewListToTifTilDetailAction.do?tilcod=2002222287371")</f>
        <v>https://opac.libnet.pref.okayama.jp/licsxp-opac/WOpacMsgNewListToTifTilDetailAction.do?tilcod=2002222287371</v>
      </c>
    </row>
    <row r="168" spans="1:9" x14ac:dyDescent="0.4">
      <c r="A168" t="str">
        <f>"ｅ-まち知ろう岡山"</f>
        <v>ｅ-まち知ろう岡山</v>
      </c>
      <c r="B168" s="1" t="str">
        <f t="shared" si="9"/>
        <v>ｅ-まち知ろう岡山</v>
      </c>
      <c r="C168" t="str">
        <f>"イー　マチ　シロウ　オカヤマ"</f>
        <v>イー　マチ　シロウ　オカヤマ</v>
      </c>
      <c r="D168" t="str">
        <f>"ＮＴＴマーケティングアクト東中国"</f>
        <v>ＮＴＴマーケティングアクト東中国</v>
      </c>
      <c r="E168" t="str">
        <f>"エヌティーティーマーケティングアクトヒガシチュウゴク"</f>
        <v>エヌティーティーマーケティングアクトヒガシチュウゴク</v>
      </c>
      <c r="F168" t="str">
        <f>"岡山"</f>
        <v>岡山</v>
      </c>
      <c r="G168" t="str">
        <f>"季刊"</f>
        <v>季刊</v>
      </c>
      <c r="H168" t="str">
        <f>"2002222300283"</f>
        <v>2002222300283</v>
      </c>
      <c r="I168" t="str">
        <f>HYPERLINK("#", "https://opac.libnet.pref.okayama.jp/licsxp-opac/WOpacMsgNewListToTifTilDetailAction.do?tilcod=2002222300283")</f>
        <v>https://opac.libnet.pref.okayama.jp/licsxp-opac/WOpacMsgNewListToTifTilDetailAction.do?tilcod=2002222300283</v>
      </c>
    </row>
    <row r="169" spans="1:9" x14ac:dyDescent="0.4">
      <c r="A169" t="str">
        <f>"いいこときいちゃった"</f>
        <v>いいこときいちゃった</v>
      </c>
      <c r="B169" s="1" t="str">
        <f t="shared" si="9"/>
        <v>いいこときいちゃった</v>
      </c>
      <c r="C169" t="str">
        <f>"イイコト　キイチャッタ"</f>
        <v>イイコト　キイチャッタ</v>
      </c>
      <c r="D169" t="str">
        <f>"おかやまコープ"</f>
        <v>おかやまコープ</v>
      </c>
      <c r="E169" t="str">
        <f>"オカヤマ コープ"</f>
        <v>オカヤマ コープ</v>
      </c>
      <c r="F169" t="str">
        <f>"岡山"</f>
        <v>岡山</v>
      </c>
      <c r="G169" t="str">
        <f>"月刊"</f>
        <v>月刊</v>
      </c>
      <c r="H169" t="str">
        <f>"2002222280981"</f>
        <v>2002222280981</v>
      </c>
      <c r="I169" t="str">
        <f>HYPERLINK("#", "https://opac.libnet.pref.okayama.jp/licsxp-opac/WOpacMsgNewListToTifTilDetailAction.do?tilcod=2002222280981")</f>
        <v>https://opac.libnet.pref.okayama.jp/licsxp-opac/WOpacMsgNewListToTifTilDetailAction.do?tilcod=2002222280981</v>
      </c>
    </row>
    <row r="170" spans="1:9" x14ac:dyDescent="0.4">
      <c r="A170" t="str">
        <f>"ｅコミ。おかやま；商工連会報　いいコミ。おかやま"</f>
        <v>ｅコミ。おかやま；商工連会報　いいコミ。おかやま</v>
      </c>
      <c r="B170" s="1" t="str">
        <f t="shared" si="9"/>
        <v>ｅコミ。おかやま；商工連会報　いいコミ。おかやま</v>
      </c>
      <c r="C170" t="str">
        <f>"イイコミ　オカヤマ＊ショウコウレン　カイホウ　イイコミ　オカヤマ"</f>
        <v>イイコミ　オカヤマ＊ショウコウレン　カイホウ　イイコミ　オカヤマ</v>
      </c>
      <c r="D170" t="str">
        <f>"岡山県商工会連合会"</f>
        <v>岡山県商工会連合会</v>
      </c>
      <c r="E170" t="str">
        <f>"オカヤマケン ショウコウカイ レンゴウカイ"</f>
        <v>オカヤマケン ショウコウカイ レンゴウカイ</v>
      </c>
      <c r="F170" t="str">
        <f>"岡山"</f>
        <v>岡山</v>
      </c>
      <c r="G170" t="str">
        <f>"月刊"</f>
        <v>月刊</v>
      </c>
      <c r="H170" t="str">
        <f>"2002222301465"</f>
        <v>2002222301465</v>
      </c>
      <c r="I170" t="str">
        <f>HYPERLINK("#", "https://opac.libnet.pref.okayama.jp/licsxp-opac/WOpacMsgNewListToTifTilDetailAction.do?tilcod=2002222301465")</f>
        <v>https://opac.libnet.pref.okayama.jp/licsxp-opac/WOpacMsgNewListToTifTilDetailAction.do?tilcod=2002222301465</v>
      </c>
    </row>
    <row r="171" spans="1:9" x14ac:dyDescent="0.4">
      <c r="A171" t="str">
        <f>"ＥＤＰＳ情報（イーディーピーエス情報）"</f>
        <v>ＥＤＰＳ情報（イーディーピーエス情報）</v>
      </c>
      <c r="B171" s="1" t="str">
        <f t="shared" si="9"/>
        <v>ＥＤＰＳ情報（イーディーピーエス情報）</v>
      </c>
      <c r="C171" t="str">
        <f>"イーディーピーエス　ジョウホウ"</f>
        <v>イーディーピーエス　ジョウホウ</v>
      </c>
      <c r="D171" t="str">
        <f>"岡山県農協中央会電算開発室岡山県農協電算システム研究会"</f>
        <v>岡山県農協中央会電算開発室岡山県農協電算システム研究会</v>
      </c>
      <c r="E171" t="str">
        <f>"オカヤマケンノウキョウチュウオウカイデンサンカイハツシツオカヤマケンノウキョウデンサンシステムケンキュウカイ"</f>
        <v>オカヤマケンノウキョウチュウオウカイデンサンカイハツシツオカヤマケンノウキョウデンサンシステムケンキュウカイ</v>
      </c>
      <c r="F171" t="str">
        <f>""</f>
        <v/>
      </c>
      <c r="G171" t="str">
        <f>"月刊"</f>
        <v>月刊</v>
      </c>
      <c r="H171" t="str">
        <f>"2002222287441"</f>
        <v>2002222287441</v>
      </c>
      <c r="I171" t="str">
        <f>HYPERLINK("#", "https://opac.libnet.pref.okayama.jp/licsxp-opac/WOpacMsgNewListToTifTilDetailAction.do?tilcod=2002222287441")</f>
        <v>https://opac.libnet.pref.okayama.jp/licsxp-opac/WOpacMsgNewListToTifTilDetailAction.do?tilcod=2002222287441</v>
      </c>
    </row>
    <row r="172" spans="1:9" x14ac:dyDescent="0.4">
      <c r="A172" t="str">
        <f>"家。買う？　岡山版"</f>
        <v>家。買う？　岡山版</v>
      </c>
      <c r="B172" s="1" t="str">
        <f t="shared" si="9"/>
        <v>家。買う？　岡山版</v>
      </c>
      <c r="C172" t="str">
        <f>"イエ　カウ　オカヤマ　バン"</f>
        <v>イエ　カウ　オカヤマ　バン</v>
      </c>
      <c r="D172" t="str">
        <f>"ビズ・クリエイション"</f>
        <v>ビズ・クリエイション</v>
      </c>
      <c r="E172" t="str">
        <f>"ビズクリエイション"</f>
        <v>ビズクリエイション</v>
      </c>
      <c r="F172" t="str">
        <f t="shared" ref="F172:F177" si="10">"岡山"</f>
        <v>岡山</v>
      </c>
      <c r="G172" t="str">
        <f>"月刊"</f>
        <v>月刊</v>
      </c>
      <c r="H172" t="str">
        <f>"2002222311146"</f>
        <v>2002222311146</v>
      </c>
      <c r="I172" t="str">
        <f>HYPERLINK("#", "https://opac.libnet.pref.okayama.jp/licsxp-opac/WOpacMsgNewListToTifTilDetailAction.do?tilcod=2002222311146")</f>
        <v>https://opac.libnet.pref.okayama.jp/licsxp-opac/WOpacMsgNewListToTifTilDetailAction.do?tilcod=2002222311146</v>
      </c>
    </row>
    <row r="173" spans="1:9" x14ac:dyDescent="0.4">
      <c r="A173" t="str">
        <f>"iemiru PLUS 岡山版"</f>
        <v>iemiru PLUS 岡山版</v>
      </c>
      <c r="B173" s="1" t="str">
        <f t="shared" si="9"/>
        <v>iemiru PLUS 岡山版</v>
      </c>
      <c r="C173" t="str">
        <f>"イエミル プラス オカヤマバン"</f>
        <v>イエミル プラス オカヤマバン</v>
      </c>
      <c r="D173" t="str">
        <f>"ビズ・クリエイション"</f>
        <v>ビズ・クリエイション</v>
      </c>
      <c r="E173" t="str">
        <f>"ビズクリエイション"</f>
        <v>ビズクリエイション</v>
      </c>
      <c r="F173" t="str">
        <f t="shared" si="10"/>
        <v>岡山</v>
      </c>
      <c r="G173" t="str">
        <f>"月刊"</f>
        <v>月刊</v>
      </c>
      <c r="H173" t="str">
        <f>"2002222331826"</f>
        <v>2002222331826</v>
      </c>
      <c r="I173" t="str">
        <f>HYPERLINK("#", "https://opac.libnet.pref.okayama.jp/licsxp-opac/WOpacMsgNewListToTifTilDetailAction.do?tilcod=2002222331826")</f>
        <v>https://opac.libnet.pref.okayama.jp/licsxp-opac/WOpacMsgNewListToTifTilDetailAction.do?tilcod=2002222331826</v>
      </c>
    </row>
    <row r="174" spans="1:9" x14ac:dyDescent="0.4">
      <c r="A174" t="str">
        <f>"ＹＥＬＬＯＷ　ＢＯＯＫ（イエローブック）　岡山版"</f>
        <v>ＹＥＬＬＯＷ　ＢＯＯＫ（イエローブック）　岡山版</v>
      </c>
      <c r="B174" s="1" t="str">
        <f t="shared" si="9"/>
        <v>ＹＥＬＬＯＷ　ＢＯＯＫ（イエローブック）　岡山版</v>
      </c>
      <c r="C174" t="str">
        <f>"イエロー　ブック　オカヤマ　バン"</f>
        <v>イエロー　ブック　オカヤマ　バン</v>
      </c>
      <c r="D174" t="str">
        <f>"情報サービス"</f>
        <v>情報サービス</v>
      </c>
      <c r="E174" t="str">
        <f>"ジョウホウサービス"</f>
        <v>ジョウホウサービス</v>
      </c>
      <c r="F174" t="str">
        <f t="shared" si="10"/>
        <v>岡山</v>
      </c>
      <c r="G174" t="str">
        <f>"週２回刊"</f>
        <v>週２回刊</v>
      </c>
      <c r="H174" t="str">
        <f>"2002222301549"</f>
        <v>2002222301549</v>
      </c>
      <c r="I174" t="str">
        <f>HYPERLINK("#", "https://opac.libnet.pref.okayama.jp/licsxp-opac/WOpacMsgNewListToTifTilDetailAction.do?tilcod=2002222301549")</f>
        <v>https://opac.libnet.pref.okayama.jp/licsxp-opac/WOpacMsgNewListToTifTilDetailAction.do?tilcod=2002222301549</v>
      </c>
    </row>
    <row r="175" spans="1:9" x14ac:dyDescent="0.4">
      <c r="A175" t="str">
        <f>"ＹＥＬＬＯＷ　ＢＯＯＫ　倉敷版"</f>
        <v>ＹＥＬＬＯＷ　ＢＯＯＫ　倉敷版</v>
      </c>
      <c r="B175" s="1" t="str">
        <f t="shared" si="9"/>
        <v>ＹＥＬＬＯＷ　ＢＯＯＫ　倉敷版</v>
      </c>
      <c r="C175" t="str">
        <f>"イエロー　ブック　クラシキ　バン"</f>
        <v>イエロー　ブック　クラシキ　バン</v>
      </c>
      <c r="D175" t="str">
        <f>"情報サービス"</f>
        <v>情報サービス</v>
      </c>
      <c r="E175" t="str">
        <f>"ジョウホウサービス"</f>
        <v>ジョウホウサービス</v>
      </c>
      <c r="F175" t="str">
        <f t="shared" si="10"/>
        <v>岡山</v>
      </c>
      <c r="G175" t="str">
        <f>"週２回刊"</f>
        <v>週２回刊</v>
      </c>
      <c r="H175" t="str">
        <f>"2002222301550"</f>
        <v>2002222301550</v>
      </c>
      <c r="I175" t="str">
        <f>HYPERLINK("#", "https://opac.libnet.pref.okayama.jp/licsxp-opac/WOpacMsgNewListToTifTilDetailAction.do?tilcod=2002222301550")</f>
        <v>https://opac.libnet.pref.okayama.jp/licsxp-opac/WOpacMsgNewListToTifTilDetailAction.do?tilcod=2002222301550</v>
      </c>
    </row>
    <row r="176" spans="1:9" x14ac:dyDescent="0.4">
      <c r="A176" t="str">
        <f>"ＹＥＬＬＯＷ　ＢＯＯＫ岡山広域版"</f>
        <v>ＹＥＬＬＯＷ　ＢＯＯＫ岡山広域版</v>
      </c>
      <c r="B176" s="1" t="str">
        <f t="shared" si="9"/>
        <v>ＹＥＬＬＯＷ　ＢＯＯＫ岡山広域版</v>
      </c>
      <c r="C176" t="str">
        <f>"イエローブック　オカヤマ　コウイキバン"</f>
        <v>イエローブック　オカヤマ　コウイキバン</v>
      </c>
      <c r="D176" t="str">
        <f>"情報サービス"</f>
        <v>情報サービス</v>
      </c>
      <c r="E176" t="str">
        <f>"ジョウホウサービス"</f>
        <v>ジョウホウサービス</v>
      </c>
      <c r="F176" t="str">
        <f t="shared" si="10"/>
        <v>岡山</v>
      </c>
      <c r="G176" t="str">
        <f>"週２回刊"</f>
        <v>週２回刊</v>
      </c>
      <c r="H176" t="str">
        <f>"2002222301991"</f>
        <v>2002222301991</v>
      </c>
      <c r="I176" t="str">
        <f>HYPERLINK("#", "https://opac.libnet.pref.okayama.jp/licsxp-opac/WOpacMsgNewListToTifTilDetailAction.do?tilcod=2002222301991")</f>
        <v>https://opac.libnet.pref.okayama.jp/licsxp-opac/WOpacMsgNewListToTifTilDetailAction.do?tilcod=2002222301991</v>
      </c>
    </row>
    <row r="177" spans="1:9" x14ac:dyDescent="0.4">
      <c r="A177" t="str">
        <f>"Ｈｊｅｍｂｙ（イェンビュ）"</f>
        <v>Ｈｊｅｍｂｙ（イェンビュ）</v>
      </c>
      <c r="B177" s="1" t="str">
        <f t="shared" si="9"/>
        <v>Ｈｊｅｍｂｙ（イェンビュ）</v>
      </c>
      <c r="C177" t="str">
        <f>"イエンビュ"</f>
        <v>イエンビュ</v>
      </c>
      <c r="D177" t="str">
        <f>"岡山県"</f>
        <v>岡山県</v>
      </c>
      <c r="E177" t="str">
        <f>"オカヤマケン"</f>
        <v>オカヤマケン</v>
      </c>
      <c r="F177" t="str">
        <f t="shared" si="10"/>
        <v>岡山</v>
      </c>
      <c r="G177" t="str">
        <f>"季刊"</f>
        <v>季刊</v>
      </c>
      <c r="H177" t="str">
        <f>"2002222282331"</f>
        <v>2002222282331</v>
      </c>
      <c r="I177" t="str">
        <f>HYPERLINK("#", "https://opac.libnet.pref.okayama.jp/licsxp-opac/WOpacMsgNewListToTifTilDetailAction.do?tilcod=2002222282331")</f>
        <v>https://opac.libnet.pref.okayama.jp/licsxp-opac/WOpacMsgNewListToTifTilDetailAction.do?tilcod=2002222282331</v>
      </c>
    </row>
    <row r="178" spans="1:9" x14ac:dyDescent="0.4">
      <c r="A178" t="str">
        <f>"井笠鉄道之友"</f>
        <v>井笠鉄道之友</v>
      </c>
      <c r="B178" s="1" t="str">
        <f t="shared" si="9"/>
        <v>井笠鉄道之友</v>
      </c>
      <c r="C178" t="str">
        <f>"イカサ　テツドウ　ノ　トモ"</f>
        <v>イカサ　テツドウ　ノ　トモ</v>
      </c>
      <c r="D178" t="str">
        <f>"井笠鉄道の友会"</f>
        <v>井笠鉄道の友会</v>
      </c>
      <c r="E178" t="str">
        <f>"イカサテツドウノトモカイ"</f>
        <v>イカサテツドウノトモカイ</v>
      </c>
      <c r="F178" t="str">
        <f>""</f>
        <v/>
      </c>
      <c r="G178" t="str">
        <f>"頻度不明"</f>
        <v>頻度不明</v>
      </c>
      <c r="H178" t="str">
        <f>"2002222287341"</f>
        <v>2002222287341</v>
      </c>
      <c r="I178" t="str">
        <f>HYPERLINK("#", "https://opac.libnet.pref.okayama.jp/licsxp-opac/WOpacMsgNewListToTifTilDetailAction.do?tilcod=2002222287341")</f>
        <v>https://opac.libnet.pref.okayama.jp/licsxp-opac/WOpacMsgNewListToTifTilDetailAction.do?tilcod=2002222287341</v>
      </c>
    </row>
    <row r="179" spans="1:9" x14ac:dyDescent="0.4">
      <c r="A179" t="str">
        <f>"Ikasa;いかさ振興局だより"</f>
        <v>Ikasa;いかさ振興局だより</v>
      </c>
      <c r="B179" s="1" t="str">
        <f t="shared" si="9"/>
        <v>Ikasa;いかさ振興局だより</v>
      </c>
      <c r="C179" t="str">
        <f>"イカサ*イカサ シンコウキョク ダヨリ"</f>
        <v>イカサ*イカサ シンコウキョク ダヨリ</v>
      </c>
      <c r="D179" t="str">
        <f>"岡山県井笠地方振興局"</f>
        <v>岡山県井笠地方振興局</v>
      </c>
      <c r="E179" t="str">
        <f>"オカヤマケン イカサ チホウ シンコウキョク"</f>
        <v>オカヤマケン イカサ チホウ シンコウキョク</v>
      </c>
      <c r="F179" t="str">
        <f>"笠岡"</f>
        <v>笠岡</v>
      </c>
      <c r="G179" t="str">
        <f>"不定期刊"</f>
        <v>不定期刊</v>
      </c>
      <c r="H179" t="str">
        <f>"2002222309928"</f>
        <v>2002222309928</v>
      </c>
      <c r="I179" t="str">
        <f>HYPERLINK("#", "https://opac.libnet.pref.okayama.jp/licsxp-opac/WOpacMsgNewListToTifTilDetailAction.do?tilcod=2002222309928")</f>
        <v>https://opac.libnet.pref.okayama.jp/licsxp-opac/WOpacMsgNewListToTifTilDetailAction.do?tilcod=2002222309928</v>
      </c>
    </row>
    <row r="180" spans="1:9" x14ac:dyDescent="0.4">
      <c r="A180" t="str">
        <f>"生かされて；岡山県原爆被爆者会会報"</f>
        <v>生かされて；岡山県原爆被爆者会会報</v>
      </c>
      <c r="B180" s="1" t="str">
        <f t="shared" si="9"/>
        <v>生かされて；岡山県原爆被爆者会会報</v>
      </c>
      <c r="C180" t="str">
        <f>"イカサレテ＊オカヤマケン ゲンバク ヒバクシャカイ カイホウ"</f>
        <v>イカサレテ＊オカヤマケン ゲンバク ヒバクシャカイ カイホウ</v>
      </c>
      <c r="D180" t="str">
        <f>"岡山県原爆被爆者会"</f>
        <v>岡山県原爆被爆者会</v>
      </c>
      <c r="E180" t="str">
        <f>"オカヤマケン ゲンバク ヒバクシャカイ"</f>
        <v>オカヤマケン ゲンバク ヒバクシャカイ</v>
      </c>
      <c r="F180" t="str">
        <f>"岡山"</f>
        <v>岡山</v>
      </c>
      <c r="G180" t="str">
        <f>"年刊"</f>
        <v>年刊</v>
      </c>
      <c r="H180" t="str">
        <f>"2002222341970"</f>
        <v>2002222341970</v>
      </c>
      <c r="I180" t="str">
        <f>HYPERLINK("#", "https://opac.libnet.pref.okayama.jp/licsxp-opac/WOpacMsgNewListToTifTilDetailAction.do?tilcod=2002222341970")</f>
        <v>https://opac.libnet.pref.okayama.jp/licsxp-opac/WOpacMsgNewListToTifTilDetailAction.do?tilcod=2002222341970</v>
      </c>
    </row>
    <row r="181" spans="1:9" x14ac:dyDescent="0.4">
      <c r="A181" t="str">
        <f>"いかしの舎だより"</f>
        <v>いかしの舎だより</v>
      </c>
      <c r="B181" s="1" t="str">
        <f t="shared" si="9"/>
        <v>いかしの舎だより</v>
      </c>
      <c r="C181" t="str">
        <f>"イカシノヤ　ダヨリ"</f>
        <v>イカシノヤ　ダヨリ</v>
      </c>
      <c r="D181" t="str">
        <f>"早島町文化振興協会"</f>
        <v>早島町文化振興協会</v>
      </c>
      <c r="E181" t="str">
        <f>"ハヤシマチョウブンカシンコウキョウカイ"</f>
        <v>ハヤシマチョウブンカシンコウキョウカイ</v>
      </c>
      <c r="F181" t="str">
        <f>"早島町（都窪郡）"</f>
        <v>早島町（都窪郡）</v>
      </c>
      <c r="G181" t="str">
        <f>"頻度不明"</f>
        <v>頻度不明</v>
      </c>
      <c r="H181" t="str">
        <f>"2002222281301"</f>
        <v>2002222281301</v>
      </c>
      <c r="I181" t="str">
        <f>HYPERLINK("#", "https://opac.libnet.pref.okayama.jp/licsxp-opac/WOpacMsgNewListToTifTilDetailAction.do?tilcod=2002222281301")</f>
        <v>https://opac.libnet.pref.okayama.jp/licsxp-opac/WOpacMsgNewListToTifTilDetailAction.do?tilcod=2002222281301</v>
      </c>
    </row>
    <row r="182" spans="1:9" x14ac:dyDescent="0.4">
      <c r="A182" t="str">
        <f>"いきいき阿新振興局だより"</f>
        <v>いきいき阿新振興局だより</v>
      </c>
      <c r="B182" s="1" t="str">
        <f t="shared" si="9"/>
        <v>いきいき阿新振興局だより</v>
      </c>
      <c r="C182" t="str">
        <f>"イキイキ　アシン　レシンコウ　キョクダヨリ"</f>
        <v>イキイキ　アシン　レシンコウ　キョクダヨリ</v>
      </c>
      <c r="D182" t="str">
        <f>"岡山県阿新地方振興局"</f>
        <v>岡山県阿新地方振興局</v>
      </c>
      <c r="E182" t="str">
        <f>"オカヤマケンアシンチホウシンコウキョク"</f>
        <v>オカヤマケンアシンチホウシンコウキョク</v>
      </c>
      <c r="F182" t="str">
        <f>"新見"</f>
        <v>新見</v>
      </c>
      <c r="G182" t="str">
        <f>"不定期刊"</f>
        <v>不定期刊</v>
      </c>
      <c r="H182" t="str">
        <f>"2002222300888"</f>
        <v>2002222300888</v>
      </c>
      <c r="I182" t="str">
        <f>HYPERLINK("#", "https://opac.libnet.pref.okayama.jp/licsxp-opac/WOpacMsgNewListToTifTilDetailAction.do?tilcod=2002222300888")</f>
        <v>https://opac.libnet.pref.okayama.jp/licsxp-opac/WOpacMsgNewListToTifTilDetailAction.do?tilcod=2002222300888</v>
      </c>
    </row>
    <row r="183" spans="1:9" x14ac:dyDescent="0.4">
      <c r="A183" t="str">
        <f>"いきいき家畜衛生ネット"</f>
        <v>いきいき家畜衛生ネット</v>
      </c>
      <c r="B183" s="1" t="str">
        <f t="shared" si="9"/>
        <v>いきいき家畜衛生ネット</v>
      </c>
      <c r="C183" t="str">
        <f>"イキイキ　カチク　エイセイ　ネット"</f>
        <v>イキイキ　カチク　エイセイ　ネット</v>
      </c>
      <c r="D183" t="str">
        <f>"岡山県農林水産部畜産課"</f>
        <v>岡山県農林水産部畜産課</v>
      </c>
      <c r="E183" t="str">
        <f>"オカヤマケン ノウリン スイサンブ チクサンカ"</f>
        <v>オカヤマケン ノウリン スイサンブ チクサンカ</v>
      </c>
      <c r="F183" t="str">
        <f>"岡山"</f>
        <v>岡山</v>
      </c>
      <c r="G183" t="str">
        <f>"季刊"</f>
        <v>季刊</v>
      </c>
      <c r="H183" t="str">
        <f>"2002222302090"</f>
        <v>2002222302090</v>
      </c>
      <c r="I183" t="str">
        <f>HYPERLINK("#", "https://opac.libnet.pref.okayama.jp/licsxp-opac/WOpacMsgNewListToTifTilDetailAction.do?tilcod=2002222302090")</f>
        <v>https://opac.libnet.pref.okayama.jp/licsxp-opac/WOpacMsgNewListToTifTilDetailAction.do?tilcod=2002222302090</v>
      </c>
    </row>
    <row r="184" spans="1:9" x14ac:dyDescent="0.4">
      <c r="A184" t="str">
        <f>"生き生きシルバーセーフティレポート"</f>
        <v>生き生きシルバーセーフティレポート</v>
      </c>
      <c r="B184" s="1" t="str">
        <f t="shared" si="9"/>
        <v>生き生きシルバーセーフティレポート</v>
      </c>
      <c r="C184" t="str">
        <f>"イキイキ＊シルバー　セーフティ　レポート"</f>
        <v>イキイキ＊シルバー　セーフティ　レポート</v>
      </c>
      <c r="D184" t="str">
        <f>"児島交通安全協会・児島警察署交通課"</f>
        <v>児島交通安全協会・児島警察署交通課</v>
      </c>
      <c r="E184" t="str">
        <f>"コジマコウツウアンゼンキョウカイコジマケイサツショコウツウカ"</f>
        <v>コジマコウツウアンゼンキョウカイコジマケイサツショコウツウカ</v>
      </c>
      <c r="F184" t="str">
        <f>"倉敷"</f>
        <v>倉敷</v>
      </c>
      <c r="G184" t="str">
        <f>"頻度不明"</f>
        <v>頻度不明</v>
      </c>
      <c r="H184" t="str">
        <f>"2002222282094"</f>
        <v>2002222282094</v>
      </c>
      <c r="I184" t="str">
        <f>HYPERLINK("#", "https://opac.libnet.pref.okayama.jp/licsxp-opac/WOpacMsgNewListToTifTilDetailAction.do?tilcod=2002222282094")</f>
        <v>https://opac.libnet.pref.okayama.jp/licsxp-opac/WOpacMsgNewListToTifTilDetailAction.do?tilcod=2002222282094</v>
      </c>
    </row>
    <row r="185" spans="1:9" x14ac:dyDescent="0.4">
      <c r="A185" t="str">
        <f>"生きがい"</f>
        <v>生きがい</v>
      </c>
      <c r="B185" s="1" t="str">
        <f t="shared" si="9"/>
        <v>生きがい</v>
      </c>
      <c r="C185" t="str">
        <f>"イキガイ"</f>
        <v>イキガイ</v>
      </c>
      <c r="D185" t="str">
        <f>"岡山市シルバー人材センター"</f>
        <v>岡山市シルバー人材センター</v>
      </c>
      <c r="E185" t="str">
        <f>"オカヤマシシルバージンザイセンター"</f>
        <v>オカヤマシシルバージンザイセンター</v>
      </c>
      <c r="F185" t="str">
        <f>"岡山"</f>
        <v>岡山</v>
      </c>
      <c r="G185" t="str">
        <f>"その他"</f>
        <v>その他</v>
      </c>
      <c r="H185" t="str">
        <f>"2002222291891"</f>
        <v>2002222291891</v>
      </c>
      <c r="I185" t="str">
        <f>HYPERLINK("#", "https://opac.libnet.pref.okayama.jp/licsxp-opac/WOpacMsgNewListToTifTilDetailAction.do?tilcod=2002222291891")</f>
        <v>https://opac.libnet.pref.okayama.jp/licsxp-opac/WOpacMsgNewListToTifTilDetailAction.do?tilcod=2002222291891</v>
      </c>
    </row>
    <row r="186" spans="1:9" x14ac:dyDescent="0.4">
      <c r="A186" t="str">
        <f>"いきものいろいろ通信"</f>
        <v>いきものいろいろ通信</v>
      </c>
      <c r="B186" s="1" t="str">
        <f t="shared" si="9"/>
        <v>いきものいろいろ通信</v>
      </c>
      <c r="C186" t="str">
        <f>"イキモノ　イロイロ　ツウシン"</f>
        <v>イキモノ　イロイロ　ツウシン</v>
      </c>
      <c r="D186" t="str">
        <f>"岡山市環境保全課"</f>
        <v>岡山市環境保全課</v>
      </c>
      <c r="E186" t="str">
        <f>"オカヤマシ カンキョウ ホゼンカ"</f>
        <v>オカヤマシ カンキョウ ホゼンカ</v>
      </c>
      <c r="F186" t="str">
        <f>"岡山"</f>
        <v>岡山</v>
      </c>
      <c r="G186" t="str">
        <f>"頻度不明"</f>
        <v>頻度不明</v>
      </c>
      <c r="H186" t="str">
        <f>"2002222302389"</f>
        <v>2002222302389</v>
      </c>
      <c r="I186" t="str">
        <f>HYPERLINK("#", "https://opac.libnet.pref.okayama.jp/licsxp-opac/WOpacMsgNewListToTifTilDetailAction.do?tilcod=2002222302389")</f>
        <v>https://opac.libnet.pref.okayama.jp/licsxp-opac/WOpacMsgNewListToTifTilDetailAction.do?tilcod=2002222302389</v>
      </c>
    </row>
    <row r="187" spans="1:9" x14ac:dyDescent="0.4">
      <c r="A187" t="str">
        <f>"生坂だより；川崎医科大学附属高等学校広報誌"</f>
        <v>生坂だより；川崎医科大学附属高等学校広報誌</v>
      </c>
      <c r="B187" s="1" t="str">
        <f t="shared" si="9"/>
        <v>生坂だより；川崎医科大学附属高等学校広報誌</v>
      </c>
      <c r="C187" t="str">
        <f>"イクサカ　ダヨリ＊カワサキ　イカ　ダイガク　フゾク　コウトウ　ガッコウ　コウホウシ"</f>
        <v>イクサカ　ダヨリ＊カワサキ　イカ　ダイガク　フゾク　コウトウ　ガッコウ　コウホウシ</v>
      </c>
      <c r="D187" t="str">
        <f>"川崎医科大学附属高等学校"</f>
        <v>川崎医科大学附属高等学校</v>
      </c>
      <c r="E187" t="str">
        <f>"カワサキイカダイガクフゾクコウトウガッコウ"</f>
        <v>カワサキイカダイガクフゾクコウトウガッコウ</v>
      </c>
      <c r="F187" t="str">
        <f>"倉敷"</f>
        <v>倉敷</v>
      </c>
      <c r="G187" t="str">
        <f>"頻度不明"</f>
        <v>頻度不明</v>
      </c>
      <c r="H187" t="str">
        <f>"2002222301484"</f>
        <v>2002222301484</v>
      </c>
      <c r="I187" t="str">
        <f>HYPERLINK("#", "https://opac.libnet.pref.okayama.jp/licsxp-opac/WOpacMsgNewListToTifTilDetailAction.do?tilcod=2002222301484")</f>
        <v>https://opac.libnet.pref.okayama.jp/licsxp-opac/WOpacMsgNewListToTifTilDetailAction.do?tilcod=2002222301484</v>
      </c>
    </row>
    <row r="188" spans="1:9" x14ac:dyDescent="0.4">
      <c r="A188" t="str">
        <f>"幾山河"</f>
        <v>幾山河</v>
      </c>
      <c r="B188" s="1" t="str">
        <f t="shared" si="9"/>
        <v>幾山河</v>
      </c>
      <c r="C188" t="str">
        <f>"イクサンガ"</f>
        <v>イクサンガ</v>
      </c>
      <c r="D188" t="str">
        <f>"岡山市立幸町図書館文章教室"</f>
        <v>岡山市立幸町図書館文章教室</v>
      </c>
      <c r="E188" t="str">
        <f>"オカヤマシリツトショカンブンショウキョウシツ"</f>
        <v>オカヤマシリツトショカンブンショウキョウシツ</v>
      </c>
      <c r="F188" t="str">
        <f>"岡山"</f>
        <v>岡山</v>
      </c>
      <c r="G188" t="str">
        <f>"年刊"</f>
        <v>年刊</v>
      </c>
      <c r="H188" t="str">
        <f>"2002222285411"</f>
        <v>2002222285411</v>
      </c>
      <c r="I188" t="str">
        <f>HYPERLINK("#", "https://opac.libnet.pref.okayama.jp/licsxp-opac/WOpacMsgNewListToTifTilDetailAction.do?tilcod=2002222285411")</f>
        <v>https://opac.libnet.pref.okayama.jp/licsxp-opac/WOpacMsgNewListToTifTilDetailAction.do?tilcod=2002222285411</v>
      </c>
    </row>
    <row r="189" spans="1:9" x14ac:dyDescent="0.4">
      <c r="A189" t="str">
        <f>"イクシラ"</f>
        <v>イクシラ</v>
      </c>
      <c r="B189" s="1" t="str">
        <f t="shared" si="9"/>
        <v>イクシラ</v>
      </c>
      <c r="C189" t="str">
        <f>"イクシラ"</f>
        <v>イクシラ</v>
      </c>
      <c r="D189" t="str">
        <f>"津山市文化振興財団"</f>
        <v>津山市文化振興財団</v>
      </c>
      <c r="E189" t="str">
        <f>"ツヤマシブンカシンコウザイダン"</f>
        <v>ツヤマシブンカシンコウザイダン</v>
      </c>
      <c r="F189" t="str">
        <f>"津山"</f>
        <v>津山</v>
      </c>
      <c r="G189" t="str">
        <f>"季刊"</f>
        <v>季刊</v>
      </c>
      <c r="H189" t="str">
        <f>"2002222282261"</f>
        <v>2002222282261</v>
      </c>
      <c r="I189" t="str">
        <f>HYPERLINK("#", "https://opac.libnet.pref.okayama.jp/licsxp-opac/WOpacMsgNewListToTifTilDetailAction.do?tilcod=2002222282261")</f>
        <v>https://opac.libnet.pref.okayama.jp/licsxp-opac/WOpacMsgNewListToTifTilDetailAction.do?tilcod=2002222282261</v>
      </c>
    </row>
    <row r="190" spans="1:9" x14ac:dyDescent="0.4">
      <c r="A190" t="str">
        <f>"いくせい"</f>
        <v>いくせい</v>
      </c>
      <c r="B190" s="1" t="str">
        <f t="shared" si="9"/>
        <v>いくせい</v>
      </c>
      <c r="C190" t="str">
        <f>"イクセイ"</f>
        <v>イクセイ</v>
      </c>
      <c r="D190" t="str">
        <f>"備前市青少年健全育成推進本部"</f>
        <v>備前市青少年健全育成推進本部</v>
      </c>
      <c r="E190" t="str">
        <f>"ビゼンシ セイショウネン ケンゼン イクセイ スイシン ホンブ"</f>
        <v>ビゼンシ セイショウネン ケンゼン イクセイ スイシン ホンブ</v>
      </c>
      <c r="F190" t="str">
        <f>"備前"</f>
        <v>備前</v>
      </c>
      <c r="G190" t="str">
        <f>"年刊"</f>
        <v>年刊</v>
      </c>
      <c r="H190" t="str">
        <f>"2002222322526"</f>
        <v>2002222322526</v>
      </c>
      <c r="I190" t="str">
        <f>HYPERLINK("#", "https://opac.libnet.pref.okayama.jp/licsxp-opac/WOpacMsgNewListToTifTilDetailAction.do?tilcod=2002222322526")</f>
        <v>https://opac.libnet.pref.okayama.jp/licsxp-opac/WOpacMsgNewListToTifTilDetailAction.do?tilcod=2002222322526</v>
      </c>
    </row>
    <row r="191" spans="1:9" x14ac:dyDescent="0.4">
      <c r="A191" t="str">
        <f>"育成"</f>
        <v>育成</v>
      </c>
      <c r="B191" s="1" t="str">
        <f t="shared" si="9"/>
        <v>育成</v>
      </c>
      <c r="C191" t="str">
        <f>"イクセイ"</f>
        <v>イクセイ</v>
      </c>
      <c r="D191" t="str">
        <f>"倉敷市青少年育成センター"</f>
        <v>倉敷市青少年育成センター</v>
      </c>
      <c r="E191" t="str">
        <f>"クラシキシセイショウネンイクセイセンター"</f>
        <v>クラシキシセイショウネンイクセイセンター</v>
      </c>
      <c r="F191" t="str">
        <f>"倉敷"</f>
        <v>倉敷</v>
      </c>
      <c r="G191" t="str">
        <f>"年刊"</f>
        <v>年刊</v>
      </c>
      <c r="H191" t="str">
        <f>"2002222341431"</f>
        <v>2002222341431</v>
      </c>
      <c r="I191" t="str">
        <f>HYPERLINK("#", "https://opac.libnet.pref.okayama.jp/licsxp-opac/WOpacMsgNewListToTifTilDetailAction.do?tilcod=2002222341431")</f>
        <v>https://opac.libnet.pref.okayama.jp/licsxp-opac/WOpacMsgNewListToTifTilDetailAction.do?tilcod=2002222341431</v>
      </c>
    </row>
    <row r="192" spans="1:9" x14ac:dyDescent="0.4">
      <c r="A192" t="str">
        <f>"育成きび；吉備地区青少年育成協議会会報"</f>
        <v>育成きび；吉備地区青少年育成協議会会報</v>
      </c>
      <c r="B192" s="1" t="str">
        <f t="shared" si="9"/>
        <v>育成きび；吉備地区青少年育成協議会会報</v>
      </c>
      <c r="C192" t="str">
        <f>"イクセイ キビ＊キビチク セイショウネン イクセイ キョウギカイ カイホウ"</f>
        <v>イクセイ キビ＊キビチク セイショウネン イクセイ キョウギカイ カイホウ</v>
      </c>
      <c r="D192" t="str">
        <f>"吉備地区青少年育成協議会"</f>
        <v>吉備地区青少年育成協議会</v>
      </c>
      <c r="E192" t="str">
        <f>"キビチク セイショウネン イクセイ キョウギカイ"</f>
        <v>キビチク セイショウネン イクセイ キョウギカイ</v>
      </c>
      <c r="F192" t="str">
        <f>"岡山"</f>
        <v>岡山</v>
      </c>
      <c r="G192" t="str">
        <f>"年刊"</f>
        <v>年刊</v>
      </c>
      <c r="H192" t="str">
        <f>"2002222339970"</f>
        <v>2002222339970</v>
      </c>
      <c r="I192" t="str">
        <f>HYPERLINK("#", "https://opac.libnet.pref.okayama.jp/licsxp-opac/WOpacMsgNewListToTifTilDetailAction.do?tilcod=2002222339970")</f>
        <v>https://opac.libnet.pref.okayama.jp/licsxp-opac/WOpacMsgNewListToTifTilDetailAction.do?tilcod=2002222339970</v>
      </c>
    </row>
    <row r="193" spans="1:9" x14ac:dyDescent="0.4">
      <c r="A193" t="str">
        <f>"いくせい；岡山市青少年育成協議会広報紙"</f>
        <v>いくせい；岡山市青少年育成協議会広報紙</v>
      </c>
      <c r="B193" s="1" t="str">
        <f t="shared" si="9"/>
        <v>いくせい；岡山市青少年育成協議会広報紙</v>
      </c>
      <c r="C193" t="str">
        <f>"イクセイ＊オカヤマシ セイショウネン イクセイ キョウギカイ コウホウシ"</f>
        <v>イクセイ＊オカヤマシ セイショウネン イクセイ キョウギカイ コウホウシ</v>
      </c>
      <c r="D193" t="str">
        <f>"岡山市青少年育成協議会"</f>
        <v>岡山市青少年育成協議会</v>
      </c>
      <c r="E193" t="str">
        <f>"オカヤマシ セイショウネン イクセイ キョウギカイ"</f>
        <v>オカヤマシ セイショウネン イクセイ キョウギカイ</v>
      </c>
      <c r="F193" t="str">
        <f>"岡山"</f>
        <v>岡山</v>
      </c>
      <c r="G193" t="str">
        <f>"隔月刊"</f>
        <v>隔月刊</v>
      </c>
      <c r="H193" t="str">
        <f>"2002222330311"</f>
        <v>2002222330311</v>
      </c>
      <c r="I193" t="str">
        <f>HYPERLINK("#", "https://opac.libnet.pref.okayama.jp/licsxp-opac/WOpacMsgNewListToTifTilDetailAction.do?tilcod=2002222330311")</f>
        <v>https://opac.libnet.pref.okayama.jp/licsxp-opac/WOpacMsgNewListToTifTilDetailAction.do?tilcod=2002222330311</v>
      </c>
    </row>
    <row r="194" spans="1:9" x14ac:dyDescent="0.4">
      <c r="A194" t="str">
        <f>"いこいこゴルフ情報誌"</f>
        <v>いこいこゴルフ情報誌</v>
      </c>
      <c r="B194" s="1" t="str">
        <f t="shared" si="9"/>
        <v>いこいこゴルフ情報誌</v>
      </c>
      <c r="C194" t="str">
        <f>"イコイコ ゴルフ ジョウホウシ"</f>
        <v>イコイコ ゴルフ ジョウホウシ</v>
      </c>
      <c r="D194" t="str">
        <f>"クリエーティブデザインセンターCDC"</f>
        <v>クリエーティブデザインセンターCDC</v>
      </c>
      <c r="E194" t="str">
        <f>"クリエーティブ デザイン センター シー ディー シー"</f>
        <v>クリエーティブ デザイン センター シー ディー シー</v>
      </c>
      <c r="F194" t="str">
        <f>"高松"</f>
        <v>高松</v>
      </c>
      <c r="G194" t="str">
        <f>"隔月刊"</f>
        <v>隔月刊</v>
      </c>
      <c r="H194" t="str">
        <f>"2002222333907"</f>
        <v>2002222333907</v>
      </c>
      <c r="I194" t="str">
        <f>HYPERLINK("#", "https://opac.libnet.pref.okayama.jp/licsxp-opac/WOpacMsgNewListToTifTilDetailAction.do?tilcod=2002222333907")</f>
        <v>https://opac.libnet.pref.okayama.jp/licsxp-opac/WOpacMsgNewListToTifTilDetailAction.do?tilcod=2002222333907</v>
      </c>
    </row>
    <row r="195" spans="1:9" x14ac:dyDescent="0.4">
      <c r="A195" t="str">
        <f>"井高図書館報"</f>
        <v>井高図書館報</v>
      </c>
      <c r="B195" s="1" t="str">
        <f t="shared" si="9"/>
        <v>井高図書館報</v>
      </c>
      <c r="C195" t="str">
        <f>"イコウ　トショカンポウ"</f>
        <v>イコウ　トショカンポウ</v>
      </c>
      <c r="D195" t="str">
        <f>"井原高等学校図書委員会"</f>
        <v>井原高等学校図書委員会</v>
      </c>
      <c r="E195" t="str">
        <f>"イバラコウトウガッコウトショイインカイ"</f>
        <v>イバラコウトウガッコウトショイインカイ</v>
      </c>
      <c r="F195" t="str">
        <f>"井原"</f>
        <v>井原</v>
      </c>
      <c r="G195" t="str">
        <f>"年刊"</f>
        <v>年刊</v>
      </c>
      <c r="H195" t="str">
        <f>"2002222301783"</f>
        <v>2002222301783</v>
      </c>
      <c r="I195" t="str">
        <f>HYPERLINK("#", "https://opac.libnet.pref.okayama.jp/licsxp-opac/WOpacMsgNewListToTifTilDetailAction.do?tilcod=2002222301783")</f>
        <v>https://opac.libnet.pref.okayama.jp/licsxp-opac/WOpacMsgNewListToTifTilDetailAction.do?tilcod=2002222301783</v>
      </c>
    </row>
    <row r="196" spans="1:9" x14ac:dyDescent="0.4">
      <c r="A196" t="str">
        <f>"いさお新聞"</f>
        <v>いさお新聞</v>
      </c>
      <c r="B196" s="1" t="str">
        <f t="shared" ref="B196:B259" si="11">HYPERLINK("#", A196)</f>
        <v>いさお新聞</v>
      </c>
      <c r="C196" t="str">
        <f>"イサオ　シンブン"</f>
        <v>イサオ　シンブン</v>
      </c>
      <c r="D196" t="str">
        <f>"岡山県遺族連盟"</f>
        <v>岡山県遺族連盟</v>
      </c>
      <c r="E196" t="str">
        <f>"オカヤマケンイゾクレンメイ"</f>
        <v>オカヤマケンイゾクレンメイ</v>
      </c>
      <c r="F196" t="str">
        <f>"岡山"</f>
        <v>岡山</v>
      </c>
      <c r="G196" t="str">
        <f>"月刊"</f>
        <v>月刊</v>
      </c>
      <c r="H196" t="str">
        <f>"2002222300777"</f>
        <v>2002222300777</v>
      </c>
      <c r="I196" t="str">
        <f>HYPERLINK("#", "https://opac.libnet.pref.okayama.jp/licsxp-opac/WOpacMsgNewListToTifTilDetailAction.do?tilcod=2002222300777")</f>
        <v>https://opac.libnet.pref.okayama.jp/licsxp-opac/WOpacMsgNewListToTifTilDetailAction.do?tilcod=2002222300777</v>
      </c>
    </row>
    <row r="197" spans="1:9" x14ac:dyDescent="0.4">
      <c r="A197" t="str">
        <f>"石"</f>
        <v>石</v>
      </c>
      <c r="B197" s="1" t="str">
        <f t="shared" si="11"/>
        <v>石</v>
      </c>
      <c r="C197" t="str">
        <f>"イシ"</f>
        <v>イシ</v>
      </c>
      <c r="D197" t="str">
        <f>"倉敷愛石会"</f>
        <v>倉敷愛石会</v>
      </c>
      <c r="E197" t="str">
        <f>"クラシキアイセキカイ"</f>
        <v>クラシキアイセキカイ</v>
      </c>
      <c r="F197" t="str">
        <f>"倉敷"</f>
        <v>倉敷</v>
      </c>
      <c r="G197" t="str">
        <f>"年刊"</f>
        <v>年刊</v>
      </c>
      <c r="H197" t="str">
        <f>"2002222302442"</f>
        <v>2002222302442</v>
      </c>
      <c r="I197" t="str">
        <f>HYPERLINK("#", "https://opac.libnet.pref.okayama.jp/licsxp-opac/WOpacMsgNewListToTifTilDetailAction.do?tilcod=2002222302442")</f>
        <v>https://opac.libnet.pref.okayama.jp/licsxp-opac/WOpacMsgNewListToTifTilDetailAction.do?tilcod=2002222302442</v>
      </c>
    </row>
    <row r="198" spans="1:9" x14ac:dyDescent="0.4">
      <c r="A198" t="str">
        <f>"医事月報"</f>
        <v>医事月報</v>
      </c>
      <c r="B198" s="1" t="str">
        <f t="shared" si="11"/>
        <v>医事月報</v>
      </c>
      <c r="C198" t="str">
        <f>"イジ　ゲッポウ"</f>
        <v>イジ　ゲッポウ</v>
      </c>
      <c r="D198" t="str">
        <f>"岡山県病院協会"</f>
        <v>岡山県病院協会</v>
      </c>
      <c r="E198" t="str">
        <f>"オカヤマケンビョウインキョウカイ"</f>
        <v>オカヤマケンビョウインキョウカイ</v>
      </c>
      <c r="F198" t="str">
        <f>""</f>
        <v/>
      </c>
      <c r="G198" t="str">
        <f>"頻度不明"</f>
        <v>頻度不明</v>
      </c>
      <c r="H198" t="str">
        <f>"2002222287351"</f>
        <v>2002222287351</v>
      </c>
      <c r="I198" t="str">
        <f>HYPERLINK("#", "https://opac.libnet.pref.okayama.jp/licsxp-opac/WOpacMsgNewListToTifTilDetailAction.do?tilcod=2002222287351")</f>
        <v>https://opac.libnet.pref.okayama.jp/licsxp-opac/WOpacMsgNewListToTifTilDetailAction.do?tilcod=2002222287351</v>
      </c>
    </row>
    <row r="199" spans="1:9" x14ac:dyDescent="0.4">
      <c r="A199" t="str">
        <f>"石井十次資料館研究紀要"</f>
        <v>石井十次資料館研究紀要</v>
      </c>
      <c r="B199" s="1" t="str">
        <f t="shared" si="11"/>
        <v>石井十次資料館研究紀要</v>
      </c>
      <c r="C199" t="str">
        <f>"イシイ　ジュウジ　シリョウカン　ケンキュウ　キヨウ"</f>
        <v>イシイ　ジュウジ　シリョウカン　ケンキュウ　キヨウ</v>
      </c>
      <c r="D199" t="str">
        <f>"石井記念友愛社"</f>
        <v>石井記念友愛社</v>
      </c>
      <c r="E199" t="str">
        <f>"イシイキネンユウアイシャ"</f>
        <v>イシイキネンユウアイシャ</v>
      </c>
      <c r="F199" t="str">
        <f>"木城町（宮崎県）"</f>
        <v>木城町（宮崎県）</v>
      </c>
      <c r="G199" t="str">
        <f>"年刊"</f>
        <v>年刊</v>
      </c>
      <c r="H199" t="str">
        <f>"2002222284561"</f>
        <v>2002222284561</v>
      </c>
      <c r="I199" t="str">
        <f>HYPERLINK("#", "https://opac.libnet.pref.okayama.jp/licsxp-opac/WOpacMsgNewListToTifTilDetailAction.do?tilcod=2002222284561")</f>
        <v>https://opac.libnet.pref.okayama.jp/licsxp-opac/WOpacMsgNewListToTifTilDetailAction.do?tilcod=2002222284561</v>
      </c>
    </row>
    <row r="200" spans="1:9" x14ac:dyDescent="0.4">
      <c r="A200" t="str">
        <f>"礎；丈夫題"</f>
        <v>礎；丈夫題</v>
      </c>
      <c r="B200" s="1" t="str">
        <f t="shared" si="11"/>
        <v>礎；丈夫題</v>
      </c>
      <c r="C200" t="str">
        <f>"イシズエ＊ジョウブダイ"</f>
        <v>イシズエ＊ジョウブダイ</v>
      </c>
      <c r="D200" t="str">
        <f>"高陽村男女青年団本部"</f>
        <v>高陽村男女青年団本部</v>
      </c>
      <c r="E200" t="str">
        <f>"コウヨウソンダンジョセイネンダンホンブ"</f>
        <v>コウヨウソンダンジョセイネンダンホンブ</v>
      </c>
      <c r="F200" t="str">
        <f>"高陽村（赤磐郡）"</f>
        <v>高陽村（赤磐郡）</v>
      </c>
      <c r="G200" t="str">
        <f>"頻度不明"</f>
        <v>頻度不明</v>
      </c>
      <c r="H200" t="str">
        <f>"2002222301376"</f>
        <v>2002222301376</v>
      </c>
      <c r="I200" t="str">
        <f>HYPERLINK("#", "https://opac.libnet.pref.okayama.jp/licsxp-opac/WOpacMsgNewListToTifTilDetailAction.do?tilcod=2002222301376")</f>
        <v>https://opac.libnet.pref.okayama.jp/licsxp-opac/WOpacMsgNewListToTifTilDetailAction.do?tilcod=2002222301376</v>
      </c>
    </row>
    <row r="201" spans="1:9" x14ac:dyDescent="0.4">
      <c r="A201" t="str">
        <f>"いしぶみ"</f>
        <v>いしぶみ</v>
      </c>
      <c r="B201" s="1" t="str">
        <f t="shared" si="11"/>
        <v>いしぶみ</v>
      </c>
      <c r="C201" t="str">
        <f>"イシブミ"</f>
        <v>イシブミ</v>
      </c>
      <c r="D201" t="str">
        <f>"碑短歌会"</f>
        <v>碑短歌会</v>
      </c>
      <c r="E201" t="str">
        <f>"イシブミタンカカイ"</f>
        <v>イシブミタンカカイ</v>
      </c>
      <c r="F201" t="str">
        <f>"岡山"</f>
        <v>岡山</v>
      </c>
      <c r="G201" t="str">
        <f>"頻度不明"</f>
        <v>頻度不明</v>
      </c>
      <c r="H201" t="str">
        <f>"2002222287361"</f>
        <v>2002222287361</v>
      </c>
      <c r="I201" t="str">
        <f>HYPERLINK("#", "https://opac.libnet.pref.okayama.jp/licsxp-opac/WOpacMsgNewListToTifTilDetailAction.do?tilcod=2002222287361")</f>
        <v>https://opac.libnet.pref.okayama.jp/licsxp-opac/WOpacMsgNewListToTifTilDetailAction.do?tilcod=2002222287361</v>
      </c>
    </row>
    <row r="202" spans="1:9" x14ac:dyDescent="0.4">
      <c r="A202" t="str">
        <f>"石山"</f>
        <v>石山</v>
      </c>
      <c r="B202" s="1" t="str">
        <f t="shared" si="11"/>
        <v>石山</v>
      </c>
      <c r="C202" t="str">
        <f>"イシヤマ"</f>
        <v>イシヤマ</v>
      </c>
      <c r="D202" t="str">
        <f>"岡山市立内山下小学校ＰＴＡ文化部"</f>
        <v>岡山市立内山下小学校ＰＴＡ文化部</v>
      </c>
      <c r="E202" t="str">
        <f>"オカヤマシリツウチサンゲショウガッコウピーティーエーブンカブ"</f>
        <v>オカヤマシリツウチサンゲショウガッコウピーティーエーブンカブ</v>
      </c>
      <c r="F202" t="str">
        <f>"岡山"</f>
        <v>岡山</v>
      </c>
      <c r="G202" t="str">
        <f>"頻度不明"</f>
        <v>頻度不明</v>
      </c>
      <c r="H202" t="str">
        <f>"2002222300778"</f>
        <v>2002222300778</v>
      </c>
      <c r="I202" t="str">
        <f>HYPERLINK("#", "https://opac.libnet.pref.okayama.jp/licsxp-opac/WOpacMsgNewListToTifTilDetailAction.do?tilcod=2002222300778")</f>
        <v>https://opac.libnet.pref.okayama.jp/licsxp-opac/WOpacMsgNewListToTifTilDetailAction.do?tilcod=2002222300778</v>
      </c>
    </row>
    <row r="203" spans="1:9" x14ac:dyDescent="0.4">
      <c r="A203" t="str">
        <f>"異常気象速報"</f>
        <v>異常気象速報</v>
      </c>
      <c r="B203" s="1" t="str">
        <f t="shared" si="11"/>
        <v>異常気象速報</v>
      </c>
      <c r="C203" t="str">
        <f>"イジョウ　キショウ　ソクホウ"</f>
        <v>イジョウ　キショウ　ソクホウ</v>
      </c>
      <c r="D203" t="str">
        <f>"岡山地方気象台"</f>
        <v>岡山地方気象台</v>
      </c>
      <c r="E203" t="str">
        <f>"オカヤマチホウキショウダイ"</f>
        <v>オカヤマチホウキショウダイ</v>
      </c>
      <c r="F203" t="str">
        <f>""</f>
        <v/>
      </c>
      <c r="G203" t="str">
        <f>"頻度不明"</f>
        <v>頻度不明</v>
      </c>
      <c r="H203" t="str">
        <f>"2002222289101"</f>
        <v>2002222289101</v>
      </c>
      <c r="I203" t="str">
        <f>HYPERLINK("#", "https://opac.libnet.pref.okayama.jp/licsxp-opac/WOpacMsgNewListToTifTilDetailAction.do?tilcod=2002222289101")</f>
        <v>https://opac.libnet.pref.okayama.jp/licsxp-opac/WOpacMsgNewListToTifTilDetailAction.do?tilcod=2002222289101</v>
      </c>
    </row>
    <row r="204" spans="1:9" x14ac:dyDescent="0.4">
      <c r="A204" t="str">
        <f>"異常気象報告"</f>
        <v>異常気象報告</v>
      </c>
      <c r="B204" s="1" t="str">
        <f t="shared" si="11"/>
        <v>異常気象報告</v>
      </c>
      <c r="C204" t="str">
        <f>"イジョウ　キショウ　ホウコク"</f>
        <v>イジョウ　キショウ　ホウコク</v>
      </c>
      <c r="D204" t="str">
        <f>"岡山県防災気象連絡会"</f>
        <v>岡山県防災気象連絡会</v>
      </c>
      <c r="E204" t="str">
        <f>"オカヤマケンボウサイキショウレンラクカイ"</f>
        <v>オカヤマケンボウサイキショウレンラクカイ</v>
      </c>
      <c r="F204" t="str">
        <f>""</f>
        <v/>
      </c>
      <c r="G204" t="str">
        <f>"頻度不明"</f>
        <v>頻度不明</v>
      </c>
      <c r="H204" t="str">
        <f>"2002222289091"</f>
        <v>2002222289091</v>
      </c>
      <c r="I204" t="str">
        <f>HYPERLINK("#", "https://opac.libnet.pref.okayama.jp/licsxp-opac/WOpacMsgNewListToTifTilDetailAction.do?tilcod=2002222289091")</f>
        <v>https://opac.libnet.pref.okayama.jp/licsxp-opac/WOpacMsgNewListToTifTilDetailAction.do?tilcod=2002222289091</v>
      </c>
    </row>
    <row r="205" spans="1:9" x14ac:dyDescent="0.4">
      <c r="A205" t="str">
        <f>"囲繞地；詩と詩編"</f>
        <v>囲繞地；詩と詩編</v>
      </c>
      <c r="B205" s="1" t="str">
        <f t="shared" si="11"/>
        <v>囲繞地；詩と詩編</v>
      </c>
      <c r="C205" t="str">
        <f>"イジョウチ＊シ　ト　シヘン"</f>
        <v>イジョウチ＊シ　ト　シヘン</v>
      </c>
      <c r="D205" t="str">
        <f>"知覚社"</f>
        <v>知覚社</v>
      </c>
      <c r="E205" t="str">
        <f>"チカクシャ"</f>
        <v>チカクシャ</v>
      </c>
      <c r="F205" t="str">
        <f>"岡山"</f>
        <v>岡山</v>
      </c>
      <c r="G205" t="str">
        <f>"季刊"</f>
        <v>季刊</v>
      </c>
      <c r="H205" t="str">
        <f>"2002222289111"</f>
        <v>2002222289111</v>
      </c>
      <c r="I205" t="str">
        <f>HYPERLINK("#", "https://opac.libnet.pref.okayama.jp/licsxp-opac/WOpacMsgNewListToTifTilDetailAction.do?tilcod=2002222289111")</f>
        <v>https://opac.libnet.pref.okayama.jp/licsxp-opac/WOpacMsgNewListToTifTilDetailAction.do?tilcod=2002222289111</v>
      </c>
    </row>
    <row r="206" spans="1:9" x14ac:dyDescent="0.4">
      <c r="A206" t="str">
        <f>"Izushi Shikata Oomoto 通信；出石・鹿田・大元 人も地域もつながろう 公民館通信"</f>
        <v>Izushi Shikata Oomoto 通信；出石・鹿田・大元 人も地域もつながろう 公民館通信</v>
      </c>
      <c r="B206" s="1" t="str">
        <f t="shared" si="11"/>
        <v>Izushi Shikata Oomoto 通信；出石・鹿田・大元 人も地域もつながろう 公民館通信</v>
      </c>
      <c r="C206" t="str">
        <f>"イズシ シカタ オオモト ツウシン＊イズシ シカタ オオモト ヒト モ チイキ モ ツナガロウ コウミンカン ツウシン"</f>
        <v>イズシ シカタ オオモト ツウシン＊イズシ シカタ オオモト ヒト モ チイキ モ ツナガロウ コウミンカン ツウシン</v>
      </c>
      <c r="D206" t="str">
        <f>"岡山市立大元公民館"</f>
        <v>岡山市立大元公民館</v>
      </c>
      <c r="E206" t="str">
        <f>"オカヤマシリツ オオモト コウミンカン"</f>
        <v>オカヤマシリツ オオモト コウミンカン</v>
      </c>
      <c r="F206" t="str">
        <f>"岡山"</f>
        <v>岡山</v>
      </c>
      <c r="G206" t="str">
        <f>"隔月刊"</f>
        <v>隔月刊</v>
      </c>
      <c r="H206" t="str">
        <f>"2002222341384"</f>
        <v>2002222341384</v>
      </c>
      <c r="I206" t="str">
        <f>HYPERLINK("#", "https://opac.libnet.pref.okayama.jp/licsxp-opac/WOpacMsgNewListToTifTilDetailAction.do?tilcod=2002222341384")</f>
        <v>https://opac.libnet.pref.okayama.jp/licsxp-opac/WOpacMsgNewListToTifTilDetailAction.do?tilcod=2002222341384</v>
      </c>
    </row>
    <row r="207" spans="1:9" x14ac:dyDescent="0.4">
      <c r="A207" t="str">
        <f>"いづしんぶん"</f>
        <v>いづしんぶん</v>
      </c>
      <c r="B207" s="1" t="str">
        <f t="shared" si="11"/>
        <v>いづしんぶん</v>
      </c>
      <c r="C207" t="str">
        <f>"イズシンブン"</f>
        <v>イズシンブン</v>
      </c>
      <c r="D207" t="str">
        <f>"出石アートワールド"</f>
        <v>出石アートワールド</v>
      </c>
      <c r="E207" t="str">
        <f>"イズシ アートワールド"</f>
        <v>イズシ アートワールド</v>
      </c>
      <c r="F207" t="str">
        <f>""</f>
        <v/>
      </c>
      <c r="G207" t="str">
        <f>"隔月刊"</f>
        <v>隔月刊</v>
      </c>
      <c r="H207" t="str">
        <f>"2002222302183"</f>
        <v>2002222302183</v>
      </c>
      <c r="I207" t="str">
        <f>HYPERLINK("#", "https://opac.libnet.pref.okayama.jp/licsxp-opac/WOpacMsgNewListToTifTilDetailAction.do?tilcod=2002222302183")</f>
        <v>https://opac.libnet.pref.okayama.jp/licsxp-opac/WOpacMsgNewListToTifTilDetailAction.do?tilcod=2002222302183</v>
      </c>
    </row>
    <row r="208" spans="1:9" x14ac:dyDescent="0.4">
      <c r="A208" t="str">
        <f>"いづしんぶんヌーボー"</f>
        <v>いづしんぶんヌーボー</v>
      </c>
      <c r="B208" s="1" t="str">
        <f t="shared" si="11"/>
        <v>いづしんぶんヌーボー</v>
      </c>
      <c r="C208" t="str">
        <f>"イズシンブン ヌーボー"</f>
        <v>イズシンブン ヌーボー</v>
      </c>
      <c r="D208" t="str">
        <f>"出石アートワールド"</f>
        <v>出石アートワールド</v>
      </c>
      <c r="E208" t="str">
        <f>"イズシ アートワールド"</f>
        <v>イズシ アートワールド</v>
      </c>
      <c r="F208" t="str">
        <f>""</f>
        <v/>
      </c>
      <c r="G208" t="str">
        <f>"季刊"</f>
        <v>季刊</v>
      </c>
      <c r="H208" t="str">
        <f>"2002222307052"</f>
        <v>2002222307052</v>
      </c>
      <c r="I208" t="str">
        <f>HYPERLINK("#", "https://opac.libnet.pref.okayama.jp/licsxp-opac/WOpacMsgNewListToTifTilDetailAction.do?tilcod=2002222307052")</f>
        <v>https://opac.libnet.pref.okayama.jp/licsxp-opac/WOpacMsgNewListToTifTilDetailAction.do?tilcod=2002222307052</v>
      </c>
    </row>
    <row r="209" spans="1:9" x14ac:dyDescent="0.4">
      <c r="A209" t="str">
        <f>"いずみ"</f>
        <v>いずみ</v>
      </c>
      <c r="B209" s="1" t="str">
        <f t="shared" si="11"/>
        <v>いずみ</v>
      </c>
      <c r="C209" t="str">
        <f>"イズミ"</f>
        <v>イズミ</v>
      </c>
      <c r="D209" t="str">
        <f>"岡山ランドリーいずみ会"</f>
        <v>岡山ランドリーいずみ会</v>
      </c>
      <c r="E209" t="str">
        <f>"オカヤマランドリーイズミカイ"</f>
        <v>オカヤマランドリーイズミカイ</v>
      </c>
      <c r="F209" t="str">
        <f>""</f>
        <v/>
      </c>
      <c r="G209" t="str">
        <f>"頻度不明"</f>
        <v>頻度不明</v>
      </c>
      <c r="H209" t="str">
        <f>"2002222287381"</f>
        <v>2002222287381</v>
      </c>
      <c r="I209" t="str">
        <f>HYPERLINK("#", "https://opac.libnet.pref.okayama.jp/licsxp-opac/WOpacMsgNewListToTifTilDetailAction.do?tilcod=2002222287381")</f>
        <v>https://opac.libnet.pref.okayama.jp/licsxp-opac/WOpacMsgNewListToTifTilDetailAction.do?tilcod=2002222287381</v>
      </c>
    </row>
    <row r="210" spans="1:9" x14ac:dyDescent="0.4">
      <c r="A210" t="str">
        <f>"いづみ"</f>
        <v>いづみ</v>
      </c>
      <c r="B210" s="1" t="str">
        <f t="shared" si="11"/>
        <v>いづみ</v>
      </c>
      <c r="C210" t="str">
        <f>"イズミ"</f>
        <v>イズミ</v>
      </c>
      <c r="D210" t="str">
        <f>"鐘紡西大寺工場文化教養委員会文芸部"</f>
        <v>鐘紡西大寺工場文化教養委員会文芸部</v>
      </c>
      <c r="E210" t="str">
        <f>"カネボウサイダイジコウジョウブンカキョウヨウイインカイブンゲイブ"</f>
        <v>カネボウサイダイジコウジョウブンカキョウヨウイインカイブンゲイブ</v>
      </c>
      <c r="F210" t="str">
        <f>""</f>
        <v/>
      </c>
      <c r="G210" t="str">
        <f>"頻度不明"</f>
        <v>頻度不明</v>
      </c>
      <c r="H210" t="str">
        <f>"2002222287431"</f>
        <v>2002222287431</v>
      </c>
      <c r="I210" t="str">
        <f>HYPERLINK("#", "https://opac.libnet.pref.okayama.jp/licsxp-opac/WOpacMsgNewListToTifTilDetailAction.do?tilcod=2002222287431")</f>
        <v>https://opac.libnet.pref.okayama.jp/licsxp-opac/WOpacMsgNewListToTifTilDetailAction.do?tilcod=2002222287431</v>
      </c>
    </row>
    <row r="211" spans="1:9" x14ac:dyDescent="0.4">
      <c r="A211" t="str">
        <f>"泉"</f>
        <v>泉</v>
      </c>
      <c r="B211" s="1" t="str">
        <f t="shared" si="11"/>
        <v>泉</v>
      </c>
      <c r="C211" t="str">
        <f>"イズミ"</f>
        <v>イズミ</v>
      </c>
      <c r="D211" t="str">
        <f>"備前町婦人会西鶴山分会"</f>
        <v>備前町婦人会西鶴山分会</v>
      </c>
      <c r="E211" t="str">
        <f>"ビゼンチョウ フジンカイ ニシツルヤマ ブンカイ"</f>
        <v>ビゼンチョウ フジンカイ ニシツルヤマ ブンカイ</v>
      </c>
      <c r="F211" t="str">
        <f>""</f>
        <v/>
      </c>
      <c r="G211" t="str">
        <f>"頻度不明"</f>
        <v>頻度不明</v>
      </c>
      <c r="H211" t="str">
        <f>"2002222322028"</f>
        <v>2002222322028</v>
      </c>
      <c r="I211" t="str">
        <f>HYPERLINK("#", "https://opac.libnet.pref.okayama.jp/licsxp-opac/WOpacMsgNewListToTifTilDetailAction.do?tilcod=2002222322028")</f>
        <v>https://opac.libnet.pref.okayama.jp/licsxp-opac/WOpacMsgNewListToTifTilDetailAction.do?tilcod=2002222322028</v>
      </c>
    </row>
    <row r="212" spans="1:9" x14ac:dyDescent="0.4">
      <c r="A212" t="str">
        <f>"いずみ"</f>
        <v>いずみ</v>
      </c>
      <c r="B212" s="1" t="str">
        <f t="shared" si="11"/>
        <v>いずみ</v>
      </c>
      <c r="C212" t="str">
        <f>"イズミ"</f>
        <v>イズミ</v>
      </c>
      <c r="D212" t="str">
        <f>"加計学園"</f>
        <v>加計学園</v>
      </c>
      <c r="E212" t="str">
        <f>"カケ ガクエン"</f>
        <v>カケ ガクエン</v>
      </c>
      <c r="F212" t="str">
        <f>""</f>
        <v/>
      </c>
      <c r="G212" t="str">
        <f>"年２回刊"</f>
        <v>年２回刊</v>
      </c>
      <c r="H212" t="str">
        <f>"2002222332428"</f>
        <v>2002222332428</v>
      </c>
      <c r="I212" t="str">
        <f>HYPERLINK("#", "https://opac.libnet.pref.okayama.jp/licsxp-opac/WOpacMsgNewListToTifTilDetailAction.do?tilcod=2002222332428")</f>
        <v>https://opac.libnet.pref.okayama.jp/licsxp-opac/WOpacMsgNewListToTifTilDetailAction.do?tilcod=2002222332428</v>
      </c>
    </row>
    <row r="213" spans="1:9" x14ac:dyDescent="0.4">
      <c r="A213" t="str">
        <f>"泉婦人会会報"</f>
        <v>泉婦人会会報</v>
      </c>
      <c r="B213" s="1" t="str">
        <f t="shared" si="11"/>
        <v>泉婦人会会報</v>
      </c>
      <c r="C213" t="str">
        <f>"イズミ　フジンカイ　カイホウ"</f>
        <v>イズミ　フジンカイ　カイホウ</v>
      </c>
      <c r="D213" t="str">
        <f>"奥津町泉地区婦人会文化部"</f>
        <v>奥津町泉地区婦人会文化部</v>
      </c>
      <c r="E213" t="str">
        <f>"オクツチョウイズミチクフジンカイブンカブ"</f>
        <v>オクツチョウイズミチクフジンカイブンカブ</v>
      </c>
      <c r="F213" t="str">
        <f>"奥津町（苫田郡）"</f>
        <v>奥津町（苫田郡）</v>
      </c>
      <c r="G213" t="str">
        <f>"頻度不明"</f>
        <v>頻度不明</v>
      </c>
      <c r="H213" t="str">
        <f>"2002222287391"</f>
        <v>2002222287391</v>
      </c>
      <c r="I213" t="str">
        <f>HYPERLINK("#", "https://opac.libnet.pref.okayama.jp/licsxp-opac/WOpacMsgNewListToTifTilDetailAction.do?tilcod=2002222287391")</f>
        <v>https://opac.libnet.pref.okayama.jp/licsxp-opac/WOpacMsgNewListToTifTilDetailAction.do?tilcod=2002222287391</v>
      </c>
    </row>
    <row r="214" spans="1:9" x14ac:dyDescent="0.4">
      <c r="A214" t="str">
        <f>"遺跡"</f>
        <v>遺跡</v>
      </c>
      <c r="B214" s="1" t="str">
        <f t="shared" si="11"/>
        <v>遺跡</v>
      </c>
      <c r="C214" t="str">
        <f>"イセキ"</f>
        <v>イセキ</v>
      </c>
      <c r="D214" t="str">
        <f>"倉敷考古館研究部"</f>
        <v>倉敷考古館研究部</v>
      </c>
      <c r="E214" t="str">
        <f>"クラシキ コウコカン ケンキュウブ"</f>
        <v>クラシキ コウコカン ケンキュウブ</v>
      </c>
      <c r="F214" t="str">
        <f>""</f>
        <v/>
      </c>
      <c r="G214" t="str">
        <f>"頻度不明"</f>
        <v>頻度不明</v>
      </c>
      <c r="H214" t="str">
        <f>"2002222287401"</f>
        <v>2002222287401</v>
      </c>
      <c r="I214" t="str">
        <f>HYPERLINK("#", "https://opac.libnet.pref.okayama.jp/licsxp-opac/WOpacMsgNewListToTifTilDetailAction.do?tilcod=2002222287401")</f>
        <v>https://opac.libnet.pref.okayama.jp/licsxp-opac/WOpacMsgNewListToTifTilDetailAction.do?tilcod=2002222287401</v>
      </c>
    </row>
    <row r="215" spans="1:9" x14ac:dyDescent="0.4">
      <c r="A215" t="str">
        <f>"いた古"</f>
        <v>いた古</v>
      </c>
      <c r="B215" s="1" t="str">
        <f t="shared" si="11"/>
        <v>いた古</v>
      </c>
      <c r="C215" t="str">
        <f>"イタコ"</f>
        <v>イタコ</v>
      </c>
      <c r="D215" t="str">
        <f>"八生会"</f>
        <v>八生会</v>
      </c>
      <c r="E215" t="str">
        <f>"ハッショウカイ"</f>
        <v>ハッショウカイ</v>
      </c>
      <c r="F215" t="str">
        <f>""</f>
        <v/>
      </c>
      <c r="G215" t="str">
        <f>"頻度不明"</f>
        <v>頻度不明</v>
      </c>
      <c r="H215" t="str">
        <f>"2002222289121"</f>
        <v>2002222289121</v>
      </c>
      <c r="I215" t="str">
        <f>HYPERLINK("#", "https://opac.libnet.pref.okayama.jp/licsxp-opac/WOpacMsgNewListToTifTilDetailAction.do?tilcod=2002222289121")</f>
        <v>https://opac.libnet.pref.okayama.jp/licsxp-opac/WOpacMsgNewListToTifTilDetailAction.do?tilcod=2002222289121</v>
      </c>
    </row>
    <row r="216" spans="1:9" x14ac:dyDescent="0.4">
      <c r="A216" t="str">
        <f>"119にいみ；消防広報誌"</f>
        <v>119にいみ；消防広報誌</v>
      </c>
      <c r="B216" s="1" t="str">
        <f t="shared" si="11"/>
        <v>119にいみ；消防広報誌</v>
      </c>
      <c r="C216" t="str">
        <f>"イチイチキュウ ニイミ"</f>
        <v>イチイチキュウ ニイミ</v>
      </c>
      <c r="D216" t="str">
        <f>"新見市消防本部"</f>
        <v>新見市消防本部</v>
      </c>
      <c r="E216" t="str">
        <f>"ニイミシ ショウボウ ホンブ"</f>
        <v>ニイミシ ショウボウ ホンブ</v>
      </c>
      <c r="F216" t="str">
        <f>"新見"</f>
        <v>新見</v>
      </c>
      <c r="G216" t="str">
        <f>"頻度不明"</f>
        <v>頻度不明</v>
      </c>
      <c r="H216" t="str">
        <f>"2002222307529"</f>
        <v>2002222307529</v>
      </c>
      <c r="I216" t="str">
        <f>HYPERLINK("#", "https://opac.libnet.pref.okayama.jp/licsxp-opac/WOpacMsgNewListToTifTilDetailAction.do?tilcod=2002222307529")</f>
        <v>https://opac.libnet.pref.okayama.jp/licsxp-opac/WOpacMsgNewListToTifTilDetailAction.do?tilcod=2002222307529</v>
      </c>
    </row>
    <row r="217" spans="1:9" x14ac:dyDescent="0.4">
      <c r="A217" t="str">
        <f>"一隅を照らす"</f>
        <v>一隅を照らす</v>
      </c>
      <c r="B217" s="1" t="str">
        <f t="shared" si="11"/>
        <v>一隅を照らす</v>
      </c>
      <c r="C217" t="str">
        <f>"イチグウ　オ　テラス"</f>
        <v>イチグウ　オ　テラス</v>
      </c>
      <c r="D217" t="str">
        <f>"竜泉寺"</f>
        <v>竜泉寺</v>
      </c>
      <c r="E217" t="str">
        <f>"リュウセンジ"</f>
        <v>リュウセンジ</v>
      </c>
      <c r="F217" t="str">
        <f>"成羽町（川上郡）"</f>
        <v>成羽町（川上郡）</v>
      </c>
      <c r="G217" t="str">
        <f>"季刊"</f>
        <v>季刊</v>
      </c>
      <c r="H217" t="str">
        <f>"2002222287411"</f>
        <v>2002222287411</v>
      </c>
      <c r="I217" t="str">
        <f>HYPERLINK("#", "https://opac.libnet.pref.okayama.jp/licsxp-opac/WOpacMsgNewListToTifTilDetailAction.do?tilcod=2002222287411")</f>
        <v>https://opac.libnet.pref.okayama.jp/licsxp-opac/WOpacMsgNewListToTifTilDetailAction.do?tilcod=2002222287411</v>
      </c>
    </row>
    <row r="218" spans="1:9" x14ac:dyDescent="0.4">
      <c r="A218" t="str">
        <f>"市高の一年"</f>
        <v>市高の一年</v>
      </c>
      <c r="B218" s="1" t="str">
        <f t="shared" si="11"/>
        <v>市高の一年</v>
      </c>
      <c r="C218" t="str">
        <f>"イチコウ　ノ　イチネン"</f>
        <v>イチコウ　ノ　イチネン</v>
      </c>
      <c r="D218" t="str">
        <f>"井原市立高等学校"</f>
        <v>井原市立高等学校</v>
      </c>
      <c r="E218" t="str">
        <f>"イバラシリツ コウトウ ガッコウ"</f>
        <v>イバラシリツ コウトウ ガッコウ</v>
      </c>
      <c r="F218" t="str">
        <f>"井原"</f>
        <v>井原</v>
      </c>
      <c r="G218" t="str">
        <f>"年刊"</f>
        <v>年刊</v>
      </c>
      <c r="H218" t="str">
        <f>"2002222300726"</f>
        <v>2002222300726</v>
      </c>
      <c r="I218" t="str">
        <f>HYPERLINK("#", "https://opac.libnet.pref.okayama.jp/licsxp-opac/WOpacMsgNewListToTifTilDetailAction.do?tilcod=2002222300726")</f>
        <v>https://opac.libnet.pref.okayama.jp/licsxp-opac/WOpacMsgNewListToTifTilDetailAction.do?tilcod=2002222300726</v>
      </c>
    </row>
    <row r="219" spans="1:9" x14ac:dyDescent="0.4">
      <c r="A219" t="str">
        <f>"[無花果高等学園学校案内]；SCHOOL GUIDE"</f>
        <v>[無花果高等学園学校案内]；SCHOOL GUIDE</v>
      </c>
      <c r="B219" s="1" t="str">
        <f t="shared" si="11"/>
        <v>[無花果高等学園学校案内]；SCHOOL GUIDE</v>
      </c>
      <c r="C219" t="str">
        <f>"イチジク コウトウ ガクエン ガッコウ アンナイ＊スクール ガイド"</f>
        <v>イチジク コウトウ ガクエン ガッコウ アンナイ＊スクール ガイド</v>
      </c>
      <c r="D219" t="str">
        <f>"無花果高等学園"</f>
        <v>無花果高等学園</v>
      </c>
      <c r="E219" t="str">
        <f>"イチジク コウトウ ガクエン"</f>
        <v>イチジク コウトウ ガクエン</v>
      </c>
      <c r="F219" t="str">
        <f>"岡山"</f>
        <v>岡山</v>
      </c>
      <c r="G219" t="str">
        <f>"年刊"</f>
        <v>年刊</v>
      </c>
      <c r="H219" t="str">
        <f>"2002222342890"</f>
        <v>2002222342890</v>
      </c>
      <c r="I219" t="str">
        <f>HYPERLINK("#", "https://opac.libnet.pref.okayama.jp/licsxp-opac/WOpacMsgNewListToTifTilDetailAction.do?tilcod=2002222342890")</f>
        <v>https://opac.libnet.pref.okayama.jp/licsxp-opac/WOpacMsgNewListToTifTilDetailAction.do?tilcod=2002222342890</v>
      </c>
    </row>
    <row r="220" spans="1:9" x14ac:dyDescent="0.4">
      <c r="A220" t="str">
        <f>"いちのみや；一宮公民館だより"</f>
        <v>いちのみや；一宮公民館だより</v>
      </c>
      <c r="B220" s="1" t="str">
        <f t="shared" si="11"/>
        <v>いちのみや；一宮公民館だより</v>
      </c>
      <c r="C220" t="str">
        <f>"イチノミヤ＊イチノミヤ コウミンカン ダヨリ"</f>
        <v>イチノミヤ＊イチノミヤ コウミンカン ダヨリ</v>
      </c>
      <c r="D220" t="str">
        <f>"岡山市立一宮公民館"</f>
        <v>岡山市立一宮公民館</v>
      </c>
      <c r="E220" t="str">
        <f>"オカヤマシリツ イチノミヤ コウミンカン"</f>
        <v>オカヤマシリツ イチノミヤ コウミンカン</v>
      </c>
      <c r="F220" t="str">
        <f>"岡山"</f>
        <v>岡山</v>
      </c>
      <c r="G220" t="str">
        <f>"隔月刊"</f>
        <v>隔月刊</v>
      </c>
      <c r="H220" t="str">
        <f>"2002222341234"</f>
        <v>2002222341234</v>
      </c>
      <c r="I220" t="str">
        <f>HYPERLINK("#", "https://opac.libnet.pref.okayama.jp/licsxp-opac/WOpacMsgNewListToTifTilDetailAction.do?tilcod=2002222341234")</f>
        <v>https://opac.libnet.pref.okayama.jp/licsxp-opac/WOpacMsgNewListToTifTilDetailAction.do?tilcod=2002222341234</v>
      </c>
    </row>
    <row r="221" spans="1:9" x14ac:dyDescent="0.4">
      <c r="A221" t="str">
        <f>"いちばんぼし"</f>
        <v>いちばんぼし</v>
      </c>
      <c r="B221" s="1" t="str">
        <f t="shared" si="11"/>
        <v>いちばんぼし</v>
      </c>
      <c r="C221" t="str">
        <f>"イチバンボシ"</f>
        <v>イチバンボシ</v>
      </c>
      <c r="D221" t="str">
        <f>"いちばんぼし童話の会"</f>
        <v>いちばんぼし童話の会</v>
      </c>
      <c r="E221" t="str">
        <f>"イチバンボシドウワノカイ"</f>
        <v>イチバンボシドウワノカイ</v>
      </c>
      <c r="F221" t="str">
        <f>"岡山"</f>
        <v>岡山</v>
      </c>
      <c r="G221" t="str">
        <f>"年刊"</f>
        <v>年刊</v>
      </c>
      <c r="H221" t="str">
        <f>"2002222294101"</f>
        <v>2002222294101</v>
      </c>
      <c r="I221" t="str">
        <f>HYPERLINK("#", "https://opac.libnet.pref.okayama.jp/licsxp-opac/WOpacMsgNewListToTifTilDetailAction.do?tilcod=2002222294101")</f>
        <v>https://opac.libnet.pref.okayama.jp/licsxp-opac/WOpacMsgNewListToTifTilDetailAction.do?tilcod=2002222294101</v>
      </c>
    </row>
    <row r="222" spans="1:9" x14ac:dyDescent="0.4">
      <c r="A222" t="str">
        <f>"井中PTA新聞"</f>
        <v>井中PTA新聞</v>
      </c>
      <c r="B222" s="1" t="str">
        <f t="shared" si="11"/>
        <v>井中PTA新聞</v>
      </c>
      <c r="C222" t="str">
        <f>"イチュウ ピーティーエー シンブン"</f>
        <v>イチュウ ピーティーエー シンブン</v>
      </c>
      <c r="D222" t="str">
        <f>"井原中学校広報委員会"</f>
        <v>井原中学校広報委員会</v>
      </c>
      <c r="E222" t="str">
        <f>"イバラシリツ イバラ チュウガッコウ"</f>
        <v>イバラシリツ イバラ チュウガッコウ</v>
      </c>
      <c r="F222" t="str">
        <f>"[井原]"</f>
        <v>[井原]</v>
      </c>
      <c r="G222" t="str">
        <f>"頻度不明"</f>
        <v>頻度不明</v>
      </c>
      <c r="H222" t="str">
        <f>"2002222334089"</f>
        <v>2002222334089</v>
      </c>
      <c r="I222" t="str">
        <f>HYPERLINK("#", "https://opac.libnet.pref.okayama.jp/licsxp-opac/WOpacMsgNewListToTifTilDetailAction.do?tilcod=2002222334089")</f>
        <v>https://opac.libnet.pref.okayama.jp/licsxp-opac/WOpacMsgNewListToTifTilDetailAction.do?tilcod=2002222334089</v>
      </c>
    </row>
    <row r="223" spans="1:9" x14ac:dyDescent="0.4">
      <c r="A223" t="str">
        <f>"いちょう"</f>
        <v>いちょう</v>
      </c>
      <c r="B223" s="1" t="str">
        <f t="shared" si="11"/>
        <v>いちょう</v>
      </c>
      <c r="C223" t="str">
        <f>"イチョウ"</f>
        <v>イチョウ</v>
      </c>
      <c r="D223" t="str">
        <f>"誕生寺奨学会"</f>
        <v>誕生寺奨学会</v>
      </c>
      <c r="E223" t="str">
        <f>"タンジョウジ ショウガクカイ"</f>
        <v>タンジョウジ ショウガクカイ</v>
      </c>
      <c r="F223" t="str">
        <f>"久米南町[久米郡]"</f>
        <v>久米南町[久米郡]</v>
      </c>
      <c r="G223" t="str">
        <f>"頻度不明"</f>
        <v>頻度不明</v>
      </c>
      <c r="H223" t="str">
        <f>"2002222332830"</f>
        <v>2002222332830</v>
      </c>
      <c r="I223" t="str">
        <f>HYPERLINK("#", "https://opac.libnet.pref.okayama.jp/licsxp-opac/WOpacMsgNewListToTifTilDetailAction.do?tilcod=2002222332830")</f>
        <v>https://opac.libnet.pref.okayama.jp/licsxp-opac/WOpacMsgNewListToTifTilDetailAction.do?tilcod=2002222332830</v>
      </c>
    </row>
    <row r="224" spans="1:9" x14ac:dyDescent="0.4">
      <c r="A224" t="str">
        <f>"いちょう並木；岡山大学広報"</f>
        <v>いちょう並木；岡山大学広報</v>
      </c>
      <c r="B224" s="1" t="str">
        <f t="shared" si="11"/>
        <v>いちょう並木；岡山大学広報</v>
      </c>
      <c r="C224" t="str">
        <f>"イチョウ　ナミキ＊オカヤマ　ダイガク　コウホウ"</f>
        <v>イチョウ　ナミキ＊オカヤマ　ダイガク　コウホウ</v>
      </c>
      <c r="D224" t="str">
        <f>"岡山大学総務・企画部企画・広報課"</f>
        <v>岡山大学総務・企画部企画・広報課</v>
      </c>
      <c r="E224" t="str">
        <f>"オカヤマ ダイガク ソウム キカクブキカク コウホウカ"</f>
        <v>オカヤマ ダイガク ソウム キカクブキカク コウホウカ</v>
      </c>
      <c r="F224" t="str">
        <f>"岡山"</f>
        <v>岡山</v>
      </c>
      <c r="G224" t="str">
        <f>"年３回刊"</f>
        <v>年３回刊</v>
      </c>
      <c r="H224" t="str">
        <f>"2002222284781"</f>
        <v>2002222284781</v>
      </c>
      <c r="I224" t="str">
        <f>HYPERLINK("#", "https://opac.libnet.pref.okayama.jp/licsxp-opac/WOpacMsgNewListToTifTilDetailAction.do?tilcod=2002222284781")</f>
        <v>https://opac.libnet.pref.okayama.jp/licsxp-opac/WOpacMsgNewListToTifTilDetailAction.do?tilcod=2002222284781</v>
      </c>
    </row>
    <row r="225" spans="1:9" x14ac:dyDescent="0.4">
      <c r="A225" t="str">
        <f>"いちょうひろば；福浜公民館だより"</f>
        <v>いちょうひろば；福浜公民館だより</v>
      </c>
      <c r="B225" s="1" t="str">
        <f t="shared" si="11"/>
        <v>いちょうひろば；福浜公民館だより</v>
      </c>
      <c r="C225" t="str">
        <f>"イチョウ ヒロバ＊フクハマ コウミンカン ダヨリ"</f>
        <v>イチョウ ヒロバ＊フクハマ コウミンカン ダヨリ</v>
      </c>
      <c r="D225" t="str">
        <f>"岡山市立福浜公民館"</f>
        <v>岡山市立福浜公民館</v>
      </c>
      <c r="E225" t="str">
        <f>"オカヤマシリツ フクハマ コウミンカン"</f>
        <v>オカヤマシリツ フクハマ コウミンカン</v>
      </c>
      <c r="F225" t="str">
        <f>"岡山"</f>
        <v>岡山</v>
      </c>
      <c r="G225" t="str">
        <f>"月刊"</f>
        <v>月刊</v>
      </c>
      <c r="H225" t="str">
        <f>"2002222341490"</f>
        <v>2002222341490</v>
      </c>
      <c r="I225" t="str">
        <f>HYPERLINK("#", "https://opac.libnet.pref.okayama.jp/licsxp-opac/WOpacMsgNewListToTifTilDetailAction.do?tilcod=2002222341490")</f>
        <v>https://opac.libnet.pref.okayama.jp/licsxp-opac/WOpacMsgNewListToTifTilDetailAction.do?tilcod=2002222341490</v>
      </c>
    </row>
    <row r="226" spans="1:9" x14ac:dyDescent="0.4">
      <c r="A226" t="str">
        <f>"一滴；洋学研究誌"</f>
        <v>一滴；洋学研究誌</v>
      </c>
      <c r="B226" s="1" t="str">
        <f t="shared" si="11"/>
        <v>一滴；洋学研究誌</v>
      </c>
      <c r="C226" t="str">
        <f>"イッテキ＊ヨウガク ケンキュウシ"</f>
        <v>イッテキ＊ヨウガク ケンキュウシ</v>
      </c>
      <c r="D226" t="str">
        <f>"津山洋学資料館"</f>
        <v>津山洋学資料館</v>
      </c>
      <c r="E226" t="str">
        <f>"ツヤマ ヨウガク シリョウカン"</f>
        <v>ツヤマ ヨウガク シリョウカン</v>
      </c>
      <c r="F226" t="str">
        <f>"津山"</f>
        <v>津山</v>
      </c>
      <c r="G226" t="str">
        <f>"年刊"</f>
        <v>年刊</v>
      </c>
      <c r="H226" t="str">
        <f>"2002222281781"</f>
        <v>2002222281781</v>
      </c>
      <c r="I226" t="str">
        <f>HYPERLINK("#", "https://opac.libnet.pref.okayama.jp/licsxp-opac/WOpacMsgNewListToTifTilDetailAction.do?tilcod=2002222281781")</f>
        <v>https://opac.libnet.pref.okayama.jp/licsxp-opac/WOpacMsgNewListToTifTilDetailAction.do?tilcod=2002222281781</v>
      </c>
    </row>
    <row r="227" spans="1:9" x14ac:dyDescent="0.4">
      <c r="A227" t="str">
        <f>"ｉｔ（イット）"</f>
        <v>ｉｔ（イット）</v>
      </c>
      <c r="B227" s="1" t="str">
        <f t="shared" si="11"/>
        <v>ｉｔ（イット）</v>
      </c>
      <c r="C227" t="str">
        <f>"イット"</f>
        <v>イット</v>
      </c>
      <c r="D227" t="str">
        <f>"イット同人会"</f>
        <v>イット同人会</v>
      </c>
      <c r="E227" t="str">
        <f>"イットドウジンカイ"</f>
        <v>イットドウジンカイ</v>
      </c>
      <c r="F227" t="str">
        <f>"岡山"</f>
        <v>岡山</v>
      </c>
      <c r="G227" t="str">
        <f>"頻度不明"</f>
        <v>頻度不明</v>
      </c>
      <c r="H227" t="str">
        <f>"2002222287421"</f>
        <v>2002222287421</v>
      </c>
      <c r="I227" t="str">
        <f>HYPERLINK("#", "https://opac.libnet.pref.okayama.jp/licsxp-opac/WOpacMsgNewListToTifTilDetailAction.do?tilcod=2002222287421")</f>
        <v>https://opac.libnet.pref.okayama.jp/licsxp-opac/WOpacMsgNewListToTifTilDetailAction.do?tilcod=2002222287421</v>
      </c>
    </row>
    <row r="228" spans="1:9" x14ac:dyDescent="0.4">
      <c r="A228" t="str">
        <f>"一品宮"</f>
        <v>一品宮</v>
      </c>
      <c r="B228" s="1" t="str">
        <f t="shared" si="11"/>
        <v>一品宮</v>
      </c>
      <c r="C228" t="str">
        <f>"イッポン ノ ミヤ"</f>
        <v>イッポン ノ ミヤ</v>
      </c>
      <c r="D228" t="str">
        <f>"吉備津彦神社社務所"</f>
        <v>吉備津彦神社社務所</v>
      </c>
      <c r="E228" t="str">
        <f>"キビツヒコ ジンジャ シャムショ"</f>
        <v>キビツヒコ ジンジャ シャムショ</v>
      </c>
      <c r="F228" t="str">
        <f>"岡山"</f>
        <v>岡山</v>
      </c>
      <c r="G228" t="str">
        <f>"頻度不明"</f>
        <v>頻度不明</v>
      </c>
      <c r="H228" t="str">
        <f>"2002222326029"</f>
        <v>2002222326029</v>
      </c>
      <c r="I228" t="str">
        <f>HYPERLINK("#", "https://opac.libnet.pref.okayama.jp/licsxp-opac/WOpacMsgNewListToTifTilDetailAction.do?tilcod=2002222326029")</f>
        <v>https://opac.libnet.pref.okayama.jp/licsxp-opac/WOpacMsgNewListToTifTilDetailAction.do?tilcod=2002222326029</v>
      </c>
    </row>
    <row r="229" spans="1:9" x14ac:dyDescent="0.4">
      <c r="A229" t="str">
        <f>"ｉｔｏｋｏ"</f>
        <v>ｉｔｏｋｏ</v>
      </c>
      <c r="B229" s="1" t="str">
        <f t="shared" si="11"/>
        <v>ｉｔｏｋｏ</v>
      </c>
      <c r="C229" t="str">
        <f>"イトコ"</f>
        <v>イトコ</v>
      </c>
      <c r="D229" t="str">
        <f>"ｉｔｏｋｏプロジェクトチーム"</f>
        <v>ｉｔｏｋｏプロジェクトチーム</v>
      </c>
      <c r="E229" t="str">
        <f>"イイトコプロジェクトチーム"</f>
        <v>イイトコプロジェクトチーム</v>
      </c>
      <c r="F229" t="str">
        <f>"岡山"</f>
        <v>岡山</v>
      </c>
      <c r="G229" t="str">
        <f>"季刊"</f>
        <v>季刊</v>
      </c>
      <c r="H229" t="str">
        <f>"2002222302198"</f>
        <v>2002222302198</v>
      </c>
      <c r="I229" t="str">
        <f>HYPERLINK("#", "https://opac.libnet.pref.okayama.jp/licsxp-opac/WOpacMsgNewListToTifTilDetailAction.do?tilcod=2002222302198")</f>
        <v>https://opac.libnet.pref.okayama.jp/licsxp-opac/WOpacMsgNewListToTifTilDetailAction.do?tilcod=2002222302198</v>
      </c>
    </row>
    <row r="230" spans="1:9" x14ac:dyDescent="0.4">
      <c r="A230" t="str">
        <f>"〔犬養木堂記念館〕研究紀要"</f>
        <v>〔犬養木堂記念館〕研究紀要</v>
      </c>
      <c r="B230" s="1" t="str">
        <f t="shared" si="11"/>
        <v>〔犬養木堂記念館〕研究紀要</v>
      </c>
      <c r="C230" t="str">
        <f>"イヌカイ　ボクドウ　キネンカン＊ケンキュウ　キヨウ"</f>
        <v>イヌカイ　ボクドウ　キネンカン＊ケンキュウ　キヨウ</v>
      </c>
      <c r="D230" t="str">
        <f>"岡山県郷土文化財団"</f>
        <v>岡山県郷土文化財団</v>
      </c>
      <c r="E230" t="str">
        <f>"オカヤマケン キョウド ブンカ ザイダン"</f>
        <v>オカヤマケン キョウド ブンカ ザイダン</v>
      </c>
      <c r="F230" t="str">
        <f>"岡山"</f>
        <v>岡山</v>
      </c>
      <c r="G230" t="str">
        <f>"頻度不明"</f>
        <v>頻度不明</v>
      </c>
      <c r="H230" t="str">
        <f>"2002222282821"</f>
        <v>2002222282821</v>
      </c>
      <c r="I230" t="str">
        <f>HYPERLINK("#", "https://opac.libnet.pref.okayama.jp/licsxp-opac/WOpacMsgNewListToTifTilDetailAction.do?tilcod=2002222282821")</f>
        <v>https://opac.libnet.pref.okayama.jp/licsxp-opac/WOpacMsgNewListToTifTilDetailAction.do?tilcod=2002222282821</v>
      </c>
    </row>
    <row r="231" spans="1:9" x14ac:dyDescent="0.4">
      <c r="A231" t="str">
        <f>"異能同帰＊児島社内報"</f>
        <v>異能同帰＊児島社内報</v>
      </c>
      <c r="B231" s="1" t="str">
        <f t="shared" si="11"/>
        <v>異能同帰＊児島社内報</v>
      </c>
      <c r="C231" t="str">
        <f>"イノウ ドウキ  コジマ シャナイホウ"</f>
        <v>イノウ ドウキ  コジマ シャナイホウ</v>
      </c>
      <c r="D231" t="str">
        <f>"児島"</f>
        <v>児島</v>
      </c>
      <c r="E231" t="str">
        <f>"コジマ"</f>
        <v>コジマ</v>
      </c>
      <c r="F231" t="str">
        <f>"倉敷"</f>
        <v>倉敷</v>
      </c>
      <c r="G231" t="str">
        <f>"頻度不明"</f>
        <v>頻度不明</v>
      </c>
      <c r="H231" t="str">
        <f>"2002222334852"</f>
        <v>2002222334852</v>
      </c>
      <c r="I231" t="str">
        <f>HYPERLINK("#", "https://opac.libnet.pref.okayama.jp/licsxp-opac/WOpacMsgNewListToTifTilDetailAction.do?tilcod=2002222334852")</f>
        <v>https://opac.libnet.pref.okayama.jp/licsxp-opac/WOpacMsgNewListToTifTilDetailAction.do?tilcod=2002222334852</v>
      </c>
    </row>
    <row r="232" spans="1:9" x14ac:dyDescent="0.4">
      <c r="A232" t="str">
        <f>"いばら協力隊通信"</f>
        <v>いばら協力隊通信</v>
      </c>
      <c r="B232" s="1" t="str">
        <f t="shared" si="11"/>
        <v>いばら協力隊通信</v>
      </c>
      <c r="C232" t="str">
        <f>"イバラ キョウリョクタイ ツウシン"</f>
        <v>イバラ キョウリョクタイ ツウシン</v>
      </c>
      <c r="D232" t="str">
        <f>"井原市地域おこし協力隊"</f>
        <v>井原市地域おこし協力隊</v>
      </c>
      <c r="E232" t="str">
        <f>"イバラ チイキ オコシ キョウリョク タイ"</f>
        <v>イバラ チイキ オコシ キョウリョク タイ</v>
      </c>
      <c r="F232" t="str">
        <f t="shared" ref="F232:F238" si="12">"井原"</f>
        <v>井原</v>
      </c>
      <c r="G232" t="str">
        <f>"頻度不明"</f>
        <v>頻度不明</v>
      </c>
      <c r="H232" t="str">
        <f>"2002222340030"</f>
        <v>2002222340030</v>
      </c>
      <c r="I232" t="str">
        <f>HYPERLINK("#", "https://opac.libnet.pref.okayama.jp/licsxp-opac/WOpacMsgNewListToTifTilDetailAction.do?tilcod=2002222340030")</f>
        <v>https://opac.libnet.pref.okayama.jp/licsxp-opac/WOpacMsgNewListToTifTilDetailAction.do?tilcod=2002222340030</v>
      </c>
    </row>
    <row r="233" spans="1:9" x14ac:dyDescent="0.4">
      <c r="A233" t="str">
        <f>"いばら 公共交通 かわら版"</f>
        <v>いばら 公共交通 かわら版</v>
      </c>
      <c r="B233" s="1" t="str">
        <f t="shared" si="11"/>
        <v>いばら 公共交通 かわら版</v>
      </c>
      <c r="C233" t="str">
        <f>"イバラ コウキョウ コウツウ カワラバン"</f>
        <v>イバラ コウキョウ コウツウ カワラバン</v>
      </c>
      <c r="D233" t="str">
        <f>"井原市公共交通会議"</f>
        <v>井原市公共交通会議</v>
      </c>
      <c r="E233" t="str">
        <f>"イバラシ コウキョウ コウツウ カイギ "</f>
        <v xml:space="preserve">イバラシ コウキョウ コウツウ カイギ </v>
      </c>
      <c r="F233" t="str">
        <f t="shared" si="12"/>
        <v>井原</v>
      </c>
      <c r="G233" t="str">
        <f>"不定期刊"</f>
        <v>不定期刊</v>
      </c>
      <c r="H233" t="str">
        <f>"2002222307812"</f>
        <v>2002222307812</v>
      </c>
      <c r="I233" t="str">
        <f>HYPERLINK("#", "https://opac.libnet.pref.okayama.jp/licsxp-opac/WOpacMsgNewListToTifTilDetailAction.do?tilcod=2002222307812")</f>
        <v>https://opac.libnet.pref.okayama.jp/licsxp-opac/WOpacMsgNewListToTifTilDetailAction.do?tilcod=2002222307812</v>
      </c>
    </row>
    <row r="234" spans="1:9" x14ac:dyDescent="0.4">
      <c r="A234" t="str">
        <f>"[井原高等学校] 学校案内"</f>
        <v>[井原高等学校] 学校案内</v>
      </c>
      <c r="B234" s="1" t="str">
        <f t="shared" si="11"/>
        <v>[井原高等学校] 学校案内</v>
      </c>
      <c r="C234" t="str">
        <f>"イバラ　コウトウ　ガッコウ　ガッコウ　アンナイ"</f>
        <v>イバラ　コウトウ　ガッコウ　ガッコウ　アンナイ</v>
      </c>
      <c r="D234" t="str">
        <f>"井原高等学校"</f>
        <v>井原高等学校</v>
      </c>
      <c r="E234" t="str">
        <f>"イバラ コウトウ ガッコウ"</f>
        <v>イバラ コウトウ ガッコウ</v>
      </c>
      <c r="F234" t="str">
        <f t="shared" si="12"/>
        <v>井原</v>
      </c>
      <c r="G234" t="str">
        <f>"年刊"</f>
        <v>年刊</v>
      </c>
      <c r="H234" t="str">
        <f>"2002222301259"</f>
        <v>2002222301259</v>
      </c>
      <c r="I234" t="str">
        <f>HYPERLINK("#", "https://opac.libnet.pref.okayama.jp/licsxp-opac/WOpacMsgNewListToTifTilDetailAction.do?tilcod=2002222301259")</f>
        <v>https://opac.libnet.pref.okayama.jp/licsxp-opac/WOpacMsgNewListToTifTilDetailAction.do?tilcod=2002222301259</v>
      </c>
    </row>
    <row r="235" spans="1:9" x14ac:dyDescent="0.4">
      <c r="A235" t="str">
        <f>"[井原高等学校] 学校要覧"</f>
        <v>[井原高等学校] 学校要覧</v>
      </c>
      <c r="B235" s="1" t="str">
        <f t="shared" si="11"/>
        <v>[井原高等学校] 学校要覧</v>
      </c>
      <c r="C235" t="str">
        <f>"イバラ　コウトウ　ガッコウ　ガッコウ　ヨウラン"</f>
        <v>イバラ　コウトウ　ガッコウ　ガッコウ　ヨウラン</v>
      </c>
      <c r="D235" t="str">
        <f>"井原高等学校"</f>
        <v>井原高等学校</v>
      </c>
      <c r="E235" t="str">
        <f>"イバラ コウトウ ガッコウ"</f>
        <v>イバラ コウトウ ガッコウ</v>
      </c>
      <c r="F235" t="str">
        <f t="shared" si="12"/>
        <v>井原</v>
      </c>
      <c r="G235" t="str">
        <f>"年刊"</f>
        <v>年刊</v>
      </c>
      <c r="H235" t="str">
        <f>"2002222300519"</f>
        <v>2002222300519</v>
      </c>
      <c r="I235" t="str">
        <f>HYPERLINK("#", "https://opac.libnet.pref.okayama.jp/licsxp-opac/WOpacMsgNewListToTifTilDetailAction.do?tilcod=2002222300519")</f>
        <v>https://opac.libnet.pref.okayama.jp/licsxp-opac/WOpacMsgNewListToTifTilDetailAction.do?tilcod=2002222300519</v>
      </c>
    </row>
    <row r="236" spans="1:9" x14ac:dyDescent="0.4">
      <c r="A236" t="str">
        <f>"いばら市議会だより"</f>
        <v>いばら市議会だより</v>
      </c>
      <c r="B236" s="1" t="str">
        <f t="shared" si="11"/>
        <v>いばら市議会だより</v>
      </c>
      <c r="C236" t="str">
        <f>"イバラ　シギカイ　ダヨリ"</f>
        <v>イバラ　シギカイ　ダヨリ</v>
      </c>
      <c r="D236" t="str">
        <f>"井原市議会"</f>
        <v>井原市議会</v>
      </c>
      <c r="E236" t="str">
        <f>"イバラシギカイ"</f>
        <v>イバラシギカイ</v>
      </c>
      <c r="F236" t="str">
        <f t="shared" si="12"/>
        <v>井原</v>
      </c>
      <c r="G236" t="str">
        <f>"頻度不明"</f>
        <v>頻度不明</v>
      </c>
      <c r="H236" t="str">
        <f>"2002222282161"</f>
        <v>2002222282161</v>
      </c>
      <c r="I236" t="str">
        <f>HYPERLINK("#", "https://opac.libnet.pref.okayama.jp/licsxp-opac/WOpacMsgNewListToTifTilDetailAction.do?tilcod=2002222282161")</f>
        <v>https://opac.libnet.pref.okayama.jp/licsxp-opac/WOpacMsgNewListToTifTilDetailAction.do?tilcod=2002222282161</v>
      </c>
    </row>
    <row r="237" spans="1:9" x14ac:dyDescent="0.4">
      <c r="A237" t="str">
        <f>"井原市史だより"</f>
        <v>井原市史だより</v>
      </c>
      <c r="B237" s="1" t="str">
        <f t="shared" si="11"/>
        <v>井原市史だより</v>
      </c>
      <c r="C237" t="str">
        <f>"イバラ　シシ　ダヨリ"</f>
        <v>イバラ　シシ　ダヨリ</v>
      </c>
      <c r="D237" t="str">
        <f>"井原市教育委員会"</f>
        <v>井原市教育委員会</v>
      </c>
      <c r="E237" t="str">
        <f>"イバラシ キョウイク イインカイ"</f>
        <v>イバラシ キョウイク イインカイ</v>
      </c>
      <c r="F237" t="str">
        <f t="shared" si="12"/>
        <v>井原</v>
      </c>
      <c r="G237" t="str">
        <f>"年２回刊"</f>
        <v>年２回刊</v>
      </c>
      <c r="H237" t="str">
        <f>"2002222282851"</f>
        <v>2002222282851</v>
      </c>
      <c r="I237" t="str">
        <f>HYPERLINK("#", "https://opac.libnet.pref.okayama.jp/licsxp-opac/WOpacMsgNewListToTifTilDetailAction.do?tilcod=2002222282851")</f>
        <v>https://opac.libnet.pref.okayama.jp/licsxp-opac/WOpacMsgNewListToTifTilDetailAction.do?tilcod=2002222282851</v>
      </c>
    </row>
    <row r="238" spans="1:9" x14ac:dyDescent="0.4">
      <c r="A238" t="str">
        <f>"〔井原史談会〕会報"</f>
        <v>〔井原史談会〕会報</v>
      </c>
      <c r="B238" s="1" t="str">
        <f t="shared" si="11"/>
        <v>〔井原史談会〕会報</v>
      </c>
      <c r="C238" t="str">
        <f>"イバラ　シダンカイ　カイホウ"</f>
        <v>イバラ　シダンカイ　カイホウ</v>
      </c>
      <c r="D238" t="str">
        <f>"井原史談会"</f>
        <v>井原史談会</v>
      </c>
      <c r="E238" t="str">
        <f>"イバラシダンカイ"</f>
        <v>イバラシダンカイ</v>
      </c>
      <c r="F238" t="str">
        <f t="shared" si="12"/>
        <v>井原</v>
      </c>
      <c r="G238" t="str">
        <f>"季刊"</f>
        <v>季刊</v>
      </c>
      <c r="H238" t="str">
        <f>"2002222291901"</f>
        <v>2002222291901</v>
      </c>
      <c r="I238" t="str">
        <f>HYPERLINK("#", "https://opac.libnet.pref.okayama.jp/licsxp-opac/WOpacMsgNewListToTifTilDetailAction.do?tilcod=2002222291901")</f>
        <v>https://opac.libnet.pref.okayama.jp/licsxp-opac/WOpacMsgNewListToTifTilDetailAction.do?tilcod=2002222291901</v>
      </c>
    </row>
    <row r="239" spans="1:9" x14ac:dyDescent="0.4">
      <c r="A239" t="str">
        <f>"井原史談会研究紀要"</f>
        <v>井原史談会研究紀要</v>
      </c>
      <c r="B239" s="1" t="str">
        <f t="shared" si="11"/>
        <v>井原史談会研究紀要</v>
      </c>
      <c r="C239" t="str">
        <f>"イバラ　シダンカイ　ケンキュウ　キヨウ"</f>
        <v>イバラ　シダンカイ　ケンキュウ　キヨウ</v>
      </c>
      <c r="D239" t="str">
        <f>"井原史談会"</f>
        <v>井原史談会</v>
      </c>
      <c r="E239" t="str">
        <f>"イバラシダンカイ"</f>
        <v>イバラシダンカイ</v>
      </c>
      <c r="F239" t="str">
        <f>""</f>
        <v/>
      </c>
      <c r="G239" t="str">
        <f>"頻度不明"</f>
        <v>頻度不明</v>
      </c>
      <c r="H239" t="str">
        <f>"2002222287471"</f>
        <v>2002222287471</v>
      </c>
      <c r="I239" t="str">
        <f>HYPERLINK("#", "https://opac.libnet.pref.okayama.jp/licsxp-opac/WOpacMsgNewListToTifTilDetailAction.do?tilcod=2002222287471")</f>
        <v>https://opac.libnet.pref.okayama.jp/licsxp-opac/WOpacMsgNewListToTifTilDetailAction.do?tilcod=2002222287471</v>
      </c>
    </row>
    <row r="240" spans="1:9" x14ac:dyDescent="0.4">
      <c r="A240" t="str">
        <f>"〔井原後月教育センター〕研究紀要"</f>
        <v>〔井原後月教育センター〕研究紀要</v>
      </c>
      <c r="B240" s="1" t="str">
        <f t="shared" si="11"/>
        <v>〔井原後月教育センター〕研究紀要</v>
      </c>
      <c r="C240" t="str">
        <f>"イバラ　シツキ　キョウイク　センター　ケンキュウ　キヨウ"</f>
        <v>イバラ　シツキ　キョウイク　センター　ケンキュウ　キヨウ</v>
      </c>
      <c r="D240" t="str">
        <f>"井原後月教育センター"</f>
        <v>井原後月教育センター</v>
      </c>
      <c r="E240" t="str">
        <f>"イバラシツキキョウクセンター"</f>
        <v>イバラシツキキョウクセンター</v>
      </c>
      <c r="F240" t="str">
        <f t="shared" ref="F240:F249" si="13">"井原"</f>
        <v>井原</v>
      </c>
      <c r="G240" t="str">
        <f>"年刊"</f>
        <v>年刊</v>
      </c>
      <c r="H240" t="str">
        <f>"2002222294151"</f>
        <v>2002222294151</v>
      </c>
      <c r="I240" t="str">
        <f>HYPERLINK("#", "https://opac.libnet.pref.okayama.jp/licsxp-opac/WOpacMsgNewListToTifTilDetailAction.do?tilcod=2002222294151")</f>
        <v>https://opac.libnet.pref.okayama.jp/licsxp-opac/WOpacMsgNewListToTifTilDetailAction.do?tilcod=2002222294151</v>
      </c>
    </row>
    <row r="241" spans="1:9" x14ac:dyDescent="0.4">
      <c r="A241" t="str">
        <f>"いばら市民だより"</f>
        <v>いばら市民だより</v>
      </c>
      <c r="B241" s="1" t="str">
        <f t="shared" si="11"/>
        <v>いばら市民だより</v>
      </c>
      <c r="C241" t="str">
        <f>"イバラ　シミン　ダヨリ"</f>
        <v>イバラ　シミン　ダヨリ</v>
      </c>
      <c r="D241" t="str">
        <f>"井原市"</f>
        <v>井原市</v>
      </c>
      <c r="E241" t="str">
        <f>"イバラシ"</f>
        <v>イバラシ</v>
      </c>
      <c r="F241" t="str">
        <f t="shared" si="13"/>
        <v>井原</v>
      </c>
      <c r="G241" t="str">
        <f>"月刊"</f>
        <v>月刊</v>
      </c>
      <c r="H241" t="str">
        <f>"2002222293751"</f>
        <v>2002222293751</v>
      </c>
      <c r="I241" t="str">
        <f>HYPERLINK("#", "https://opac.libnet.pref.okayama.jp/licsxp-opac/WOpacMsgNewListToTifTilDetailAction.do?tilcod=2002222293751")</f>
        <v>https://opac.libnet.pref.okayama.jp/licsxp-opac/WOpacMsgNewListToTifTilDetailAction.do?tilcod=2002222293751</v>
      </c>
    </row>
    <row r="242" spans="1:9" x14ac:dyDescent="0.4">
      <c r="A242" t="str">
        <f>"〔井原市立高等学校〕市高新聞"</f>
        <v>〔井原市立高等学校〕市高新聞</v>
      </c>
      <c r="B242" s="1" t="str">
        <f t="shared" si="11"/>
        <v>〔井原市立高等学校〕市高新聞</v>
      </c>
      <c r="C242" t="str">
        <f>"イバラ　シリツ　コウトウ　ガッコウ＊イチコウ　シンブン"</f>
        <v>イバラ　シリツ　コウトウ　ガッコウ＊イチコウ　シンブン</v>
      </c>
      <c r="D242" t="str">
        <f>"井原市立高等学校"</f>
        <v>井原市立高等学校</v>
      </c>
      <c r="E242" t="str">
        <f>"イバラシリツ コウトウ ガッコウ"</f>
        <v>イバラシリツ コウトウ ガッコウ</v>
      </c>
      <c r="F242" t="str">
        <f t="shared" si="13"/>
        <v>井原</v>
      </c>
      <c r="G242" t="str">
        <f>"頻度不明"</f>
        <v>頻度不明</v>
      </c>
      <c r="H242" t="str">
        <f>"2002222301917"</f>
        <v>2002222301917</v>
      </c>
      <c r="I242" t="str">
        <f>HYPERLINK("#", "https://opac.libnet.pref.okayama.jp/licsxp-opac/WOpacMsgNewListToTifTilDetailAction.do?tilcod=2002222301917")</f>
        <v>https://opac.libnet.pref.okayama.jp/licsxp-opac/WOpacMsgNewListToTifTilDetailAction.do?tilcod=2002222301917</v>
      </c>
    </row>
    <row r="243" spans="1:9" x14ac:dyDescent="0.4">
      <c r="A243" t="str">
        <f>"〔井原市立高等学校〕市高だより"</f>
        <v>〔井原市立高等学校〕市高だより</v>
      </c>
      <c r="B243" s="1" t="str">
        <f t="shared" si="11"/>
        <v>〔井原市立高等学校〕市高だより</v>
      </c>
      <c r="C243" t="str">
        <f>"イバラ　シリツ　コウトウ　ガッコウ＊イチコウ　ダヨリ"</f>
        <v>イバラ　シリツ　コウトウ　ガッコウ＊イチコウ　ダヨリ</v>
      </c>
      <c r="D243" t="str">
        <f>"井原市立高等学校"</f>
        <v>井原市立高等学校</v>
      </c>
      <c r="E243" t="str">
        <f>"イバラシリツ コウトウ ガッコウ"</f>
        <v>イバラシリツ コウトウ ガッコウ</v>
      </c>
      <c r="F243" t="str">
        <f t="shared" si="13"/>
        <v>井原</v>
      </c>
      <c r="G243" t="str">
        <f>"頻度不明"</f>
        <v>頻度不明</v>
      </c>
      <c r="H243" t="str">
        <f>"2002222301918"</f>
        <v>2002222301918</v>
      </c>
      <c r="I243" t="str">
        <f>HYPERLINK("#", "https://opac.libnet.pref.okayama.jp/licsxp-opac/WOpacMsgNewListToTifTilDetailAction.do?tilcod=2002222301918")</f>
        <v>https://opac.libnet.pref.okayama.jp/licsxp-opac/WOpacMsgNewListToTifTilDetailAction.do?tilcod=2002222301918</v>
      </c>
    </row>
    <row r="244" spans="1:9" x14ac:dyDescent="0.4">
      <c r="A244" t="str">
        <f>"井原新報"</f>
        <v>井原新報</v>
      </c>
      <c r="B244" s="1" t="str">
        <f t="shared" si="11"/>
        <v>井原新報</v>
      </c>
      <c r="C244" t="str">
        <f>"イバラ　シンポウ"</f>
        <v>イバラ　シンポウ</v>
      </c>
      <c r="D244" t="str">
        <f>"井原新報社"</f>
        <v>井原新報社</v>
      </c>
      <c r="E244" t="str">
        <f>"イバラシンポウシャ"</f>
        <v>イバラシンポウシャ</v>
      </c>
      <c r="F244" t="str">
        <f t="shared" si="13"/>
        <v>井原</v>
      </c>
      <c r="G244" t="str">
        <f>"旬刊"</f>
        <v>旬刊</v>
      </c>
      <c r="H244" t="str">
        <f>"2002222300779"</f>
        <v>2002222300779</v>
      </c>
      <c r="I244" t="str">
        <f>HYPERLINK("#", "https://opac.libnet.pref.okayama.jp/licsxp-opac/WOpacMsgNewListToTifTilDetailAction.do?tilcod=2002222300779")</f>
        <v>https://opac.libnet.pref.okayama.jp/licsxp-opac/WOpacMsgNewListToTifTilDetailAction.do?tilcod=2002222300779</v>
      </c>
    </row>
    <row r="245" spans="1:9" x14ac:dyDescent="0.4">
      <c r="A245" t="str">
        <f>"井原地域合併協議会だより；井原市・芳井町・美星町"</f>
        <v>井原地域合併協議会だより；井原市・芳井町・美星町</v>
      </c>
      <c r="B245" s="1" t="str">
        <f t="shared" si="11"/>
        <v>井原地域合併協議会だより；井原市・芳井町・美星町</v>
      </c>
      <c r="C245" t="str">
        <f>"イバラ　チイキ　ガッペイ　キョウギカイ　ダヨリ＊イバラシ　ヨシイチョウ　ビセイチョウ"</f>
        <v>イバラ　チイキ　ガッペイ　キョウギカイ　ダヨリ＊イバラシ　ヨシイチョウ　ビセイチョウ</v>
      </c>
      <c r="D245" t="str">
        <f>"井原地域合併協議会事務局"</f>
        <v>井原地域合併協議会事務局</v>
      </c>
      <c r="E245" t="str">
        <f>"イバラチイキガッペイキョウギカイジムキョク"</f>
        <v>イバラチイキガッペイキョウギカイジムキョク</v>
      </c>
      <c r="F245" t="str">
        <f t="shared" si="13"/>
        <v>井原</v>
      </c>
      <c r="G245" t="str">
        <f>"頻度不明"</f>
        <v>頻度不明</v>
      </c>
      <c r="H245" t="str">
        <f>"2002222281574"</f>
        <v>2002222281574</v>
      </c>
      <c r="I245" t="str">
        <f>HYPERLINK("#", "https://opac.libnet.pref.okayama.jp/licsxp-opac/WOpacMsgNewListToTifTilDetailAction.do?tilcod=2002222281574")</f>
        <v>https://opac.libnet.pref.okayama.jp/licsxp-opac/WOpacMsgNewListToTifTilDetailAction.do?tilcod=2002222281574</v>
      </c>
    </row>
    <row r="246" spans="1:9" x14ac:dyDescent="0.4">
      <c r="A246" t="str">
        <f>"井原地域社会福祉協議会合併協議会だより"</f>
        <v>井原地域社会福祉協議会合併協議会だより</v>
      </c>
      <c r="B246" s="1" t="str">
        <f t="shared" si="11"/>
        <v>井原地域社会福祉協議会合併協議会だより</v>
      </c>
      <c r="C246" t="str">
        <f>"イバラ　チイキ　シャカイ　フクシ　キョウギカイ　ガッペイ　キョウギカイ　ダヨリ"</f>
        <v>イバラ　チイキ　シャカイ　フクシ　キョウギカイ　ガッペイ　キョウギカイ　ダヨリ</v>
      </c>
      <c r="D246" t="str">
        <f>"井原地域社会福祉協議会合併協議会"</f>
        <v>井原地域社会福祉協議会合併協議会</v>
      </c>
      <c r="E246" t="str">
        <f>"イバラチイキシャカイフクシキョウギカイガッペイキョウギカイ"</f>
        <v>イバラチイキシャカイフクシキョウギカイガッペイキョウギカイ</v>
      </c>
      <c r="F246" t="str">
        <f t="shared" si="13"/>
        <v>井原</v>
      </c>
      <c r="G246" t="str">
        <f>"頻度不明"</f>
        <v>頻度不明</v>
      </c>
      <c r="H246" t="str">
        <f>"2002222300183"</f>
        <v>2002222300183</v>
      </c>
      <c r="I246" t="str">
        <f>HYPERLINK("#", "https://opac.libnet.pref.okayama.jp/licsxp-opac/WOpacMsgNewListToTifTilDetailAction.do?tilcod=2002222300183")</f>
        <v>https://opac.libnet.pref.okayama.jp/licsxp-opac/WOpacMsgNewListToTifTilDetailAction.do?tilcod=2002222300183</v>
      </c>
    </row>
    <row r="247" spans="1:9" x14ac:dyDescent="0.4">
      <c r="A247" t="str">
        <f>"井原の歴史〔井原市史紀要〕"</f>
        <v>井原の歴史〔井原市史紀要〕</v>
      </c>
      <c r="B247" s="1" t="str">
        <f t="shared" si="11"/>
        <v>井原の歴史〔井原市史紀要〕</v>
      </c>
      <c r="C247" t="str">
        <f>"イバラ　ノ　レキシ　イバラ　シシ　キヨウ"</f>
        <v>イバラ　ノ　レキシ　イバラ　シシ　キヨウ</v>
      </c>
      <c r="D247" t="str">
        <f>"井原市教育委員会市史編さん室"</f>
        <v>井原市教育委員会市史編さん室</v>
      </c>
      <c r="E247" t="str">
        <f>"イバラシ キョウイク イインカイ シシ ヘンサンシツ"</f>
        <v>イバラシ キョウイク イインカイ シシ ヘンサンシツ</v>
      </c>
      <c r="F247" t="str">
        <f t="shared" si="13"/>
        <v>井原</v>
      </c>
      <c r="G247" t="str">
        <f>"年刊"</f>
        <v>年刊</v>
      </c>
      <c r="H247" t="str">
        <f>"2002222285431"</f>
        <v>2002222285431</v>
      </c>
      <c r="I247" t="str">
        <f>HYPERLINK("#", "https://opac.libnet.pref.okayama.jp/licsxp-opac/WOpacMsgNewListToTifTilDetailAction.do?tilcod=2002222285431")</f>
        <v>https://opac.libnet.pref.okayama.jp/licsxp-opac/WOpacMsgNewListToTifTilDetailAction.do?tilcod=2002222285431</v>
      </c>
    </row>
    <row r="248" spans="1:9" x14ac:dyDescent="0.4">
      <c r="A248" t="str">
        <f>"いばら　ふれまちだより"</f>
        <v>いばら　ふれまちだより</v>
      </c>
      <c r="B248" s="1" t="str">
        <f t="shared" si="11"/>
        <v>いばら　ふれまちだより</v>
      </c>
      <c r="C248" t="str">
        <f>"イバラ　フレマチ　ダヨリ"</f>
        <v>イバラ　フレマチ　ダヨリ</v>
      </c>
      <c r="D248" t="str">
        <f>"井原市社会福祉協議会"</f>
        <v>井原市社会福祉協議会</v>
      </c>
      <c r="E248" t="str">
        <f>"イバラシシャカイフクシキョウギカイ"</f>
        <v>イバラシシャカイフクシキョウギカイ</v>
      </c>
      <c r="F248" t="str">
        <f t="shared" si="13"/>
        <v>井原</v>
      </c>
      <c r="G248" t="str">
        <f>"季刊"</f>
        <v>季刊</v>
      </c>
      <c r="H248" t="str">
        <f>"2002222300260"</f>
        <v>2002222300260</v>
      </c>
      <c r="I248" t="str">
        <f>HYPERLINK("#", "https://opac.libnet.pref.okayama.jp/licsxp-opac/WOpacMsgNewListToTifTilDetailAction.do?tilcod=2002222300260")</f>
        <v>https://opac.libnet.pref.okayama.jp/licsxp-opac/WOpacMsgNewListToTifTilDetailAction.do?tilcod=2002222300260</v>
      </c>
    </row>
    <row r="249" spans="1:9" x14ac:dyDescent="0.4">
      <c r="A249" t="str">
        <f>"いばら文化協会だより"</f>
        <v>いばら文化協会だより</v>
      </c>
      <c r="B249" s="1" t="str">
        <f t="shared" si="11"/>
        <v>いばら文化協会だより</v>
      </c>
      <c r="C249" t="str">
        <f>"イバラ　ブンカ　キョウカイ　ダヨリ"</f>
        <v>イバラ　ブンカ　キョウカイ　ダヨリ</v>
      </c>
      <c r="D249" t="str">
        <f>"井原市文化協会"</f>
        <v>井原市文化協会</v>
      </c>
      <c r="E249" t="str">
        <f>"イバラシ ブンカ キョウカイ"</f>
        <v>イバラシ ブンカ キョウカイ</v>
      </c>
      <c r="F249" t="str">
        <f t="shared" si="13"/>
        <v>井原</v>
      </c>
      <c r="G249" t="str">
        <f>"季刊"</f>
        <v>季刊</v>
      </c>
      <c r="H249" t="str">
        <f>"2002222281011"</f>
        <v>2002222281011</v>
      </c>
      <c r="I249" t="str">
        <f>HYPERLINK("#", "https://opac.libnet.pref.okayama.jp/licsxp-opac/WOpacMsgNewListToTifTilDetailAction.do?tilcod=2002222281011")</f>
        <v>https://opac.libnet.pref.okayama.jp/licsxp-opac/WOpacMsgNewListToTifTilDetailAction.do?tilcod=2002222281011</v>
      </c>
    </row>
    <row r="250" spans="1:9" x14ac:dyDescent="0.4">
      <c r="A250" t="str">
        <f>"井原ロータリークラブ会報"</f>
        <v>井原ロータリークラブ会報</v>
      </c>
      <c r="B250" s="1" t="str">
        <f t="shared" si="11"/>
        <v>井原ロータリークラブ会報</v>
      </c>
      <c r="C250" t="str">
        <f>"イバラ　ロータリー　クラブ　カイホウ"</f>
        <v>イバラ　ロータリー　クラブ　カイホウ</v>
      </c>
      <c r="D250" t="str">
        <f>"井原ロータリークラブ"</f>
        <v>井原ロータリークラブ</v>
      </c>
      <c r="E250" t="str">
        <f>"イバラロータリークラブ"</f>
        <v>イバラロータリークラブ</v>
      </c>
      <c r="F250" t="str">
        <f>""</f>
        <v/>
      </c>
      <c r="G250" t="str">
        <f>"頻度不明"</f>
        <v>頻度不明</v>
      </c>
      <c r="H250" t="str">
        <f>"2002222287491"</f>
        <v>2002222287491</v>
      </c>
      <c r="I250" t="str">
        <f>HYPERLINK("#", "https://opac.libnet.pref.okayama.jp/licsxp-opac/WOpacMsgNewListToTifTilDetailAction.do?tilcod=2002222287491")</f>
        <v>https://opac.libnet.pref.okayama.jp/licsxp-opac/WOpacMsgNewListToTifTilDetailAction.do?tilcod=2002222287491</v>
      </c>
    </row>
    <row r="251" spans="1:9" x14ac:dyDescent="0.4">
      <c r="A251" t="str">
        <f>"井原市愛育委員連合会　愛育委員だより"</f>
        <v>井原市愛育委員連合会　愛育委員だより</v>
      </c>
      <c r="B251" s="1" t="str">
        <f t="shared" si="11"/>
        <v>井原市愛育委員連合会　愛育委員だより</v>
      </c>
      <c r="C251" t="str">
        <f>"イバラシ　アイイク　イイン　レンゴウカイ　アイイク　イイン　ダヨリ　"</f>
        <v>イバラシ　アイイク　イイン　レンゴウカイ　アイイク　イイン　ダヨリ　</v>
      </c>
      <c r="D251" t="str">
        <f>"井原市愛育委員連合会"</f>
        <v>井原市愛育委員連合会</v>
      </c>
      <c r="E251" t="str">
        <f>"イバラシアイイクイインレンゴウカイ"</f>
        <v>イバラシアイイクイインレンゴウカイ</v>
      </c>
      <c r="F251" t="str">
        <f t="shared" ref="F251:F257" si="14">"井原"</f>
        <v>井原</v>
      </c>
      <c r="G251" t="str">
        <f>"年刊"</f>
        <v>年刊</v>
      </c>
      <c r="H251" t="str">
        <f>"2002222301428"</f>
        <v>2002222301428</v>
      </c>
      <c r="I251" t="str">
        <f>HYPERLINK("#", "https://opac.libnet.pref.okayama.jp/licsxp-opac/WOpacMsgNewListToTifTilDetailAction.do?tilcod=2002222301428")</f>
        <v>https://opac.libnet.pref.okayama.jp/licsxp-opac/WOpacMsgNewListToTifTilDetailAction.do?tilcod=2002222301428</v>
      </c>
    </row>
    <row r="252" spans="1:9" x14ac:dyDescent="0.4">
      <c r="A252" t="str">
        <f>"井原市広報"</f>
        <v>井原市広報</v>
      </c>
      <c r="B252" s="1" t="str">
        <f t="shared" si="11"/>
        <v>井原市広報</v>
      </c>
      <c r="C252" t="str">
        <f>"イバラシ　コウホウ"</f>
        <v>イバラシ　コウホウ</v>
      </c>
      <c r="D252" t="str">
        <f>"井原市"</f>
        <v>井原市</v>
      </c>
      <c r="E252" t="str">
        <f>"イバラシ"</f>
        <v>イバラシ</v>
      </c>
      <c r="F252" t="str">
        <f t="shared" si="14"/>
        <v>井原</v>
      </c>
      <c r="G252" t="str">
        <f>"月刊"</f>
        <v>月刊</v>
      </c>
      <c r="H252" t="str">
        <f>"2002222301586"</f>
        <v>2002222301586</v>
      </c>
      <c r="I252" t="str">
        <f>HYPERLINK("#", "https://opac.libnet.pref.okayama.jp/licsxp-opac/WOpacMsgNewListToTifTilDetailAction.do?tilcod=2002222301586")</f>
        <v>https://opac.libnet.pref.okayama.jp/licsxp-opac/WOpacMsgNewListToTifTilDetailAction.do?tilcod=2002222301586</v>
      </c>
    </row>
    <row r="253" spans="1:9" x14ac:dyDescent="0.4">
      <c r="A253" t="str">
        <f>"いばら市社協　ふれまちだより"</f>
        <v>いばら市社協　ふれまちだより</v>
      </c>
      <c r="B253" s="1" t="str">
        <f t="shared" si="11"/>
        <v>いばら市社協　ふれまちだより</v>
      </c>
      <c r="C253" t="str">
        <f>"イバラシ　シャキョウ　フレマチ　ダヨリ"</f>
        <v>イバラシ　シャキョウ　フレマチ　ダヨリ</v>
      </c>
      <c r="D253" t="str">
        <f>"井原市社会福祉協議会"</f>
        <v>井原市社会福祉協議会</v>
      </c>
      <c r="E253" t="str">
        <f>"イバラシシャカイフクシキョウギカイ"</f>
        <v>イバラシシャカイフクシキョウギカイ</v>
      </c>
      <c r="F253" t="str">
        <f t="shared" si="14"/>
        <v>井原</v>
      </c>
      <c r="G253" t="str">
        <f>"隔月刊"</f>
        <v>隔月刊</v>
      </c>
      <c r="H253" t="str">
        <f>"2002222283041"</f>
        <v>2002222283041</v>
      </c>
      <c r="I253" t="str">
        <f>HYPERLINK("#", "https://opac.libnet.pref.okayama.jp/licsxp-opac/WOpacMsgNewListToTifTilDetailAction.do?tilcod=2002222283041")</f>
        <v>https://opac.libnet.pref.okayama.jp/licsxp-opac/WOpacMsgNewListToTifTilDetailAction.do?tilcod=2002222283041</v>
      </c>
    </row>
    <row r="254" spans="1:9" x14ac:dyDescent="0.4">
      <c r="A254" t="str">
        <f>"井原市農協情報"</f>
        <v>井原市農協情報</v>
      </c>
      <c r="B254" s="1" t="str">
        <f t="shared" si="11"/>
        <v>井原市農協情報</v>
      </c>
      <c r="C254" t="str">
        <f>"イバラシ　ノウキョウ　ジョウホウ"</f>
        <v>イバラシ　ノウキョウ　ジョウホウ</v>
      </c>
      <c r="D254" t="str">
        <f>"井原市農業共同組合企画管理室"</f>
        <v>井原市農業共同組合企画管理室</v>
      </c>
      <c r="E254" t="str">
        <f>"イバラシノウギョウキョウドウクミアイキカクカンリシツ"</f>
        <v>イバラシノウギョウキョウドウクミアイキカクカンリシツ</v>
      </c>
      <c r="F254" t="str">
        <f t="shared" si="14"/>
        <v>井原</v>
      </c>
      <c r="G254" t="str">
        <f>"頻度不明"</f>
        <v>頻度不明</v>
      </c>
      <c r="H254" t="str">
        <f>"2002222287481"</f>
        <v>2002222287481</v>
      </c>
      <c r="I254" t="str">
        <f>HYPERLINK("#", "https://opac.libnet.pref.okayama.jp/licsxp-opac/WOpacMsgNewListToTifTilDetailAction.do?tilcod=2002222287481")</f>
        <v>https://opac.libnet.pref.okayama.jp/licsxp-opac/WOpacMsgNewListToTifTilDetailAction.do?tilcod=2002222287481</v>
      </c>
    </row>
    <row r="255" spans="1:9" x14ac:dyDescent="0.4">
      <c r="A255" t="str">
        <f>"井原市立高等学校学校案内"</f>
        <v>井原市立高等学校学校案内</v>
      </c>
      <c r="B255" s="1" t="str">
        <f t="shared" si="11"/>
        <v>井原市立高等学校学校案内</v>
      </c>
      <c r="C255" t="str">
        <f>"イバラシリツ　コウトウ　ガッコウ　ガッコウ　アンナイ"</f>
        <v>イバラシリツ　コウトウ　ガッコウ　ガッコウ　アンナイ</v>
      </c>
      <c r="D255" t="str">
        <f>"井原市立高等学校"</f>
        <v>井原市立高等学校</v>
      </c>
      <c r="E255" t="str">
        <f>"イバラシリツ コウトウ ガッコウ"</f>
        <v>イバラシリツ コウトウ ガッコウ</v>
      </c>
      <c r="F255" t="str">
        <f t="shared" si="14"/>
        <v>井原</v>
      </c>
      <c r="G255" t="str">
        <f>"年刊"</f>
        <v>年刊</v>
      </c>
      <c r="H255" t="str">
        <f>"2002222301265"</f>
        <v>2002222301265</v>
      </c>
      <c r="I255" t="str">
        <f>HYPERLINK("#", "https://opac.libnet.pref.okayama.jp/licsxp-opac/WOpacMsgNewListToTifTilDetailAction.do?tilcod=2002222301265")</f>
        <v>https://opac.libnet.pref.okayama.jp/licsxp-opac/WOpacMsgNewListToTifTilDetailAction.do?tilcod=2002222301265</v>
      </c>
    </row>
    <row r="256" spans="1:9" x14ac:dyDescent="0.4">
      <c r="A256" t="str">
        <f>"井原市立高等学校学校要覧"</f>
        <v>井原市立高等学校学校要覧</v>
      </c>
      <c r="B256" s="1" t="str">
        <f t="shared" si="11"/>
        <v>井原市立高等学校学校要覧</v>
      </c>
      <c r="C256" t="str">
        <f>"イバラシリツ　コウトウ　ガッコウ　ガッコウ　ヨウラン"</f>
        <v>イバラシリツ　コウトウ　ガッコウ　ガッコウ　ヨウラン</v>
      </c>
      <c r="D256" t="str">
        <f>"井原市立高等学校"</f>
        <v>井原市立高等学校</v>
      </c>
      <c r="E256" t="str">
        <f>"イバラシリツ コウトウ ガッコウ"</f>
        <v>イバラシリツ コウトウ ガッコウ</v>
      </c>
      <c r="F256" t="str">
        <f t="shared" si="14"/>
        <v>井原</v>
      </c>
      <c r="G256" t="str">
        <f>"年刊"</f>
        <v>年刊</v>
      </c>
      <c r="H256" t="str">
        <f>"2002222300562"</f>
        <v>2002222300562</v>
      </c>
      <c r="I256" t="str">
        <f>HYPERLINK("#", "https://opac.libnet.pref.okayama.jp/licsxp-opac/WOpacMsgNewListToTifTilDetailAction.do?tilcod=2002222300562")</f>
        <v>https://opac.libnet.pref.okayama.jp/licsxp-opac/WOpacMsgNewListToTifTilDetailAction.do?tilcod=2002222300562</v>
      </c>
    </row>
    <row r="257" spans="1:9" x14ac:dyDescent="0.4">
      <c r="A257" t="str">
        <f>"〔井原市立高等学校〕創造"</f>
        <v>〔井原市立高等学校〕創造</v>
      </c>
      <c r="B257" s="1" t="str">
        <f t="shared" si="11"/>
        <v>〔井原市立高等学校〕創造</v>
      </c>
      <c r="C257" t="str">
        <f>"イバラシリツコウトウガッコウ＊ソウゾウ"</f>
        <v>イバラシリツコウトウガッコウ＊ソウゾウ</v>
      </c>
      <c r="D257" t="str">
        <f>"井原市立高等学校"</f>
        <v>井原市立高等学校</v>
      </c>
      <c r="E257" t="str">
        <f>"イバラシリツ コウトウ ガッコウ"</f>
        <v>イバラシリツ コウトウ ガッコウ</v>
      </c>
      <c r="F257" t="str">
        <f t="shared" si="14"/>
        <v>井原</v>
      </c>
      <c r="G257" t="str">
        <f>"年刊"</f>
        <v>年刊</v>
      </c>
      <c r="H257" t="str">
        <f>"2002222302047"</f>
        <v>2002222302047</v>
      </c>
      <c r="I257" t="str">
        <f>HYPERLINK("#", "https://opac.libnet.pref.okayama.jp/licsxp-opac/WOpacMsgNewListToTifTilDetailAction.do?tilcod=2002222302047")</f>
        <v>https://opac.libnet.pref.okayama.jp/licsxp-opac/WOpacMsgNewListToTifTilDetailAction.do?tilcod=2002222302047</v>
      </c>
    </row>
    <row r="258" spans="1:9" x14ac:dyDescent="0.4">
      <c r="A258" t="str">
        <f>"いぶき"</f>
        <v>いぶき</v>
      </c>
      <c r="B258" s="1" t="str">
        <f t="shared" si="11"/>
        <v>いぶき</v>
      </c>
      <c r="C258" t="str">
        <f>"イブキ"</f>
        <v>イブキ</v>
      </c>
      <c r="D258" t="str">
        <f>"津山東高等学校農業クラブ"</f>
        <v>津山東高等学校農業クラブ</v>
      </c>
      <c r="E258" t="str">
        <f>"ツヤマヒガシコウトウガッコウノウギョウクラブ"</f>
        <v>ツヤマヒガシコウトウガッコウノウギョウクラブ</v>
      </c>
      <c r="F258" t="str">
        <f>"津山"</f>
        <v>津山</v>
      </c>
      <c r="G258" t="str">
        <f>"頻度不明"</f>
        <v>頻度不明</v>
      </c>
      <c r="H258" t="str">
        <f>"2002222287501"</f>
        <v>2002222287501</v>
      </c>
      <c r="I258" t="str">
        <f>HYPERLINK("#", "https://opac.libnet.pref.okayama.jp/licsxp-opac/WOpacMsgNewListToTifTilDetailAction.do?tilcod=2002222287501")</f>
        <v>https://opac.libnet.pref.okayama.jp/licsxp-opac/WOpacMsgNewListToTifTilDetailAction.do?tilcod=2002222287501</v>
      </c>
    </row>
    <row r="259" spans="1:9" x14ac:dyDescent="0.4">
      <c r="A259" t="str">
        <f>"いぶき"</f>
        <v>いぶき</v>
      </c>
      <c r="B259" s="1" t="str">
        <f t="shared" si="11"/>
        <v>いぶき</v>
      </c>
      <c r="C259" t="str">
        <f>"イブキ"</f>
        <v>イブキ</v>
      </c>
      <c r="D259" t="str">
        <f>"岡山地方貯金局いぶき川柳会"</f>
        <v>岡山地方貯金局いぶき川柳会</v>
      </c>
      <c r="E259" t="str">
        <f>"オカヤマチホウチョキンキョクイブキセンリュウカイ"</f>
        <v>オカヤマチホウチョキンキョクイブキセンリュウカイ</v>
      </c>
      <c r="F259" t="str">
        <f>"岡山"</f>
        <v>岡山</v>
      </c>
      <c r="G259" t="str">
        <f>"月刊"</f>
        <v>月刊</v>
      </c>
      <c r="H259" t="str">
        <f>"2002222287511"</f>
        <v>2002222287511</v>
      </c>
      <c r="I259" t="str">
        <f>HYPERLINK("#", "https://opac.libnet.pref.okayama.jp/licsxp-opac/WOpacMsgNewListToTifTilDetailAction.do?tilcod=2002222287511")</f>
        <v>https://opac.libnet.pref.okayama.jp/licsxp-opac/WOpacMsgNewListToTifTilDetailAction.do?tilcod=2002222287511</v>
      </c>
    </row>
    <row r="260" spans="1:9" x14ac:dyDescent="0.4">
      <c r="A260" t="str">
        <f>"イベント情報 岡山市民会館"</f>
        <v>イベント情報 岡山市民会館</v>
      </c>
      <c r="B260" s="1" t="str">
        <f t="shared" ref="B260:B323" si="15">HYPERLINK("#", A260)</f>
        <v>イベント情報 岡山市民会館</v>
      </c>
      <c r="C260" t="str">
        <f>"イベント ジョウホウ オカヤマ シミン カイカン"</f>
        <v>イベント ジョウホウ オカヤマ シミン カイカン</v>
      </c>
      <c r="D260" t="str">
        <f>"岡山市民会館"</f>
        <v>岡山市民会館</v>
      </c>
      <c r="E260" t="str">
        <f>"オカヤマシミンカイカン"</f>
        <v>オカヤマシミンカイカン</v>
      </c>
      <c r="F260" t="str">
        <f>""</f>
        <v/>
      </c>
      <c r="G260" t="str">
        <f>"月刊"</f>
        <v>月刊</v>
      </c>
      <c r="H260" t="str">
        <f>"2002222306783"</f>
        <v>2002222306783</v>
      </c>
      <c r="I260" t="str">
        <f>HYPERLINK("#", "https://opac.libnet.pref.okayama.jp/licsxp-opac/WOpacMsgNewListToTifTilDetailAction.do?tilcod=2002222306783")</f>
        <v>https://opac.libnet.pref.okayama.jp/licsxp-opac/WOpacMsgNewListToTifTilDetailAction.do?tilcod=2002222306783</v>
      </c>
    </row>
    <row r="261" spans="1:9" x14ac:dyDescent="0.4">
      <c r="A261" t="str">
        <f>"今すぐ住める部屋選びｉＭＡＳＵＭＵ（イマスム）岡山版"</f>
        <v>今すぐ住める部屋選びｉＭＡＳＵＭＵ（イマスム）岡山版</v>
      </c>
      <c r="B261" s="1" t="str">
        <f t="shared" si="15"/>
        <v>今すぐ住める部屋選びｉＭＡＳＵＭＵ（イマスム）岡山版</v>
      </c>
      <c r="C261" t="str">
        <f>"イマ　スグ　スメル　ヘヤ　エラビ　イマ　スム　オカヤマバン"</f>
        <v>イマ　スグ　スメル　ヘヤ　エラビ　イマ　スム　オカヤマバン</v>
      </c>
      <c r="D261" t="str">
        <f>"レオパレス２１"</f>
        <v>レオパレス２１</v>
      </c>
      <c r="E261" t="str">
        <f>"レオパレスニジュウイチ"</f>
        <v>レオパレスニジュウイチ</v>
      </c>
      <c r="F261" t="str">
        <f>"東京"</f>
        <v>東京</v>
      </c>
      <c r="G261" t="str">
        <f>"頻度不明"</f>
        <v>頻度不明</v>
      </c>
      <c r="H261" t="str">
        <f>"2002222301303"</f>
        <v>2002222301303</v>
      </c>
      <c r="I261" t="str">
        <f>HYPERLINK("#", "https://opac.libnet.pref.okayama.jp/licsxp-opac/WOpacMsgNewListToTifTilDetailAction.do?tilcod=2002222301303")</f>
        <v>https://opac.libnet.pref.okayama.jp/licsxp-opac/WOpacMsgNewListToTifTilDetailAction.do?tilcod=2002222301303</v>
      </c>
    </row>
    <row r="262" spans="1:9" x14ac:dyDescent="0.4">
      <c r="A262" t="str">
        <f>"伊与部山"</f>
        <v>伊与部山</v>
      </c>
      <c r="B262" s="1" t="str">
        <f t="shared" si="15"/>
        <v>伊与部山</v>
      </c>
      <c r="C262" t="str">
        <f>"イヨベヤマ"</f>
        <v>イヨベヤマ</v>
      </c>
      <c r="D262" t="str">
        <f>"伊与部山史跡整備委員会"</f>
        <v>伊与部山史跡整備委員会</v>
      </c>
      <c r="E262" t="str">
        <f>"イヨベヤマシセキセイビイインカイ"</f>
        <v>イヨベヤマシセキセイビイインカイ</v>
      </c>
      <c r="F262" t="str">
        <f>"岡山"</f>
        <v>岡山</v>
      </c>
      <c r="G262" t="str">
        <f>"頻度不明"</f>
        <v>頻度不明</v>
      </c>
      <c r="H262" t="str">
        <f>"2002222293481"</f>
        <v>2002222293481</v>
      </c>
      <c r="I262" t="str">
        <f>HYPERLINK("#", "https://opac.libnet.pref.okayama.jp/licsxp-opac/WOpacMsgNewListToTifTilDetailAction.do?tilcod=2002222293481")</f>
        <v>https://opac.libnet.pref.okayama.jp/licsxp-opac/WOpacMsgNewListToTifTilDetailAction.do?tilcod=2002222293481</v>
      </c>
    </row>
    <row r="263" spans="1:9" x14ac:dyDescent="0.4">
      <c r="A263" t="str">
        <f>"医療社会事業"</f>
        <v>医療社会事業</v>
      </c>
      <c r="B263" s="1" t="str">
        <f t="shared" si="15"/>
        <v>医療社会事業</v>
      </c>
      <c r="C263" t="str">
        <f>"イリョウ　シャカイ　ジギョウ"</f>
        <v>イリョウ　シャカイ　ジギョウ</v>
      </c>
      <c r="D263" t="str">
        <f>"岡山県医療社会事業協会"</f>
        <v>岡山県医療社会事業協会</v>
      </c>
      <c r="E263" t="str">
        <f>"オカヤマケン イリョウ シャカイ ジギョウ キョウカイ"</f>
        <v>オカヤマケン イリョウ シャカイ ジギョウ キョウカイ</v>
      </c>
      <c r="F263" t="str">
        <f>""</f>
        <v/>
      </c>
      <c r="G263" t="str">
        <f>"年刊"</f>
        <v>年刊</v>
      </c>
      <c r="H263" t="str">
        <f>"2002222287521"</f>
        <v>2002222287521</v>
      </c>
      <c r="I263" t="str">
        <f>HYPERLINK("#", "https://opac.libnet.pref.okayama.jp/licsxp-opac/WOpacMsgNewListToTifTilDetailAction.do?tilcod=2002222287521")</f>
        <v>https://opac.libnet.pref.okayama.jp/licsxp-opac/WOpacMsgNewListToTifTilDetailAction.do?tilcod=2002222287521</v>
      </c>
    </row>
    <row r="264" spans="1:9" x14ac:dyDescent="0.4">
      <c r="A264" t="str">
        <f>"いろはにこんぺいとう"</f>
        <v>いろはにこんぺいとう</v>
      </c>
      <c r="B264" s="1" t="str">
        <f t="shared" si="15"/>
        <v>いろはにこんぺいとう</v>
      </c>
      <c r="C264" t="str">
        <f>"イロハニ　コンペイトウ"</f>
        <v>イロハニ　コンペイトウ</v>
      </c>
      <c r="D264" t="str">
        <f>"美作創作の会"</f>
        <v>美作創作の会</v>
      </c>
      <c r="E264" t="str">
        <f>"ミマサカソウサクノカイ"</f>
        <v>ミマサカソウサクノカイ</v>
      </c>
      <c r="F264" t="str">
        <f>"美作"</f>
        <v>美作</v>
      </c>
      <c r="G264" t="str">
        <f>"年刊"</f>
        <v>年刊</v>
      </c>
      <c r="H264" t="str">
        <f>"2002222301786"</f>
        <v>2002222301786</v>
      </c>
      <c r="I264" t="str">
        <f>HYPERLINK("#", "https://opac.libnet.pref.okayama.jp/licsxp-opac/WOpacMsgNewListToTifTilDetailAction.do?tilcod=2002222301786")</f>
        <v>https://opac.libnet.pref.okayama.jp/licsxp-opac/WOpacMsgNewListToTifTilDetailAction.do?tilcod=2002222301786</v>
      </c>
    </row>
    <row r="265" spans="1:9" x14ac:dyDescent="0.4">
      <c r="A265" t="str">
        <f>"〔岩田青年団〕団報"</f>
        <v>〔岩田青年団〕団報</v>
      </c>
      <c r="B265" s="1" t="str">
        <f t="shared" si="15"/>
        <v>〔岩田青年団〕団報</v>
      </c>
      <c r="C265" t="str">
        <f>"イワタ　セイネンダン　ダンポウ"</f>
        <v>イワタ　セイネンダン　ダンポウ</v>
      </c>
      <c r="D265" t="str">
        <f>"岩田青年団事務所"</f>
        <v>岩田青年団事務所</v>
      </c>
      <c r="E265" t="str">
        <f>"イワタセイネンダンジムショ"</f>
        <v>イワタセイネンダンジムショ</v>
      </c>
      <c r="F265" t="str">
        <f>""</f>
        <v/>
      </c>
      <c r="G265" t="str">
        <f>"頻度不明"</f>
        <v>頻度不明</v>
      </c>
      <c r="H265" t="str">
        <f>"2002222287531"</f>
        <v>2002222287531</v>
      </c>
      <c r="I265" t="str">
        <f>HYPERLINK("#", "https://opac.libnet.pref.okayama.jp/licsxp-opac/WOpacMsgNewListToTifTilDetailAction.do?tilcod=2002222287531")</f>
        <v>https://opac.libnet.pref.okayama.jp/licsxp-opac/WOpacMsgNewListToTifTilDetailAction.do?tilcod=2002222287531</v>
      </c>
    </row>
    <row r="266" spans="1:9" x14ac:dyDescent="0.4">
      <c r="A266" t="str">
        <f>"〔岩田青年団〕団友"</f>
        <v>〔岩田青年団〕団友</v>
      </c>
      <c r="B266" s="1" t="str">
        <f t="shared" si="15"/>
        <v>〔岩田青年団〕団友</v>
      </c>
      <c r="C266" t="str">
        <f>"イワタ　セイネンダン　ダンユウ"</f>
        <v>イワタ　セイネンダン　ダンユウ</v>
      </c>
      <c r="D266" t="str">
        <f>"岩田青年団"</f>
        <v>岩田青年団</v>
      </c>
      <c r="E266" t="str">
        <f>"イワタセイネンダン"</f>
        <v>イワタセイネンダン</v>
      </c>
      <c r="F266" t="str">
        <f>""</f>
        <v/>
      </c>
      <c r="G266" t="str">
        <f>"頻度不明"</f>
        <v>頻度不明</v>
      </c>
      <c r="H266" t="str">
        <f>"2002222287541"</f>
        <v>2002222287541</v>
      </c>
      <c r="I266" t="str">
        <f>HYPERLINK("#", "https://opac.libnet.pref.okayama.jp/licsxp-opac/WOpacMsgNewListToTifTilDetailAction.do?tilcod=2002222287541")</f>
        <v>https://opac.libnet.pref.okayama.jp/licsxp-opac/WOpacMsgNewListToTifTilDetailAction.do?tilcod=2002222287541</v>
      </c>
    </row>
    <row r="267" spans="1:9" x14ac:dyDescent="0.4">
      <c r="A267" t="str">
        <f>"ENGLISH JOURNAL"</f>
        <v>ENGLISH JOURNAL</v>
      </c>
      <c r="B267" s="1" t="str">
        <f t="shared" si="15"/>
        <v>ENGLISH JOURNAL</v>
      </c>
      <c r="C267" t="str">
        <f>"イングリッシュ ジャーナル"</f>
        <v>イングリッシュ ジャーナル</v>
      </c>
      <c r="D267" t="str">
        <f>"岡山県中学校教育研究会英語部会"</f>
        <v>岡山県中学校教育研究会英語部会</v>
      </c>
      <c r="E267" t="str">
        <f>"オカヤマケン チュウガッコウ キョウイク ケンキュウカイ エイゴ ブカイ"</f>
        <v>オカヤマケン チュウガッコウ キョウイク ケンキュウカイ エイゴ ブカイ</v>
      </c>
      <c r="F267" t="str">
        <f>"岡山"</f>
        <v>岡山</v>
      </c>
      <c r="G267" t="str">
        <f>"年刊"</f>
        <v>年刊</v>
      </c>
      <c r="H267" t="str">
        <f>"2002222343811"</f>
        <v>2002222343811</v>
      </c>
      <c r="I267" t="str">
        <f>HYPERLINK("#", "https://opac.libnet.pref.okayama.jp/licsxp-opac/WOpacMsgNewListToTifTilDetailAction.do?tilcod=2002222343811")</f>
        <v>https://opac.libnet.pref.okayama.jp/licsxp-opac/WOpacMsgNewListToTifTilDetailAction.do?tilcod=2002222343811</v>
      </c>
    </row>
    <row r="268" spans="1:9" x14ac:dyDescent="0.4">
      <c r="A268" t="str">
        <f>"ＩＮＴＥＲＫＩＤＳ　ＮＥＷＳＬＥＴＴＥＲ"</f>
        <v>ＩＮＴＥＲＫＩＤＳ　ＮＥＷＳＬＥＴＴＥＲ</v>
      </c>
      <c r="B268" s="1" t="str">
        <f t="shared" si="15"/>
        <v>ＩＮＴＥＲＫＩＤＳ　ＮＥＷＳＬＥＴＴＥＲ</v>
      </c>
      <c r="C268" t="str">
        <f>"インター　キッズ　ニュース　レター"</f>
        <v>インター　キッズ　ニュース　レター</v>
      </c>
      <c r="D268" t="str">
        <f>"こくさいこどもフォーラム岡山"</f>
        <v>こくさいこどもフォーラム岡山</v>
      </c>
      <c r="E268" t="str">
        <f>"コクサイコドモフォーラムオカヤマ"</f>
        <v>コクサイコドモフォーラムオカヤマ</v>
      </c>
      <c r="F268" t="str">
        <f>"岡山市"</f>
        <v>岡山市</v>
      </c>
      <c r="G268" t="str">
        <f>"年２回刊"</f>
        <v>年２回刊</v>
      </c>
      <c r="H268" t="str">
        <f>"2002222293541"</f>
        <v>2002222293541</v>
      </c>
      <c r="I268" t="str">
        <f>HYPERLINK("#", "https://opac.libnet.pref.okayama.jp/licsxp-opac/WOpacMsgNewListToTifTilDetailAction.do?tilcod=2002222293541")</f>
        <v>https://opac.libnet.pref.okayama.jp/licsxp-opac/WOpacMsgNewListToTifTilDetailAction.do?tilcod=2002222293541</v>
      </c>
    </row>
    <row r="269" spans="1:9" x14ac:dyDescent="0.4">
      <c r="A269" t="str">
        <f>"ＩＮＴＥＲ　ＶＯＩＣＥ（インターボイス）；ＦＭくらしき"</f>
        <v>ＩＮＴＥＲ　ＶＯＩＣＥ（インターボイス）；ＦＭくらしき</v>
      </c>
      <c r="B269" s="1" t="str">
        <f t="shared" si="15"/>
        <v>ＩＮＴＥＲ　ＶＯＩＣＥ（インターボイス）；ＦＭくらしき</v>
      </c>
      <c r="C269" t="str">
        <f>"インター　ボイス＊エフエム　クラシキ"</f>
        <v>インター　ボイス＊エフエム　クラシキ</v>
      </c>
      <c r="D269" t="str">
        <f>"ＦＭくらしき"</f>
        <v>ＦＭくらしき</v>
      </c>
      <c r="E269" t="str">
        <f>"エフエムクラシキ"</f>
        <v>エフエムクラシキ</v>
      </c>
      <c r="F269" t="str">
        <f>"倉敷"</f>
        <v>倉敷</v>
      </c>
      <c r="G269" t="str">
        <f>"季刊"</f>
        <v>季刊</v>
      </c>
      <c r="H269" t="str">
        <f>"2002222286131"</f>
        <v>2002222286131</v>
      </c>
      <c r="I269" t="str">
        <f>HYPERLINK("#", "https://opac.libnet.pref.okayama.jp/licsxp-opac/WOpacMsgNewListToTifTilDetailAction.do?tilcod=2002222286131")</f>
        <v>https://opac.libnet.pref.okayama.jp/licsxp-opac/WOpacMsgNewListToTifTilDetailAction.do?tilcod=2002222286131</v>
      </c>
    </row>
    <row r="270" spans="1:9" x14ac:dyDescent="0.4">
      <c r="A270" t="str">
        <f>"IMPRESSION -SENIOR CLUB-"</f>
        <v>IMPRESSION -SENIOR CLUB-</v>
      </c>
      <c r="B270" s="1" t="str">
        <f t="shared" si="15"/>
        <v>IMPRESSION -SENIOR CLUB-</v>
      </c>
      <c r="C270" t="str">
        <f>"インプレッション シニア クラブ"</f>
        <v>インプレッション シニア クラブ</v>
      </c>
      <c r="D270" t="str">
        <f>"岡山リビング新聞社"</f>
        <v>岡山リビング新聞社</v>
      </c>
      <c r="E270" t="str">
        <f>"オカヤマ リビング シンブンシャ"</f>
        <v>オカヤマ リビング シンブンシャ</v>
      </c>
      <c r="F270" t="str">
        <f>"岡山"</f>
        <v>岡山</v>
      </c>
      <c r="G270" t="str">
        <f>"不定期刊"</f>
        <v>不定期刊</v>
      </c>
      <c r="H270" t="str">
        <f>"2002222318409"</f>
        <v>2002222318409</v>
      </c>
      <c r="I270" t="str">
        <f>HYPERLINK("#", "https://opac.libnet.pref.okayama.jp/licsxp-opac/WOpacMsgNewListToTifTilDetailAction.do?tilcod=2002222318409")</f>
        <v>https://opac.libnet.pref.okayama.jp/licsxp-opac/WOpacMsgNewListToTifTilDetailAction.do?tilcod=2002222318409</v>
      </c>
    </row>
    <row r="271" spans="1:9" x14ac:dyDescent="0.4">
      <c r="A271" t="str">
        <f>"VISION OKAYAMA（ヴィジョン オカヤマ）；岡山を元気にする経済情報誌"</f>
        <v>VISION OKAYAMA（ヴィジョン オカヤマ）；岡山を元気にする経済情報誌</v>
      </c>
      <c r="B271" s="1" t="str">
        <f t="shared" si="15"/>
        <v>VISION OKAYAMA（ヴィジョン オカヤマ）；岡山を元気にする経済情報誌</v>
      </c>
      <c r="C271" t="str">
        <f>"ヴィジョン オカヤマ＊オカヤマヲ ゲンキニ スル ケイザイ ジョウホウシ"</f>
        <v>ヴィジョン オカヤマ＊オカヤマヲ ゲンキニ スル ケイザイ ジョウホウシ</v>
      </c>
      <c r="D271" t="str">
        <f>"瀬戸内海経済レポート"</f>
        <v>瀬戸内海経済レポート</v>
      </c>
      <c r="E271" t="str">
        <f>"セトナイカイ ケイザイ レポート"</f>
        <v>セトナイカイ ケイザイ レポート</v>
      </c>
      <c r="F271" t="str">
        <f>"岡山"</f>
        <v>岡山</v>
      </c>
      <c r="G271" t="str">
        <f>"週刊"</f>
        <v>週刊</v>
      </c>
      <c r="H271" t="str">
        <f>"2002222285491"</f>
        <v>2002222285491</v>
      </c>
      <c r="I271" t="str">
        <f>HYPERLINK("#", "https://opac.libnet.pref.okayama.jp/licsxp-opac/WOpacMsgNewListToTifTilDetailAction.do?tilcod=2002222285491")</f>
        <v>https://opac.libnet.pref.okayama.jp/licsxp-opac/WOpacMsgNewListToTifTilDetailAction.do?tilcod=2002222285491</v>
      </c>
    </row>
    <row r="272" spans="1:9" x14ac:dyDescent="0.4">
      <c r="A272" t="str">
        <f>"Ｗｉｔｈ（ウィズ）；ウィズセンター情報誌"</f>
        <v>Ｗｉｔｈ（ウィズ）；ウィズセンター情報誌</v>
      </c>
      <c r="B272" s="1" t="str">
        <f t="shared" si="15"/>
        <v>Ｗｉｔｈ（ウィズ）；ウィズセンター情報誌</v>
      </c>
      <c r="C272" t="str">
        <f>"ウィズ＊ウィズ　センター　ジョウホウシ"</f>
        <v>ウィズ＊ウィズ　センター　ジョウホウシ</v>
      </c>
      <c r="D272" t="str">
        <f>"岡山県男女共同参画推進センター"</f>
        <v>岡山県男女共同参画推進センター</v>
      </c>
      <c r="E272" t="str">
        <f>"オカヤマケン ダンジョ キョウドウ サンカク スイシン センター"</f>
        <v>オカヤマケン ダンジョ キョウドウ サンカク スイシン センター</v>
      </c>
      <c r="F272" t="str">
        <f>"岡山"</f>
        <v>岡山</v>
      </c>
      <c r="G272" t="str">
        <f>"年刊"</f>
        <v>年刊</v>
      </c>
      <c r="H272" t="str">
        <f>"2002222286161"</f>
        <v>2002222286161</v>
      </c>
      <c r="I272" t="str">
        <f>HYPERLINK("#", "https://opac.libnet.pref.okayama.jp/licsxp-opac/WOpacMsgNewListToTifTilDetailAction.do?tilcod=2002222286161")</f>
        <v>https://opac.libnet.pref.okayama.jp/licsxp-opac/WOpacMsgNewListToTifTilDetailAction.do?tilcod=2002222286161</v>
      </c>
    </row>
    <row r="273" spans="1:9" x14ac:dyDescent="0.4">
      <c r="A273" t="str">
        <f>"ＷＩＴＨテリア"</f>
        <v>ＷＩＴＨテリア</v>
      </c>
      <c r="B273" s="1" t="str">
        <f t="shared" si="15"/>
        <v>ＷＩＴＨテリア</v>
      </c>
      <c r="C273" t="str">
        <f>"ウィズテリア"</f>
        <v>ウィズテリア</v>
      </c>
      <c r="D273" t="str">
        <f>"倉敷市市民局人権政策部男女共同参画課"</f>
        <v>倉敷市市民局人権政策部男女共同参画課</v>
      </c>
      <c r="E273" t="str">
        <f>"クラシキシ シミンキョク ジンケン セイサクブ ダンジョ キョウドウ サンカクカ"</f>
        <v>クラシキシ シミンキョク ジンケン セイサクブ ダンジョ キョウドウ サンカクカ</v>
      </c>
      <c r="F273" t="str">
        <f>"倉敷"</f>
        <v>倉敷</v>
      </c>
      <c r="G273" t="str">
        <f>"年２回刊"</f>
        <v>年２回刊</v>
      </c>
      <c r="H273" t="str">
        <f>"2002222284651"</f>
        <v>2002222284651</v>
      </c>
      <c r="I273" t="str">
        <f>HYPERLINK("#", "https://opac.libnet.pref.okayama.jp/licsxp-opac/WOpacMsgNewListToTifTilDetailAction.do?tilcod=2002222284651")</f>
        <v>https://opac.libnet.pref.okayama.jp/licsxp-opac/WOpacMsgNewListToTifTilDetailAction.do?tilcod=2002222284651</v>
      </c>
    </row>
    <row r="274" spans="1:9" x14ac:dyDescent="0.4">
      <c r="A274" t="str">
        <f>"ウィメンズセンター岡山ニュース"</f>
        <v>ウィメンズセンター岡山ニュース</v>
      </c>
      <c r="B274" s="1" t="str">
        <f t="shared" si="15"/>
        <v>ウィメンズセンター岡山ニュース</v>
      </c>
      <c r="C274" t="str">
        <f>"ウィメンズ　センター　オカヤマ　ニュース"</f>
        <v>ウィメンズ　センター　オカヤマ　ニュース</v>
      </c>
      <c r="D274" t="str">
        <f>"ウィメンズセンター岡山"</f>
        <v>ウィメンズセンター岡山</v>
      </c>
      <c r="E274" t="str">
        <f>"ウィメンズセンターオカヤマ"</f>
        <v>ウィメンズセンターオカヤマ</v>
      </c>
      <c r="F274" t="str">
        <f>"岡山"</f>
        <v>岡山</v>
      </c>
      <c r="G274" t="str">
        <f>"隔月刊"</f>
        <v>隔月刊</v>
      </c>
      <c r="H274" t="str">
        <f>"2002222294661"</f>
        <v>2002222294661</v>
      </c>
      <c r="I274" t="str">
        <f>HYPERLINK("#", "https://opac.libnet.pref.okayama.jp/licsxp-opac/WOpacMsgNewListToTifTilDetailAction.do?tilcod=2002222294661")</f>
        <v>https://opac.libnet.pref.okayama.jp/licsxp-opac/WOpacMsgNewListToTifTilDetailAction.do?tilcod=2002222294661</v>
      </c>
    </row>
    <row r="275" spans="1:9" x14ac:dyDescent="0.4">
      <c r="A275" t="str">
        <f>"ＷＩＬＬ　ＨＯＵＳＥ（ウィルハウス）；岡山賃貸情報誌"</f>
        <v>ＷＩＬＬ　ＨＯＵＳＥ（ウィルハウス）；岡山賃貸情報誌</v>
      </c>
      <c r="B275" s="1" t="str">
        <f t="shared" si="15"/>
        <v>ＷＩＬＬ　ＨＯＵＳＥ（ウィルハウス）；岡山賃貸情報誌</v>
      </c>
      <c r="C275" t="str">
        <f>"ウィル　ハウス＊オカヤマ　チンタイ　ジョウホウシ"</f>
        <v>ウィル　ハウス＊オカヤマ　チンタイ　ジョウホウシ</v>
      </c>
      <c r="D275" t="str">
        <f>"エムリンク"</f>
        <v>エムリンク</v>
      </c>
      <c r="E275" t="str">
        <f>"エムリンク"</f>
        <v>エムリンク</v>
      </c>
      <c r="F275" t="str">
        <f>"神戸"</f>
        <v>神戸</v>
      </c>
      <c r="G275" t="str">
        <f>"月刊"</f>
        <v>月刊</v>
      </c>
      <c r="H275" t="str">
        <f>"2002222302246"</f>
        <v>2002222302246</v>
      </c>
      <c r="I275" t="str">
        <f>HYPERLINK("#", "https://opac.libnet.pref.okayama.jp/licsxp-opac/WOpacMsgNewListToTifTilDetailAction.do?tilcod=2002222302246")</f>
        <v>https://opac.libnet.pref.okayama.jp/licsxp-opac/WOpacMsgNewListToTifTilDetailAction.do?tilcod=2002222302246</v>
      </c>
    </row>
    <row r="276" spans="1:9" x14ac:dyDescent="0.4">
      <c r="A276" t="str">
        <f>"ＷＩＮ（ウィン）"</f>
        <v>ＷＩＮ（ウィン）</v>
      </c>
      <c r="B276" s="1" t="str">
        <f t="shared" si="15"/>
        <v>ＷＩＮ（ウィン）</v>
      </c>
      <c r="C276" t="str">
        <f>"ウィン"</f>
        <v>ウィン</v>
      </c>
      <c r="D276" t="str">
        <f>"ウィン"</f>
        <v>ウィン</v>
      </c>
      <c r="E276" t="str">
        <f>"ウィン"</f>
        <v>ウィン</v>
      </c>
      <c r="F276" t="str">
        <f>""</f>
        <v/>
      </c>
      <c r="G276" t="str">
        <f>"頻度不明"</f>
        <v>頻度不明</v>
      </c>
      <c r="H276" t="str">
        <f>"2002222287551"</f>
        <v>2002222287551</v>
      </c>
      <c r="I276" t="str">
        <f>HYPERLINK("#", "https://opac.libnet.pref.okayama.jp/licsxp-opac/WOpacMsgNewListToTifTilDetailAction.do?tilcod=2002222287551")</f>
        <v>https://opac.libnet.pref.okayama.jp/licsxp-opac/WOpacMsgNewListToTifTilDetailAction.do?tilcod=2002222287551</v>
      </c>
    </row>
    <row r="277" spans="1:9" x14ac:dyDescent="0.4">
      <c r="A277" t="str">
        <f>"Wink 岡山版"</f>
        <v>Wink 岡山版</v>
      </c>
      <c r="B277" s="1" t="str">
        <f t="shared" si="15"/>
        <v>Wink 岡山版</v>
      </c>
      <c r="C277" t="str">
        <f>"ウインク オカヤマバン"</f>
        <v>ウインク オカヤマバン</v>
      </c>
      <c r="D277" t="str">
        <f>"アスコン"</f>
        <v>アスコン</v>
      </c>
      <c r="E277" t="str">
        <f>"アスコン"</f>
        <v>アスコン</v>
      </c>
      <c r="F277" t="str">
        <f>"岡山"</f>
        <v>岡山</v>
      </c>
      <c r="G277" t="str">
        <f>"月刊"</f>
        <v>月刊</v>
      </c>
      <c r="H277" t="str">
        <f>"2002222270181"</f>
        <v>2002222270181</v>
      </c>
      <c r="I277" t="str">
        <f>HYPERLINK("#", "https://opac.libnet.pref.okayama.jp/licsxp-opac/WOpacMsgNewListToTifTilDetailAction.do?tilcod=2002222270181")</f>
        <v>https://opac.libnet.pref.okayama.jp/licsxp-opac/WOpacMsgNewListToTifTilDetailAction.do?tilcod=2002222270181</v>
      </c>
    </row>
    <row r="278" spans="1:9" x14ac:dyDescent="0.4">
      <c r="A278" t="str">
        <f>"Wink；広島・福山の地元誌"</f>
        <v>Wink；広島・福山の地元誌</v>
      </c>
      <c r="B278" s="1" t="str">
        <f t="shared" si="15"/>
        <v>Wink；広島・福山の地元誌</v>
      </c>
      <c r="C278" t="str">
        <f>"ウインク＊ヒロシマ フクヤマ ノ ジモトシ"</f>
        <v>ウインク＊ヒロシマ フクヤマ ノ ジモトシ</v>
      </c>
      <c r="D278" t="str">
        <f>"アスコン"</f>
        <v>アスコン</v>
      </c>
      <c r="E278" t="str">
        <f>"アスコン"</f>
        <v>アスコン</v>
      </c>
      <c r="F278" t="str">
        <f>"福山"</f>
        <v>福山</v>
      </c>
      <c r="G278" t="str">
        <f>"月刊"</f>
        <v>月刊</v>
      </c>
      <c r="H278" t="str">
        <f>"2002222291771"</f>
        <v>2002222291771</v>
      </c>
      <c r="I278" t="str">
        <f>HYPERLINK("#", "https://opac.libnet.pref.okayama.jp/licsxp-opac/WOpacMsgNewListToTifTilDetailAction.do?tilcod=2002222291771")</f>
        <v>https://opac.libnet.pref.okayama.jp/licsxp-opac/WOpacMsgNewListToTifTilDetailAction.do?tilcod=2002222291771</v>
      </c>
    </row>
    <row r="279" spans="1:9" x14ac:dyDescent="0.4">
      <c r="A279" t="str">
        <f>"ウープス　ｏｏｐｓ！；おかやまインターネットマガジン"</f>
        <v>ウープス　ｏｏｐｓ！；おかやまインターネットマガジン</v>
      </c>
      <c r="B279" s="1" t="str">
        <f t="shared" si="15"/>
        <v>ウープス　ｏｏｐｓ！；おかやまインターネットマガジン</v>
      </c>
      <c r="C279" t="str">
        <f>"ウープス＊オカヤマ　インターネット　マガジン"</f>
        <v>ウープス＊オカヤマ　インターネット　マガジン</v>
      </c>
      <c r="D279" t="str">
        <f>"三雅"</f>
        <v>三雅</v>
      </c>
      <c r="E279" t="str">
        <f>"ミツマサ"</f>
        <v>ミツマサ</v>
      </c>
      <c r="F279" t="str">
        <f>"岡山"</f>
        <v>岡山</v>
      </c>
      <c r="G279" t="str">
        <f>"頻度不明"</f>
        <v>頻度不明</v>
      </c>
      <c r="H279" t="str">
        <f>"2002222286021"</f>
        <v>2002222286021</v>
      </c>
      <c r="I279" t="str">
        <f>HYPERLINK("#", "https://opac.libnet.pref.okayama.jp/licsxp-opac/WOpacMsgNewListToTifTilDetailAction.do?tilcod=2002222286021")</f>
        <v>https://opac.libnet.pref.okayama.jp/licsxp-opac/WOpacMsgNewListToTifTilDetailAction.do?tilcod=2002222286021</v>
      </c>
    </row>
    <row r="280" spans="1:9" x14ac:dyDescent="0.4">
      <c r="A280" t="str">
        <f>"宇益新聞"</f>
        <v>宇益新聞</v>
      </c>
      <c r="B280" s="1" t="str">
        <f t="shared" si="15"/>
        <v>宇益新聞</v>
      </c>
      <c r="C280" t="str">
        <f>"ウエキ　シンブン"</f>
        <v>ウエキ　シンブン</v>
      </c>
      <c r="D280" t="str">
        <f>"宇益新聞社"</f>
        <v>宇益新聞社</v>
      </c>
      <c r="E280" t="str">
        <f>"ウエキ シンブンシャ"</f>
        <v>ウエキ シンブンシャ</v>
      </c>
      <c r="F280" t="str">
        <f>"岡山"</f>
        <v>岡山</v>
      </c>
      <c r="G280" t="str">
        <f>"旬刊"</f>
        <v>旬刊</v>
      </c>
      <c r="H280" t="str">
        <f>"2002222300780"</f>
        <v>2002222300780</v>
      </c>
      <c r="I280" t="str">
        <f>HYPERLINK("#", "https://opac.libnet.pref.okayama.jp/licsxp-opac/WOpacMsgNewListToTifTilDetailAction.do?tilcod=2002222300780")</f>
        <v>https://opac.libnet.pref.okayama.jp/licsxp-opac/WOpacMsgNewListToTifTilDetailAction.do?tilcod=2002222300780</v>
      </c>
    </row>
    <row r="281" spans="1:9" x14ac:dyDescent="0.4">
      <c r="A281" t="str">
        <f>"[ウエスコ学術振興財団] 事業報告書 研究成果報告書集"</f>
        <v>[ウエスコ学術振興財団] 事業報告書 研究成果報告書集</v>
      </c>
      <c r="B281" s="1" t="str">
        <f t="shared" si="15"/>
        <v>[ウエスコ学術振興財団] 事業報告書 研究成果報告書集</v>
      </c>
      <c r="C281" t="str">
        <f>"ウエスコ ガクジュツ シンコウ ザイダン ジギョウ ホウコク ショ ケンキュウ セイカ ホウコク ショ シュウ"</f>
        <v>ウエスコ ガクジュツ シンコウ ザイダン ジギョウ ホウコク ショ ケンキュウ セイカ ホウコク ショ シュウ</v>
      </c>
      <c r="D281" t="str">
        <f>"ウエスコ学術振興財団"</f>
        <v>ウエスコ学術振興財団</v>
      </c>
      <c r="E281" t="str">
        <f>"ウエスコ ガクジュツ シンコウ ザイダン"</f>
        <v>ウエスコ ガクジュツ シンコウ ザイダン</v>
      </c>
      <c r="F281" t="str">
        <f>""</f>
        <v/>
      </c>
      <c r="G281" t="str">
        <f>"年刊"</f>
        <v>年刊</v>
      </c>
      <c r="H281" t="str">
        <f>"2002222340071"</f>
        <v>2002222340071</v>
      </c>
      <c r="I281" t="str">
        <f>HYPERLINK("#", "https://opac.libnet.pref.okayama.jp/licsxp-opac/WOpacMsgNewListToTifTilDetailAction.do?tilcod=2002222340071")</f>
        <v>https://opac.libnet.pref.okayama.jp/licsxp-opac/WOpacMsgNewListToTifTilDetailAction.do?tilcod=2002222340071</v>
      </c>
    </row>
    <row r="282" spans="1:9" x14ac:dyDescent="0.4">
      <c r="A282" t="str">
        <f>"ウェディングスタイル岡山"</f>
        <v>ウェディングスタイル岡山</v>
      </c>
      <c r="B282" s="1" t="str">
        <f t="shared" si="15"/>
        <v>ウェディングスタイル岡山</v>
      </c>
      <c r="C282" t="str">
        <f>"ウェディング スタイル オカヤマ"</f>
        <v>ウェディング スタイル オカヤマ</v>
      </c>
      <c r="D282" t="str">
        <f>"ＫＧ情報"</f>
        <v>ＫＧ情報</v>
      </c>
      <c r="E282" t="str">
        <f>"ケージージョウホウ"</f>
        <v>ケージージョウホウ</v>
      </c>
      <c r="F282" t="str">
        <f>"岡山"</f>
        <v>岡山</v>
      </c>
      <c r="G282" t="str">
        <f>"隔月刊"</f>
        <v>隔月刊</v>
      </c>
      <c r="H282" t="str">
        <f>"2002222301669"</f>
        <v>2002222301669</v>
      </c>
      <c r="I282" t="str">
        <f>HYPERLINK("#", "https://opac.libnet.pref.okayama.jp/licsxp-opac/WOpacMsgNewListToTifTilDetailAction.do?tilcod=2002222301669")</f>
        <v>https://opac.libnet.pref.okayama.jp/licsxp-opac/WOpacMsgNewListToTifTilDetailAction.do?tilcod=2002222301669</v>
      </c>
    </row>
    <row r="283" spans="1:9" x14ac:dyDescent="0.4">
      <c r="A283" t="str">
        <f>"ウェディングスタイルPlus(プラス)岡山版；ウェディングスタイル岡山版　別冊"</f>
        <v>ウェディングスタイルPlus(プラス)岡山版；ウェディングスタイル岡山版　別冊</v>
      </c>
      <c r="B283" s="1" t="str">
        <f t="shared" si="15"/>
        <v>ウェディングスタイルPlus(プラス)岡山版；ウェディングスタイル岡山版　別冊</v>
      </c>
      <c r="C283" t="str">
        <f>"ウェディング スタイル プラス オカヤマバン* ウェディング スタイル オカヤマバン ベッサツ"</f>
        <v>ウェディング スタイル プラス オカヤマバン* ウェディング スタイル オカヤマバン ベッサツ</v>
      </c>
      <c r="D283" t="str">
        <f>"ＫＧ情報"</f>
        <v>ＫＧ情報</v>
      </c>
      <c r="E283" t="str">
        <f>"ケージージョウホウ"</f>
        <v>ケージージョウホウ</v>
      </c>
      <c r="F283" t="str">
        <f>"岡山"</f>
        <v>岡山</v>
      </c>
      <c r="G283" t="str">
        <f>"隔月刊"</f>
        <v>隔月刊</v>
      </c>
      <c r="H283" t="str">
        <f>"2002222306863"</f>
        <v>2002222306863</v>
      </c>
      <c r="I283" t="str">
        <f>HYPERLINK("#", "https://opac.libnet.pref.okayama.jp/licsxp-opac/WOpacMsgNewListToTifTilDetailAction.do?tilcod=2002222306863")</f>
        <v>https://opac.libnet.pref.okayama.jp/licsxp-opac/WOpacMsgNewListToTifTilDetailAction.do?tilcod=2002222306863</v>
      </c>
    </row>
    <row r="284" spans="1:9" x14ac:dyDescent="0.4">
      <c r="A284" t="str">
        <f>"宇垣纒海桜塔会々報"</f>
        <v>宇垣纒海桜塔会々報</v>
      </c>
      <c r="B284" s="1" t="str">
        <f t="shared" si="15"/>
        <v>宇垣纒海桜塔会々報</v>
      </c>
      <c r="C284" t="str">
        <f>"ウガキ マトメ カイオウトウカイ カイホウ"</f>
        <v>ウガキ マトメ カイオウトウカイ カイホウ</v>
      </c>
      <c r="D284" t="str">
        <f>"宇垣纒海桜塔会"</f>
        <v>宇垣纒海桜塔会</v>
      </c>
      <c r="E284" t="str">
        <f>"ウガキ マトメ カイオウトウカイ"</f>
        <v>ウガキ マトメ カイオウトウカイ</v>
      </c>
      <c r="F284" t="str">
        <f>"岡山"</f>
        <v>岡山</v>
      </c>
      <c r="G284" t="str">
        <f>"頻度不明"</f>
        <v>頻度不明</v>
      </c>
      <c r="H284" t="str">
        <f>"2002222342550"</f>
        <v>2002222342550</v>
      </c>
      <c r="I284" t="str">
        <f>HYPERLINK("#", "https://opac.libnet.pref.okayama.jp/licsxp-opac/WOpacMsgNewListToTifTilDetailAction.do?tilcod=2002222342550")</f>
        <v>https://opac.libnet.pref.okayama.jp/licsxp-opac/WOpacMsgNewListToTifTilDetailAction.do?tilcod=2002222342550</v>
      </c>
    </row>
    <row r="285" spans="1:9" x14ac:dyDescent="0.4">
      <c r="A285" t="str">
        <f>"〔有漢教員養成所同窓会〕会誌"</f>
        <v>〔有漢教員養成所同窓会〕会誌</v>
      </c>
      <c r="B285" s="1" t="str">
        <f t="shared" si="15"/>
        <v>〔有漢教員養成所同窓会〕会誌</v>
      </c>
      <c r="C285" t="str">
        <f>"ウカン キョウイン ヨウセイジョ ドウソウカイ カイシ"</f>
        <v>ウカン キョウイン ヨウセイジョ ドウソウカイ カイシ</v>
      </c>
      <c r="D285" t="str">
        <f>"有漢教員養成所同窓会"</f>
        <v>有漢教員養成所同窓会</v>
      </c>
      <c r="E285" t="str">
        <f>"ウカン キョウイン ヨウセイジョ ドウソウカイ"</f>
        <v>ウカン キョウイン ヨウセイジョ ドウソウカイ</v>
      </c>
      <c r="F285" t="str">
        <f>""</f>
        <v/>
      </c>
      <c r="G285" t="str">
        <f>"頻度不明"</f>
        <v>頻度不明</v>
      </c>
      <c r="H285" t="str">
        <f>"2002222326866"</f>
        <v>2002222326866</v>
      </c>
      <c r="I285" t="str">
        <f>HYPERLINK("#", "https://opac.libnet.pref.okayama.jp/licsxp-opac/WOpacMsgNewListToTifTilDetailAction.do?tilcod=2002222326866")</f>
        <v>https://opac.libnet.pref.okayama.jp/licsxp-opac/WOpacMsgNewListToTifTilDetailAction.do?tilcod=2002222326866</v>
      </c>
    </row>
    <row r="286" spans="1:9" x14ac:dyDescent="0.4">
      <c r="A286" t="str">
        <f>"うかん社協だより"</f>
        <v>うかん社協だより</v>
      </c>
      <c r="B286" s="1" t="str">
        <f t="shared" si="15"/>
        <v>うかん社協だより</v>
      </c>
      <c r="C286" t="str">
        <f>"ウカン　シヤキヨウ　ダヨリ"</f>
        <v>ウカン　シヤキヨウ　ダヨリ</v>
      </c>
      <c r="D286" t="str">
        <f>"有漢町社会福祉協議会"</f>
        <v>有漢町社会福祉協議会</v>
      </c>
      <c r="E286" t="str">
        <f>"ウカンチョウシャカイフクシキョウギカイ"</f>
        <v>ウカンチョウシャカイフクシキョウギカイ</v>
      </c>
      <c r="F286" t="str">
        <f>"上房郡有漢町"</f>
        <v>上房郡有漢町</v>
      </c>
      <c r="G286" t="str">
        <f>"その他"</f>
        <v>その他</v>
      </c>
      <c r="H286" t="str">
        <f>"2002222293861"</f>
        <v>2002222293861</v>
      </c>
      <c r="I286" t="str">
        <f>HYPERLINK("#", "https://opac.libnet.pref.okayama.jp/licsxp-opac/WOpacMsgNewListToTifTilDetailAction.do?tilcod=2002222293861")</f>
        <v>https://opac.libnet.pref.okayama.jp/licsxp-opac/WOpacMsgNewListToTifTilDetailAction.do?tilcod=2002222293861</v>
      </c>
    </row>
    <row r="287" spans="1:9" x14ac:dyDescent="0.4">
      <c r="A287" t="str">
        <f>"有漢町議会だより"</f>
        <v>有漢町議会だより</v>
      </c>
      <c r="B287" s="1" t="str">
        <f t="shared" si="15"/>
        <v>有漢町議会だより</v>
      </c>
      <c r="C287" t="str">
        <f>"ウカンチヨウ　ギカイ　ダヨリ"</f>
        <v>ウカンチヨウ　ギカイ　ダヨリ</v>
      </c>
      <c r="D287" t="str">
        <f>"有漢町議会"</f>
        <v>有漢町議会</v>
      </c>
      <c r="E287" t="str">
        <f>"ウカンチョウギカイ"</f>
        <v>ウカンチョウギカイ</v>
      </c>
      <c r="F287" t="str">
        <f>"有漢町（上房郡）"</f>
        <v>有漢町（上房郡）</v>
      </c>
      <c r="G287" t="str">
        <f>"不定期刊"</f>
        <v>不定期刊</v>
      </c>
      <c r="H287" t="str">
        <f>"2002222293601"</f>
        <v>2002222293601</v>
      </c>
      <c r="I287" t="str">
        <f>HYPERLINK("#", "https://opac.libnet.pref.okayama.jp/licsxp-opac/WOpacMsgNewListToTifTilDetailAction.do?tilcod=2002222293601")</f>
        <v>https://opac.libnet.pref.okayama.jp/licsxp-opac/WOpacMsgNewListToTifTilDetailAction.do?tilcod=2002222293601</v>
      </c>
    </row>
    <row r="288" spans="1:9" x14ac:dyDescent="0.4">
      <c r="A288" t="str">
        <f>"宇喜多家史談会会報"</f>
        <v>宇喜多家史談会会報</v>
      </c>
      <c r="B288" s="1" t="str">
        <f t="shared" si="15"/>
        <v>宇喜多家史談会会報</v>
      </c>
      <c r="C288" t="str">
        <f>"ウキタケ　シダンカイ　カイホウ"</f>
        <v>ウキタケ　シダンカイ　カイホウ</v>
      </c>
      <c r="D288" t="str">
        <f>"宇喜多家史談会"</f>
        <v>宇喜多家史談会</v>
      </c>
      <c r="E288" t="str">
        <f>"ウキタケシダンカイ"</f>
        <v>ウキタケシダンカイ</v>
      </c>
      <c r="F288" t="str">
        <f>"岡山"</f>
        <v>岡山</v>
      </c>
      <c r="G288" t="str">
        <f>"季刊"</f>
        <v>季刊</v>
      </c>
      <c r="H288" t="str">
        <f>"2002222300241"</f>
        <v>2002222300241</v>
      </c>
      <c r="I288" t="str">
        <f>HYPERLINK("#", "https://opac.libnet.pref.okayama.jp/licsxp-opac/WOpacMsgNewListToTifTilDetailAction.do?tilcod=2002222300241")</f>
        <v>https://opac.libnet.pref.okayama.jp/licsxp-opac/WOpacMsgNewListToTifTilDetailAction.do?tilcod=2002222300241</v>
      </c>
    </row>
    <row r="289" spans="1:9" x14ac:dyDescent="0.4">
      <c r="A289" t="str">
        <f>"宇喜多氏顕彰碑会々報"</f>
        <v>宇喜多氏顕彰碑会々報</v>
      </c>
      <c r="B289" s="1" t="str">
        <f t="shared" si="15"/>
        <v>宇喜多氏顕彰碑会々報</v>
      </c>
      <c r="C289" t="str">
        <f>"ウキタシ　ケンショウヒカイ　カイホウ"</f>
        <v>ウキタシ　ケンショウヒカイ　カイホウ</v>
      </c>
      <c r="D289" t="str">
        <f>"小橋弘事務所"</f>
        <v>小橋弘事務所</v>
      </c>
      <c r="E289" t="str">
        <f>"コバシヒロシジムショ"</f>
        <v>コバシヒロシジムショ</v>
      </c>
      <c r="F289" t="str">
        <f>""</f>
        <v/>
      </c>
      <c r="G289" t="str">
        <f>"頻度不明"</f>
        <v>頻度不明</v>
      </c>
      <c r="H289" t="str">
        <f>"2002222287561"</f>
        <v>2002222287561</v>
      </c>
      <c r="I289" t="str">
        <f>HYPERLINK("#", "https://opac.libnet.pref.okayama.jp/licsxp-opac/WOpacMsgNewListToTifTilDetailAction.do?tilcod=2002222287561")</f>
        <v>https://opac.libnet.pref.okayama.jp/licsxp-opac/WOpacMsgNewListToTifTilDetailAction.do?tilcod=2002222287561</v>
      </c>
    </row>
    <row r="290" spans="1:9" x14ac:dyDescent="0.4">
      <c r="A290" t="str">
        <f>"うしお"</f>
        <v>うしお</v>
      </c>
      <c r="B290" s="1" t="str">
        <f t="shared" si="15"/>
        <v>うしお</v>
      </c>
      <c r="C290" t="str">
        <f>"ウシオ"</f>
        <v>ウシオ</v>
      </c>
      <c r="D290" t="str">
        <f>"日生中学校文芸部"</f>
        <v>日生中学校文芸部</v>
      </c>
      <c r="E290" t="str">
        <f>"ヒナセ チュウガッコウ ブンゲイイブ"</f>
        <v>ヒナセ チュウガッコウ ブンゲイイブ</v>
      </c>
      <c r="F290" t="str">
        <f>"[岡山]"</f>
        <v>[岡山]</v>
      </c>
      <c r="G290" t="str">
        <f>"頻度不明"</f>
        <v>頻度不明</v>
      </c>
      <c r="H290" t="str">
        <f>"2002222309327"</f>
        <v>2002222309327</v>
      </c>
      <c r="I290" t="str">
        <f>HYPERLINK("#", "https://opac.libnet.pref.okayama.jp/licsxp-opac/WOpacMsgNewListToTifTilDetailAction.do?tilcod=2002222309327")</f>
        <v>https://opac.libnet.pref.okayama.jp/licsxp-opac/WOpacMsgNewListToTifTilDetailAction.do?tilcod=2002222309327</v>
      </c>
    </row>
    <row r="291" spans="1:9" x14ac:dyDescent="0.4">
      <c r="A291" t="str">
        <f>"潮"</f>
        <v>潮</v>
      </c>
      <c r="B291" s="1" t="str">
        <f t="shared" si="15"/>
        <v>潮</v>
      </c>
      <c r="C291" t="str">
        <f>"ウシオ"</f>
        <v>ウシオ</v>
      </c>
      <c r="D291" t="str">
        <f>"潮発行所"</f>
        <v>潮発行所</v>
      </c>
      <c r="E291" t="str">
        <f>"ウシオハッコウジョ"</f>
        <v>ウシオハッコウジョ</v>
      </c>
      <c r="F291" t="str">
        <f>"西大寺"</f>
        <v>西大寺</v>
      </c>
      <c r="G291" t="str">
        <f>"頻度不明"</f>
        <v>頻度不明</v>
      </c>
      <c r="H291" t="str">
        <f>"2002222287571"</f>
        <v>2002222287571</v>
      </c>
      <c r="I291" t="str">
        <f>HYPERLINK("#", "https://opac.libnet.pref.okayama.jp/licsxp-opac/WOpacMsgNewListToTifTilDetailAction.do?tilcod=2002222287571")</f>
        <v>https://opac.libnet.pref.okayama.jp/licsxp-opac/WOpacMsgNewListToTifTilDetailAction.do?tilcod=2002222287571</v>
      </c>
    </row>
    <row r="292" spans="1:9" x14ac:dyDescent="0.4">
      <c r="A292" t="str">
        <f>"牛窓春秋"</f>
        <v>牛窓春秋</v>
      </c>
      <c r="B292" s="1" t="str">
        <f t="shared" si="15"/>
        <v>牛窓春秋</v>
      </c>
      <c r="C292" t="str">
        <f>"ウシマド　シュンジュウ"</f>
        <v>ウシマド　シュンジュウ</v>
      </c>
      <c r="D292" t="str">
        <f>"牛窓春秋会"</f>
        <v>牛窓春秋会</v>
      </c>
      <c r="E292" t="str">
        <f>"ウシマドシュンジュウカイ"</f>
        <v>ウシマドシュンジュウカイ</v>
      </c>
      <c r="F292" t="str">
        <f>"牛窓町（邑久郡）"</f>
        <v>牛窓町（邑久郡）</v>
      </c>
      <c r="G292" t="str">
        <f>"不定期刊"</f>
        <v>不定期刊</v>
      </c>
      <c r="H292" t="str">
        <f>"2002222291021"</f>
        <v>2002222291021</v>
      </c>
      <c r="I292" t="str">
        <f>HYPERLINK("#", "https://opac.libnet.pref.okayama.jp/licsxp-opac/WOpacMsgNewListToTifTilDetailAction.do?tilcod=2002222291021")</f>
        <v>https://opac.libnet.pref.okayama.jp/licsxp-opac/WOpacMsgNewListToTifTilDetailAction.do?tilcod=2002222291021</v>
      </c>
    </row>
    <row r="293" spans="1:9" x14ac:dyDescent="0.4">
      <c r="A293" t="str">
        <f>"烏城"</f>
        <v>烏城</v>
      </c>
      <c r="B293" s="1" t="str">
        <f t="shared" si="15"/>
        <v>烏城</v>
      </c>
      <c r="C293" t="str">
        <f>"ウジョウ"</f>
        <v>ウジョウ</v>
      </c>
      <c r="D293" t="str">
        <f>"岡山中央警察署内山下交番"</f>
        <v>岡山中央警察署内山下交番</v>
      </c>
      <c r="E293" t="str">
        <f>"オカヤマ　チュウオウ　ケイサツショ　ウチサンゲ　コウバン"</f>
        <v>オカヤマ　チュウオウ　ケイサツショ　ウチサンゲ　コウバン</v>
      </c>
      <c r="F293" t="str">
        <f t="shared" ref="F293:F301" si="16">"岡山"</f>
        <v>岡山</v>
      </c>
      <c r="G293" t="str">
        <f>"月刊"</f>
        <v>月刊</v>
      </c>
      <c r="H293" t="str">
        <f>"2002222311647"</f>
        <v>2002222311647</v>
      </c>
      <c r="I293" t="str">
        <f>HYPERLINK("#", "https://opac.libnet.pref.okayama.jp/licsxp-opac/WOpacMsgNewListToTifTilDetailAction.do?tilcod=2002222311647")</f>
        <v>https://opac.libnet.pref.okayama.jp/licsxp-opac/WOpacMsgNewListToTifTilDetailAction.do?tilcod=2002222311647</v>
      </c>
    </row>
    <row r="294" spans="1:9" x14ac:dyDescent="0.4">
      <c r="A294" t="str">
        <f>"烏城"</f>
        <v>烏城</v>
      </c>
      <c r="B294" s="1" t="str">
        <f t="shared" si="15"/>
        <v>烏城</v>
      </c>
      <c r="C294" t="str">
        <f>"ウジョウ"</f>
        <v>ウジョウ</v>
      </c>
      <c r="D294" t="str">
        <f>"尚志会"</f>
        <v>尚志会</v>
      </c>
      <c r="E294" t="str">
        <f>"ショウシカイ"</f>
        <v>ショウシカイ</v>
      </c>
      <c r="F294" t="str">
        <f t="shared" si="16"/>
        <v>岡山</v>
      </c>
      <c r="G294" t="str">
        <f>"頻度不明"</f>
        <v>頻度不明</v>
      </c>
      <c r="H294" t="str">
        <f>"2002222312308"</f>
        <v>2002222312308</v>
      </c>
      <c r="I294" t="str">
        <f>HYPERLINK("#", "https://opac.libnet.pref.okayama.jp/licsxp-opac/WOpacMsgNewListToTifTilDetailAction.do?tilcod=2002222312308")</f>
        <v>https://opac.libnet.pref.okayama.jp/licsxp-opac/WOpacMsgNewListToTifTilDetailAction.do?tilcod=2002222312308</v>
      </c>
    </row>
    <row r="295" spans="1:9" x14ac:dyDescent="0.4">
      <c r="A295" t="str">
        <f>"烏城"</f>
        <v>烏城</v>
      </c>
      <c r="B295" s="1" t="str">
        <f t="shared" si="15"/>
        <v>烏城</v>
      </c>
      <c r="C295" t="str">
        <f>"ウジョウ"</f>
        <v>ウジョウ</v>
      </c>
      <c r="D295" t="str">
        <f>"岡山県立岡山第一高等学校"</f>
        <v>岡山県立岡山第一高等学校</v>
      </c>
      <c r="E295" t="str">
        <f>"オカヤマ ダイイチ コウトウ ガッコウ"</f>
        <v>オカヤマ ダイイチ コウトウ ガッコウ</v>
      </c>
      <c r="F295" t="str">
        <f t="shared" si="16"/>
        <v>岡山</v>
      </c>
      <c r="G295" t="str">
        <f>"頻度不明"</f>
        <v>頻度不明</v>
      </c>
      <c r="H295" t="str">
        <f>"2002222336446"</f>
        <v>2002222336446</v>
      </c>
      <c r="I295" t="str">
        <f>HYPERLINK("#", "https://opac.libnet.pref.okayama.jp/licsxp-opac/WOpacMsgNewListToTifTilDetailAction.do?tilcod=2002222336446")</f>
        <v>https://opac.libnet.pref.okayama.jp/licsxp-opac/WOpacMsgNewListToTifTilDetailAction.do?tilcod=2002222336446</v>
      </c>
    </row>
    <row r="296" spans="1:9" x14ac:dyDescent="0.4">
      <c r="A296" t="str">
        <f>"烏城"</f>
        <v>烏城</v>
      </c>
      <c r="B296" s="1" t="str">
        <f t="shared" si="15"/>
        <v>烏城</v>
      </c>
      <c r="C296" t="str">
        <f>"ウジョウ"</f>
        <v>ウジョウ</v>
      </c>
      <c r="D296" t="str">
        <f>"烏城援助会"</f>
        <v>烏城援助会</v>
      </c>
      <c r="E296" t="str">
        <f>"ウジョウエンジョカイ"</f>
        <v>ウジョウエンジョカイ</v>
      </c>
      <c r="F296" t="str">
        <f t="shared" si="16"/>
        <v>岡山</v>
      </c>
      <c r="G296" t="str">
        <f>"頻度不明"</f>
        <v>頻度不明</v>
      </c>
      <c r="H296" t="str">
        <f>"2002222287581"</f>
        <v>2002222287581</v>
      </c>
      <c r="I296" t="str">
        <f>HYPERLINK("#", "https://opac.libnet.pref.okayama.jp/licsxp-opac/WOpacMsgNewListToTifTilDetailAction.do?tilcod=2002222287581")</f>
        <v>https://opac.libnet.pref.okayama.jp/licsxp-opac/WOpacMsgNewListToTifTilDetailAction.do?tilcod=2002222287581</v>
      </c>
    </row>
    <row r="297" spans="1:9" x14ac:dyDescent="0.4">
      <c r="A297" t="str">
        <f>"烏城高等学校学校案内"</f>
        <v>烏城高等学校学校案内</v>
      </c>
      <c r="B297" s="1" t="str">
        <f t="shared" si="15"/>
        <v>烏城高等学校学校案内</v>
      </c>
      <c r="C297" t="str">
        <f>"ウジョウ　コウトウ　ガッコウ　ガッコウ　アンナイ"</f>
        <v>ウジョウ　コウトウ　ガッコウ　ガッコウ　アンナイ</v>
      </c>
      <c r="D297" t="str">
        <f>"烏城高等学校"</f>
        <v>烏城高等学校</v>
      </c>
      <c r="E297" t="str">
        <f>"ウジョウ コウトウ ガッコウ"</f>
        <v>ウジョウ コウトウ ガッコウ</v>
      </c>
      <c r="F297" t="str">
        <f t="shared" si="16"/>
        <v>岡山</v>
      </c>
      <c r="G297" t="str">
        <f>"年刊"</f>
        <v>年刊</v>
      </c>
      <c r="H297" t="str">
        <f>"2002222301188"</f>
        <v>2002222301188</v>
      </c>
      <c r="I297" t="str">
        <f>HYPERLINK("#", "https://opac.libnet.pref.okayama.jp/licsxp-opac/WOpacMsgNewListToTifTilDetailAction.do?tilcod=2002222301188")</f>
        <v>https://opac.libnet.pref.okayama.jp/licsxp-opac/WOpacMsgNewListToTifTilDetailAction.do?tilcod=2002222301188</v>
      </c>
    </row>
    <row r="298" spans="1:9" x14ac:dyDescent="0.4">
      <c r="A298" t="str">
        <f>"烏城高等学校学校要覧"</f>
        <v>烏城高等学校学校要覧</v>
      </c>
      <c r="B298" s="1" t="str">
        <f t="shared" si="15"/>
        <v>烏城高等学校学校要覧</v>
      </c>
      <c r="C298" t="str">
        <f>"ウジョウ　コウトウ　ガッコウ　ガッコウ　ヨウラン"</f>
        <v>ウジョウ　コウトウ　ガッコウ　ガッコウ　ヨウラン</v>
      </c>
      <c r="D298" t="str">
        <f>"烏城高等学校"</f>
        <v>烏城高等学校</v>
      </c>
      <c r="E298" t="str">
        <f>"ウジョウ コウトウ ガッコウ"</f>
        <v>ウジョウ コウトウ ガッコウ</v>
      </c>
      <c r="F298" t="str">
        <f t="shared" si="16"/>
        <v>岡山</v>
      </c>
      <c r="G298" t="str">
        <f>"年刊"</f>
        <v>年刊</v>
      </c>
      <c r="H298" t="str">
        <f>"2002222300552"</f>
        <v>2002222300552</v>
      </c>
      <c r="I298" t="str">
        <f>HYPERLINK("#", "https://opac.libnet.pref.okayama.jp/licsxp-opac/WOpacMsgNewListToTifTilDetailAction.do?tilcod=2002222300552")</f>
        <v>https://opac.libnet.pref.okayama.jp/licsxp-opac/WOpacMsgNewListToTifTilDetailAction.do?tilcod=2002222300552</v>
      </c>
    </row>
    <row r="299" spans="1:9" x14ac:dyDescent="0.4">
      <c r="A299" t="str">
        <f>"烏城趣味"</f>
        <v>烏城趣味</v>
      </c>
      <c r="B299" s="1" t="str">
        <f t="shared" si="15"/>
        <v>烏城趣味</v>
      </c>
      <c r="C299" t="str">
        <f>"ウジョウ シュミ"</f>
        <v>ウジョウ シュミ</v>
      </c>
      <c r="D299" t="str">
        <f>"烏城趣味会"</f>
        <v>烏城趣味会</v>
      </c>
      <c r="E299" t="str">
        <f>"ウジョウ　シュミカイ"</f>
        <v>ウジョウ　シュミカイ</v>
      </c>
      <c r="F299" t="str">
        <f t="shared" si="16"/>
        <v>岡山</v>
      </c>
      <c r="G299" t="str">
        <f>"頻度不明"</f>
        <v>頻度不明</v>
      </c>
      <c r="H299" t="str">
        <f>"2002222325166"</f>
        <v>2002222325166</v>
      </c>
      <c r="I299" t="str">
        <f>HYPERLINK("#", "https://opac.libnet.pref.okayama.jp/licsxp-opac/WOpacMsgNewListToTifTilDetailAction.do?tilcod=2002222325166")</f>
        <v>https://opac.libnet.pref.okayama.jp/licsxp-opac/WOpacMsgNewListToTifTilDetailAction.do?tilcod=2002222325166</v>
      </c>
    </row>
    <row r="300" spans="1:9" x14ac:dyDescent="0.4">
      <c r="A300" t="str">
        <f>"烏城新報"</f>
        <v>烏城新報</v>
      </c>
      <c r="B300" s="1" t="str">
        <f t="shared" si="15"/>
        <v>烏城新報</v>
      </c>
      <c r="C300" t="str">
        <f>"ウジョウ　シンポウ"</f>
        <v>ウジョウ　シンポウ</v>
      </c>
      <c r="D300" t="str">
        <f>"烏城新報社"</f>
        <v>烏城新報社</v>
      </c>
      <c r="E300" t="str">
        <f>"ウジョウシンポウシャ"</f>
        <v>ウジョウシンポウシャ</v>
      </c>
      <c r="F300" t="str">
        <f t="shared" si="16"/>
        <v>岡山</v>
      </c>
      <c r="G300" t="str">
        <f>"旬刊"</f>
        <v>旬刊</v>
      </c>
      <c r="H300" t="str">
        <f>"2002222300781"</f>
        <v>2002222300781</v>
      </c>
      <c r="I300" t="str">
        <f>HYPERLINK("#", "https://opac.libnet.pref.okayama.jp/licsxp-opac/WOpacMsgNewListToTifTilDetailAction.do?tilcod=2002222300781")</f>
        <v>https://opac.libnet.pref.okayama.jp/licsxp-opac/WOpacMsgNewListToTifTilDetailAction.do?tilcod=2002222300781</v>
      </c>
    </row>
    <row r="301" spans="1:9" x14ac:dyDescent="0.4">
      <c r="A301" t="str">
        <f>"烏城；岡山烏城ライオンズクラブ会報"</f>
        <v>烏城；岡山烏城ライオンズクラブ会報</v>
      </c>
      <c r="B301" s="1" t="str">
        <f t="shared" si="15"/>
        <v>烏城；岡山烏城ライオンズクラブ会報</v>
      </c>
      <c r="C301" t="str">
        <f>"ウジョウ*オカヤマ ウジョウ ライオンズ クラブ カイホウ"</f>
        <v>ウジョウ*オカヤマ ウジョウ ライオンズ クラブ カイホウ</v>
      </c>
      <c r="D301" t="str">
        <f>"岡山烏城ライオンズクラブ"</f>
        <v>岡山烏城ライオンズクラブ</v>
      </c>
      <c r="E301" t="str">
        <f>"オカヤマ ウジョウ ライオンズ クラブ"</f>
        <v>オカヤマ ウジョウ ライオンズ クラブ</v>
      </c>
      <c r="F301" t="str">
        <f t="shared" si="16"/>
        <v>岡山</v>
      </c>
      <c r="G301" t="str">
        <f>"頻度不明"</f>
        <v>頻度不明</v>
      </c>
      <c r="H301" t="str">
        <f>"2002222307448"</f>
        <v>2002222307448</v>
      </c>
      <c r="I301" t="str">
        <f>HYPERLINK("#", "https://opac.libnet.pref.okayama.jp/licsxp-opac/WOpacMsgNewListToTifTilDetailAction.do?tilcod=2002222307448")</f>
        <v>https://opac.libnet.pref.okayama.jp/licsxp-opac/WOpacMsgNewListToTifTilDetailAction.do?tilcod=2002222307448</v>
      </c>
    </row>
    <row r="302" spans="1:9" x14ac:dyDescent="0.4">
      <c r="A302" t="str">
        <f>"烏城；岡山県俳人協会会報"</f>
        <v>烏城；岡山県俳人協会会報</v>
      </c>
      <c r="B302" s="1" t="str">
        <f t="shared" si="15"/>
        <v>烏城；岡山県俳人協会会報</v>
      </c>
      <c r="C302" t="str">
        <f>"ウジョウ＊オカヤマケン　ハイジン　キョウカイ　カイホウ"</f>
        <v>ウジョウ＊オカヤマケン　ハイジン　キョウカイ　カイホウ</v>
      </c>
      <c r="D302" t="str">
        <f>"岡山県俳人協会"</f>
        <v>岡山県俳人協会</v>
      </c>
      <c r="E302" t="str">
        <f>"オカヤマケン ハイジン キョウカイ"</f>
        <v>オカヤマケン ハイジン キョウカイ</v>
      </c>
      <c r="F302" t="str">
        <f>"倉敷"</f>
        <v>倉敷</v>
      </c>
      <c r="G302" t="str">
        <f>"年２回刊"</f>
        <v>年２回刊</v>
      </c>
      <c r="H302" t="str">
        <f>"2002222300027"</f>
        <v>2002222300027</v>
      </c>
      <c r="I302" t="str">
        <f>HYPERLINK("#", "https://opac.libnet.pref.okayama.jp/licsxp-opac/WOpacMsgNewListToTifTilDetailAction.do?tilcod=2002222300027")</f>
        <v>https://opac.libnet.pref.okayama.jp/licsxp-opac/WOpacMsgNewListToTifTilDetailAction.do?tilcod=2002222300027</v>
      </c>
    </row>
    <row r="303" spans="1:9" x14ac:dyDescent="0.4">
      <c r="A303" t="str">
        <f>"烏城；美術雑誌"</f>
        <v>烏城；美術雑誌</v>
      </c>
      <c r="B303" s="1" t="str">
        <f t="shared" si="15"/>
        <v>烏城；美術雑誌</v>
      </c>
      <c r="C303" t="str">
        <f>"ウジョウ＊ビジュツザッシ"</f>
        <v>ウジョウ＊ビジュツザッシ</v>
      </c>
      <c r="D303" t="str">
        <f>"烏城誌社"</f>
        <v>烏城誌社</v>
      </c>
      <c r="E303" t="str">
        <f>"ウジョウシシャ"</f>
        <v>ウジョウシシャ</v>
      </c>
      <c r="F303" t="str">
        <f>""</f>
        <v/>
      </c>
      <c r="G303" t="str">
        <f>"頻度不明"</f>
        <v>頻度不明</v>
      </c>
      <c r="H303" t="str">
        <f>"2002222287591"</f>
        <v>2002222287591</v>
      </c>
      <c r="I303" t="str">
        <f>HYPERLINK("#", "https://opac.libnet.pref.okayama.jp/licsxp-opac/WOpacMsgNewListToTifTilDetailAction.do?tilcod=2002222287591")</f>
        <v>https://opac.libnet.pref.okayama.jp/licsxp-opac/WOpacMsgNewListToTifTilDetailAction.do?tilcod=2002222287591</v>
      </c>
    </row>
    <row r="304" spans="1:9" x14ac:dyDescent="0.4">
      <c r="A304" t="str">
        <f>"渦"</f>
        <v>渦</v>
      </c>
      <c r="B304" s="1" t="str">
        <f t="shared" si="15"/>
        <v>渦</v>
      </c>
      <c r="C304" t="str">
        <f>"ウズ"</f>
        <v>ウズ</v>
      </c>
      <c r="D304" t="str">
        <f>"至道高等学校文芸部"</f>
        <v>至道高等学校文芸部</v>
      </c>
      <c r="E304" t="str">
        <f>"シドウ コウトウ ガッコウ ブンゲイブ"</f>
        <v>シドウ コウトウ ガッコウ ブンゲイブ</v>
      </c>
      <c r="F304" t="str">
        <f>"北房町（上房郡）"</f>
        <v>北房町（上房郡）</v>
      </c>
      <c r="G304" t="str">
        <f>"年刊"</f>
        <v>年刊</v>
      </c>
      <c r="H304" t="str">
        <f>"2002222319732"</f>
        <v>2002222319732</v>
      </c>
      <c r="I304" t="str">
        <f>HYPERLINK("#", "https://opac.libnet.pref.okayama.jp/licsxp-opac/WOpacMsgNewListToTifTilDetailAction.do?tilcod=2002222319732")</f>
        <v>https://opac.libnet.pref.okayama.jp/licsxp-opac/WOpacMsgNewListToTifTilDetailAction.do?tilcod=2002222319732</v>
      </c>
    </row>
    <row r="305" spans="1:9" x14ac:dyDescent="0.4">
      <c r="A305" t="str">
        <f>"有待"</f>
        <v>有待</v>
      </c>
      <c r="B305" s="1" t="str">
        <f t="shared" si="15"/>
        <v>有待</v>
      </c>
      <c r="C305" t="str">
        <f>"ウダイ"</f>
        <v>ウダイ</v>
      </c>
      <c r="D305" t="str">
        <f>"児島高徳公顕彰会"</f>
        <v>児島高徳公顕彰会</v>
      </c>
      <c r="E305" t="str">
        <f>"コジマタカノリコウケンショウカイ"</f>
        <v>コジマタカノリコウケンショウカイ</v>
      </c>
      <c r="F305" t="str">
        <f>"東京"</f>
        <v>東京</v>
      </c>
      <c r="G305" t="str">
        <f>"不定期刊"</f>
        <v>不定期刊</v>
      </c>
      <c r="H305" t="str">
        <f>"2002222301004"</f>
        <v>2002222301004</v>
      </c>
      <c r="I305" t="str">
        <f>HYPERLINK("#", "https://opac.libnet.pref.okayama.jp/licsxp-opac/WOpacMsgNewListToTifTilDetailAction.do?tilcod=2002222301004")</f>
        <v>https://opac.libnet.pref.okayama.jp/licsxp-opac/WOpacMsgNewListToTifTilDetailAction.do?tilcod=2002222301004</v>
      </c>
    </row>
    <row r="306" spans="1:9" x14ac:dyDescent="0.4">
      <c r="A306" t="str">
        <f>"うたごえよひびけ"</f>
        <v>うたごえよひびけ</v>
      </c>
      <c r="B306" s="1" t="str">
        <f t="shared" si="15"/>
        <v>うたごえよひびけ</v>
      </c>
      <c r="C306" t="str">
        <f>"ウタゴエ ヨ ヒビケ"</f>
        <v>ウタゴエ ヨ ヒビケ</v>
      </c>
      <c r="D306" t="str">
        <f>"岡大うたう会みみんこ"</f>
        <v>岡大うたう会みみんこ</v>
      </c>
      <c r="E306" t="str">
        <f>"オカヤマケンドクショサークルレンラクカイ"</f>
        <v>オカヤマケンドクショサークルレンラクカイ</v>
      </c>
      <c r="F306" t="str">
        <f>""</f>
        <v/>
      </c>
      <c r="G306" t="str">
        <f>"頻度不明"</f>
        <v>頻度不明</v>
      </c>
      <c r="H306" t="str">
        <f>"2002222338070"</f>
        <v>2002222338070</v>
      </c>
      <c r="I306" t="str">
        <f>HYPERLINK("#", "https://opac.libnet.pref.okayama.jp/licsxp-opac/WOpacMsgNewListToTifTilDetailAction.do?tilcod=2002222338070")</f>
        <v>https://opac.libnet.pref.okayama.jp/licsxp-opac/WOpacMsgNewListToTifTilDetailAction.do?tilcod=2002222338070</v>
      </c>
    </row>
    <row r="307" spans="1:9" x14ac:dyDescent="0.4">
      <c r="A307" t="str">
        <f>"ウチはぴ岡山"</f>
        <v>ウチはぴ岡山</v>
      </c>
      <c r="B307" s="1" t="str">
        <f t="shared" si="15"/>
        <v>ウチはぴ岡山</v>
      </c>
      <c r="C307" t="str">
        <f>"ウチ　ハピ　オカヤマ"</f>
        <v>ウチ　ハピ　オカヤマ</v>
      </c>
      <c r="D307" t="str">
        <f>"岡山リビング新聞社"</f>
        <v>岡山リビング新聞社</v>
      </c>
      <c r="E307" t="str">
        <f>"オカヤマ リビング シンブンシャ"</f>
        <v>オカヤマ リビング シンブンシャ</v>
      </c>
      <c r="F307" t="str">
        <f>"岡山"</f>
        <v>岡山</v>
      </c>
      <c r="G307" t="str">
        <f>"頻度不明"</f>
        <v>頻度不明</v>
      </c>
      <c r="H307" t="str">
        <f>"2002222329448"</f>
        <v>2002222329448</v>
      </c>
      <c r="I307" t="str">
        <f>HYPERLINK("#", "https://opac.libnet.pref.okayama.jp/licsxp-opac/WOpacMsgNewListToTifTilDetailAction.do?tilcod=2002222329448")</f>
        <v>https://opac.libnet.pref.okayama.jp/licsxp-opac/WOpacMsgNewListToTifTilDetailAction.do?tilcod=2002222329448</v>
      </c>
    </row>
    <row r="308" spans="1:9" x14ac:dyDescent="0.4">
      <c r="A308" t="str">
        <f>"うち海"</f>
        <v>うち海</v>
      </c>
      <c r="B308" s="1" t="str">
        <f t="shared" si="15"/>
        <v>うち海</v>
      </c>
      <c r="C308" t="str">
        <f>"ウチウミ"</f>
        <v>ウチウミ</v>
      </c>
      <c r="D308" t="str">
        <f>"玉島郵便局読書サークル"</f>
        <v>玉島郵便局読書サークル</v>
      </c>
      <c r="E308" t="str">
        <f>"タマシマユウビンキョクドクショサークル"</f>
        <v>タマシマユウビンキョクドクショサークル</v>
      </c>
      <c r="F308" t="str">
        <f>""</f>
        <v/>
      </c>
      <c r="G308" t="str">
        <f>"月２回刊"</f>
        <v>月２回刊</v>
      </c>
      <c r="H308" t="str">
        <f>"2002222287601"</f>
        <v>2002222287601</v>
      </c>
      <c r="I308" t="str">
        <f>HYPERLINK("#", "https://opac.libnet.pref.okayama.jp/licsxp-opac/WOpacMsgNewListToTifTilDetailAction.do?tilcod=2002222287601")</f>
        <v>https://opac.libnet.pref.okayama.jp/licsxp-opac/WOpacMsgNewListToTifTilDetailAction.do?tilcod=2002222287601</v>
      </c>
    </row>
    <row r="309" spans="1:9" x14ac:dyDescent="0.4">
      <c r="A309" t="str">
        <f>"うちうみ"</f>
        <v>うちうみ</v>
      </c>
      <c r="B309" s="1" t="str">
        <f t="shared" si="15"/>
        <v>うちうみ</v>
      </c>
      <c r="C309" t="str">
        <f>"ウチウミ"</f>
        <v>ウチウミ</v>
      </c>
      <c r="D309" t="str">
        <f>"内海文化出版社"</f>
        <v>内海文化出版社</v>
      </c>
      <c r="E309" t="str">
        <f>"ナイカイブンカシュッパンシャ"</f>
        <v>ナイカイブンカシュッパンシャ</v>
      </c>
      <c r="F309" t="str">
        <f>"琴浦町（児島郡）"</f>
        <v>琴浦町（児島郡）</v>
      </c>
      <c r="G309" t="str">
        <f>"月刊"</f>
        <v>月刊</v>
      </c>
      <c r="H309" t="str">
        <f>"2002222301730"</f>
        <v>2002222301730</v>
      </c>
      <c r="I309" t="str">
        <f>HYPERLINK("#", "https://opac.libnet.pref.okayama.jp/licsxp-opac/WOpacMsgNewListToTifTilDetailAction.do?tilcod=2002222301730")</f>
        <v>https://opac.libnet.pref.okayama.jp/licsxp-opac/WOpacMsgNewListToTifTilDetailAction.do?tilcod=2002222301730</v>
      </c>
    </row>
    <row r="310" spans="1:9" x14ac:dyDescent="0.4">
      <c r="A310" t="str">
        <f>"内海春秋"</f>
        <v>内海春秋</v>
      </c>
      <c r="B310" s="1" t="str">
        <f t="shared" si="15"/>
        <v>内海春秋</v>
      </c>
      <c r="C310" t="str">
        <f>"ウチウミ　シュンジュウ"</f>
        <v>ウチウミ　シュンジュウ</v>
      </c>
      <c r="D310" t="str">
        <f>"倉敷出版社"</f>
        <v>倉敷出版社</v>
      </c>
      <c r="E310" t="str">
        <f>"クラシキシュッパンシャ"</f>
        <v>クラシキシュッパンシャ</v>
      </c>
      <c r="F310" t="str">
        <f>""</f>
        <v/>
      </c>
      <c r="G310" t="str">
        <f>"頻度不明"</f>
        <v>頻度不明</v>
      </c>
      <c r="H310" t="str">
        <f>"2002222285343"</f>
        <v>2002222285343</v>
      </c>
      <c r="I310" t="str">
        <f>HYPERLINK("#", "https://opac.libnet.pref.okayama.jp/licsxp-opac/WOpacMsgNewListToTifTilDetailAction.do?tilcod=2002222285343")</f>
        <v>https://opac.libnet.pref.okayama.jp/licsxp-opac/WOpacMsgNewListToTifTilDetailAction.do?tilcod=2002222285343</v>
      </c>
    </row>
    <row r="311" spans="1:9" x14ac:dyDescent="0.4">
      <c r="A311" t="str">
        <f>"内山下校報"</f>
        <v>内山下校報</v>
      </c>
      <c r="B311" s="1" t="str">
        <f t="shared" si="15"/>
        <v>内山下校報</v>
      </c>
      <c r="C311" t="str">
        <f>"ウチサンゲ　コウホウ"</f>
        <v>ウチサンゲ　コウホウ</v>
      </c>
      <c r="D311" t="str">
        <f>"岡山市立内山下小学校"</f>
        <v>岡山市立内山下小学校</v>
      </c>
      <c r="E311" t="str">
        <f>"オカヤマシリツ ウチサンゲ ショウガッコウ"</f>
        <v>オカヤマシリツ ウチサンゲ ショウガッコウ</v>
      </c>
      <c r="F311" t="str">
        <f>"岡山"</f>
        <v>岡山</v>
      </c>
      <c r="G311" t="str">
        <f>"不定期刊"</f>
        <v>不定期刊</v>
      </c>
      <c r="H311" t="str">
        <f>"2002222287611"</f>
        <v>2002222287611</v>
      </c>
      <c r="I311" t="str">
        <f>HYPERLINK("#", "https://opac.libnet.pref.okayama.jp/licsxp-opac/WOpacMsgNewListToTifTilDetailAction.do?tilcod=2002222287611")</f>
        <v>https://opac.libnet.pref.okayama.jp/licsxp-opac/WOpacMsgNewListToTifTilDetailAction.do?tilcod=2002222287611</v>
      </c>
    </row>
    <row r="312" spans="1:9" x14ac:dyDescent="0.4">
      <c r="A312" t="str">
        <f>"宇宙"</f>
        <v>宇宙</v>
      </c>
      <c r="B312" s="1" t="str">
        <f t="shared" si="15"/>
        <v>宇宙</v>
      </c>
      <c r="C312" t="str">
        <f>"ウチュウ"</f>
        <v>ウチュウ</v>
      </c>
      <c r="D312" t="str">
        <f>"日吉天文同好会"</f>
        <v>日吉天文同好会</v>
      </c>
      <c r="E312" t="str">
        <f>"ヒヨシテンモンドウコウカイ"</f>
        <v>ヒヨシテンモンドウコウカイ</v>
      </c>
      <c r="F312" t="str">
        <f>"東京"</f>
        <v>東京</v>
      </c>
      <c r="G312" t="str">
        <f>"頻度不明"</f>
        <v>頻度不明</v>
      </c>
      <c r="H312" t="str">
        <f>"2002222302137"</f>
        <v>2002222302137</v>
      </c>
      <c r="I312" t="str">
        <f>HYPERLINK("#", "https://opac.libnet.pref.okayama.jp/licsxp-opac/WOpacMsgNewListToTifTilDetailAction.do?tilcod=2002222302137")</f>
        <v>https://opac.libnet.pref.okayama.jp/licsxp-opac/WOpacMsgNewListToTifTilDetailAction.do?tilcod=2002222302137</v>
      </c>
    </row>
    <row r="313" spans="1:9" x14ac:dyDescent="0.4">
      <c r="A313" t="str">
        <f>"Uttate(うったて) ; 岡山駅発!モノ・コト情報ガイド"</f>
        <v>Uttate(うったて) ; 岡山駅発!モノ・コト情報ガイド</v>
      </c>
      <c r="B313" s="1" t="str">
        <f t="shared" si="15"/>
        <v>Uttate(うったて) ; 岡山駅発!モノ・コト情報ガイド</v>
      </c>
      <c r="C313" t="str">
        <f>"ウッタテ オカヤマエキ ハツ モノ コト ジョウホウ ガイド"</f>
        <v>ウッタテ オカヤマエキ ハツ モノ コト ジョウホウ ガイド</v>
      </c>
      <c r="D313" t="str">
        <f>"[西日本旅客鉄道岡山支社]ほか"</f>
        <v>[西日本旅客鉄道岡山支社]ほか</v>
      </c>
      <c r="E313" t="str">
        <f>"ニシニホン リョカク テツドウ オカヤマ シシャ"</f>
        <v>ニシニホン リョカク テツドウ オカヤマ シシャ</v>
      </c>
      <c r="F313" t="str">
        <f>"岡山"</f>
        <v>岡山</v>
      </c>
      <c r="G313" t="str">
        <f>"頻度不明"</f>
        <v>頻度不明</v>
      </c>
      <c r="H313" t="str">
        <f>"2002222332110"</f>
        <v>2002222332110</v>
      </c>
      <c r="I313" t="str">
        <f>HYPERLINK("#", "https://opac.libnet.pref.okayama.jp/licsxp-opac/WOpacMsgNewListToTifTilDetailAction.do?tilcod=2002222332110")</f>
        <v>https://opac.libnet.pref.okayama.jp/licsxp-opac/WOpacMsgNewListToTifTilDetailAction.do?tilcod=2002222332110</v>
      </c>
    </row>
    <row r="314" spans="1:9" x14ac:dyDescent="0.4">
      <c r="A314" t="str">
        <f>"うのはな"</f>
        <v>うのはな</v>
      </c>
      <c r="B314" s="1" t="str">
        <f t="shared" si="15"/>
        <v>うのはな</v>
      </c>
      <c r="C314" t="str">
        <f>"ウノハナ"</f>
        <v>ウノハナ</v>
      </c>
      <c r="D314" t="str">
        <f>"瀬戸高等女学校真砂会文芸部"</f>
        <v>瀬戸高等女学校真砂会文芸部</v>
      </c>
      <c r="E314" t="str">
        <f>"セトコウトウジョガッコウマサゴカイブンゲイブ"</f>
        <v>セトコウトウジョガッコウマサゴカイブンゲイブ</v>
      </c>
      <c r="F314" t="str">
        <f>"瀬戸町（赤磐郡）"</f>
        <v>瀬戸町（赤磐郡）</v>
      </c>
      <c r="G314" t="str">
        <f>"頻度不明"</f>
        <v>頻度不明</v>
      </c>
      <c r="H314" t="str">
        <f>"2002222301735"</f>
        <v>2002222301735</v>
      </c>
      <c r="I314" t="str">
        <f>HYPERLINK("#", "https://opac.libnet.pref.okayama.jp/licsxp-opac/WOpacMsgNewListToTifTilDetailAction.do?tilcod=2002222301735")</f>
        <v>https://opac.libnet.pref.okayama.jp/licsxp-opac/WOpacMsgNewListToTifTilDetailAction.do?tilcod=2002222301735</v>
      </c>
    </row>
    <row r="315" spans="1:9" x14ac:dyDescent="0.4">
      <c r="A315" t="str">
        <f>"うぶごえ"</f>
        <v>うぶごえ</v>
      </c>
      <c r="B315" s="1" t="str">
        <f t="shared" si="15"/>
        <v>うぶごえ</v>
      </c>
      <c r="C315" t="str">
        <f>"ウブゴエ"</f>
        <v>ウブゴエ</v>
      </c>
      <c r="D315" t="str">
        <f>"うぶごえの会"</f>
        <v>うぶごえの会</v>
      </c>
      <c r="E315" t="str">
        <f>"ウブゴエノカイ"</f>
        <v>ウブゴエノカイ</v>
      </c>
      <c r="F315" t="str">
        <f>"哲多町（阿哲郡）"</f>
        <v>哲多町（阿哲郡）</v>
      </c>
      <c r="G315" t="str">
        <f>"頻度不明"</f>
        <v>頻度不明</v>
      </c>
      <c r="H315" t="str">
        <f>"2002222287621"</f>
        <v>2002222287621</v>
      </c>
      <c r="I315" t="str">
        <f>HYPERLINK("#", "https://opac.libnet.pref.okayama.jp/licsxp-opac/WOpacMsgNewListToTifTilDetailAction.do?tilcod=2002222287621")</f>
        <v>https://opac.libnet.pref.okayama.jp/licsxp-opac/WOpacMsgNewListToTifTilDetailAction.do?tilcod=2002222287621</v>
      </c>
    </row>
    <row r="316" spans="1:9" x14ac:dyDescent="0.4">
      <c r="A316" t="str">
        <f>"うぶすな通信"</f>
        <v>うぶすな通信</v>
      </c>
      <c r="B316" s="1" t="str">
        <f t="shared" si="15"/>
        <v>うぶすな通信</v>
      </c>
      <c r="C316" t="str">
        <f>"ウブスナ　ツウシン"</f>
        <v>ウブスナ　ツウシン</v>
      </c>
      <c r="D316" t="str">
        <f>"まちづくり推進機構岡山"</f>
        <v>まちづくり推進機構岡山</v>
      </c>
      <c r="E316" t="str">
        <f>"マチズクリ スイシン キコウ オカヤマ"</f>
        <v>マチズクリ スイシン キコウ オカヤマ</v>
      </c>
      <c r="F316" t="str">
        <f>"岡山"</f>
        <v>岡山</v>
      </c>
      <c r="G316" t="str">
        <f>"年刊"</f>
        <v>年刊</v>
      </c>
      <c r="H316" t="str">
        <f>"2002222301640"</f>
        <v>2002222301640</v>
      </c>
      <c r="I316" t="str">
        <f>HYPERLINK("#", "https://opac.libnet.pref.okayama.jp/licsxp-opac/WOpacMsgNewListToTifTilDetailAction.do?tilcod=2002222301640")</f>
        <v>https://opac.libnet.pref.okayama.jp/licsxp-opac/WOpacMsgNewListToTifTilDetailAction.do?tilcod=2002222301640</v>
      </c>
    </row>
    <row r="317" spans="1:9" x14ac:dyDescent="0.4">
      <c r="A317" t="str">
        <f>"うまい農ー しょうえい"</f>
        <v>うまい農ー しょうえい</v>
      </c>
      <c r="B317" s="1" t="str">
        <f t="shared" si="15"/>
        <v>うまい農ー しょうえい</v>
      </c>
      <c r="C317" t="str">
        <f>"ウマイノウー　ショウエイ"</f>
        <v>ウマイノウー　ショウエイ</v>
      </c>
      <c r="D317" t="str">
        <f>"勝英農業協同組合"</f>
        <v>勝英農業協同組合</v>
      </c>
      <c r="E317" t="str">
        <f>"ショウエイノウギョウキョウドウクミアイ"</f>
        <v>ショウエイノウギョウキョウドウクミアイ</v>
      </c>
      <c r="F317" t="str">
        <f>"美作"</f>
        <v>美作</v>
      </c>
      <c r="G317" t="str">
        <f>"季刊"</f>
        <v>季刊</v>
      </c>
      <c r="H317" t="str">
        <f>"2002222330149"</f>
        <v>2002222330149</v>
      </c>
      <c r="I317" t="str">
        <f>HYPERLINK("#", "https://opac.libnet.pref.okayama.jp/licsxp-opac/WOpacMsgNewListToTifTilDetailAction.do?tilcod=2002222330149")</f>
        <v>https://opac.libnet.pref.okayama.jp/licsxp-opac/WOpacMsgNewListToTifTilDetailAction.do?tilcod=2002222330149</v>
      </c>
    </row>
    <row r="318" spans="1:9" x14ac:dyDescent="0.4">
      <c r="A318" t="str">
        <f>"海ぞいのまちたまの"</f>
        <v>海ぞいのまちたまの</v>
      </c>
      <c r="B318" s="1" t="str">
        <f t="shared" si="15"/>
        <v>海ぞいのまちたまの</v>
      </c>
      <c r="C318" t="str">
        <f>"ウミゾイ　ノ　マチ　タマノ"</f>
        <v>ウミゾイ　ノ　マチ　タマノ</v>
      </c>
      <c r="D318" t="str">
        <f>"玉野市教育委員会"</f>
        <v>玉野市教育委員会</v>
      </c>
      <c r="E318" t="str">
        <f>"タマノシ キョウイク イインカイ"</f>
        <v>タマノシ キョウイク イインカイ</v>
      </c>
      <c r="F318" t="str">
        <f>"玉野"</f>
        <v>玉野</v>
      </c>
      <c r="G318" t="str">
        <f>"頻度不明"</f>
        <v>頻度不明</v>
      </c>
      <c r="H318" t="str">
        <f>"2002222293961"</f>
        <v>2002222293961</v>
      </c>
      <c r="I318" t="str">
        <f>HYPERLINK("#", "https://opac.libnet.pref.okayama.jp/licsxp-opac/WOpacMsgNewListToTifTilDetailAction.do?tilcod=2002222293961")</f>
        <v>https://opac.libnet.pref.okayama.jp/licsxp-opac/WOpacMsgNewListToTifTilDetailAction.do?tilcod=2002222293961</v>
      </c>
    </row>
    <row r="319" spans="1:9" x14ac:dyDescent="0.4">
      <c r="A319" t="str">
        <f>"海燕の歌"</f>
        <v>海燕の歌</v>
      </c>
      <c r="B319" s="1" t="str">
        <f t="shared" si="15"/>
        <v>海燕の歌</v>
      </c>
      <c r="C319" t="str">
        <f>"ウミツバメ ノ ウタ"</f>
        <v>ウミツバメ ノ ウタ</v>
      </c>
      <c r="D319" t="str">
        <f>"岡山大学演劇部"</f>
        <v>岡山大学演劇部</v>
      </c>
      <c r="E319" t="str">
        <f>"オカヤマダイガクエンゲキブ"</f>
        <v>オカヤマダイガクエンゲキブ</v>
      </c>
      <c r="F319" t="str">
        <f>"岡山"</f>
        <v>岡山</v>
      </c>
      <c r="G319" t="str">
        <f>"頻度不明"</f>
        <v>頻度不明</v>
      </c>
      <c r="H319" t="str">
        <f>"2002222316726"</f>
        <v>2002222316726</v>
      </c>
      <c r="I319" t="str">
        <f>HYPERLINK("#", "https://opac.libnet.pref.okayama.jp/licsxp-opac/WOpacMsgNewListToTifTilDetailAction.do?tilcod=2002222316726")</f>
        <v>https://opac.libnet.pref.okayama.jp/licsxp-opac/WOpacMsgNewListToTifTilDetailAction.do?tilcod=2002222316726</v>
      </c>
    </row>
    <row r="320" spans="1:9" x14ac:dyDescent="0.4">
      <c r="A320" t="str">
        <f>"浦安新聞"</f>
        <v>浦安新聞</v>
      </c>
      <c r="B320" s="1" t="str">
        <f t="shared" si="15"/>
        <v>浦安新聞</v>
      </c>
      <c r="C320" t="str">
        <f>"ウラヤス　シンブン"</f>
        <v>ウラヤス　シンブン</v>
      </c>
      <c r="D320" t="str">
        <f>"浦安文化クラブ"</f>
        <v>浦安文化クラブ</v>
      </c>
      <c r="E320" t="str">
        <f>"ウラヤスブンカクラブ"</f>
        <v>ウラヤスブンカクラブ</v>
      </c>
      <c r="F320" t="str">
        <f>"岡山"</f>
        <v>岡山</v>
      </c>
      <c r="G320" t="str">
        <f>"隔月刊"</f>
        <v>隔月刊</v>
      </c>
      <c r="H320" t="str">
        <f>"2002222300782"</f>
        <v>2002222300782</v>
      </c>
      <c r="I320" t="str">
        <f>HYPERLINK("#", "https://opac.libnet.pref.okayama.jp/licsxp-opac/WOpacMsgNewListToTifTilDetailAction.do?tilcod=2002222300782")</f>
        <v>https://opac.libnet.pref.okayama.jp/licsxp-opac/WOpacMsgNewListToTifTilDetailAction.do?tilcod=2002222300782</v>
      </c>
    </row>
    <row r="321" spans="1:9" x14ac:dyDescent="0.4">
      <c r="A321" t="str">
        <f>"浦安青年瓦版"</f>
        <v>浦安青年瓦版</v>
      </c>
      <c r="B321" s="1" t="str">
        <f t="shared" si="15"/>
        <v>浦安青年瓦版</v>
      </c>
      <c r="C321" t="str">
        <f>"ウラヤス　セイネン　カワラバン"</f>
        <v>ウラヤス　セイネン　カワラバン</v>
      </c>
      <c r="D321" t="str">
        <f>"浦安連合青年団"</f>
        <v>浦安連合青年団</v>
      </c>
      <c r="E321" t="str">
        <f>"ウラヤスレンゴウセイネンダン"</f>
        <v>ウラヤスレンゴウセイネンダン</v>
      </c>
      <c r="F321" t="str">
        <f>""</f>
        <v/>
      </c>
      <c r="G321" t="str">
        <f>"頻度不明"</f>
        <v>頻度不明</v>
      </c>
      <c r="H321" t="str">
        <f>"2002222287631"</f>
        <v>2002222287631</v>
      </c>
      <c r="I321" t="str">
        <f>HYPERLINK("#", "https://opac.libnet.pref.okayama.jp/licsxp-opac/WOpacMsgNewListToTifTilDetailAction.do?tilcod=2002222287631")</f>
        <v>https://opac.libnet.pref.okayama.jp/licsxp-opac/WOpacMsgNewListToTifTilDetailAction.do?tilcod=2002222287631</v>
      </c>
    </row>
    <row r="322" spans="1:9" x14ac:dyDescent="0.4">
      <c r="A322" t="str">
        <f>"雲影"</f>
        <v>雲影</v>
      </c>
      <c r="B322" s="1" t="str">
        <f t="shared" si="15"/>
        <v>雲影</v>
      </c>
      <c r="C322" t="str">
        <f>"ウンエイ"</f>
        <v>ウンエイ</v>
      </c>
      <c r="D322" t="str">
        <f>"岡山市立高島公民館文章教室"</f>
        <v>岡山市立高島公民館文章教室</v>
      </c>
      <c r="E322" t="str">
        <f>"オカヤマシリツ タカシマ コウミンカン ブンショウ キョウシツ"</f>
        <v>オカヤマシリツ タカシマ コウミンカン ブンショウ キョウシツ</v>
      </c>
      <c r="F322" t="str">
        <f>"岡山"</f>
        <v>岡山</v>
      </c>
      <c r="G322" t="str">
        <f>"頻度不明"</f>
        <v>頻度不明</v>
      </c>
      <c r="H322" t="str">
        <f>"2002222319729"</f>
        <v>2002222319729</v>
      </c>
      <c r="I322" t="str">
        <f>HYPERLINK("#", "https://opac.libnet.pref.okayama.jp/licsxp-opac/WOpacMsgNewListToTifTilDetailAction.do?tilcod=2002222319729")</f>
        <v>https://opac.libnet.pref.okayama.jp/licsxp-opac/WOpacMsgNewListToTifTilDetailAction.do?tilcod=2002222319729</v>
      </c>
    </row>
    <row r="323" spans="1:9" x14ac:dyDescent="0.4">
      <c r="A323" t="str">
        <f>"雲海（岡山県立川上農業高等学校機関誌）"</f>
        <v>雲海（岡山県立川上農業高等学校機関誌）</v>
      </c>
      <c r="B323" s="1" t="str">
        <f t="shared" si="15"/>
        <v>雲海（岡山県立川上農業高等学校機関誌）</v>
      </c>
      <c r="C323" t="str">
        <f>"ウンカイ　オカヤマケンリツ　カワカミ　ノウギョウ　コウトウガッコウ　キカンシ"</f>
        <v>ウンカイ　オカヤマケンリツ　カワカミ　ノウギョウ　コウトウガッコウ　キカンシ</v>
      </c>
      <c r="D323" t="str">
        <f>"川上農業高等学校"</f>
        <v>川上農業高等学校</v>
      </c>
      <c r="E323" t="str">
        <f>"カワカミノウギョウコウトウガッコウ"</f>
        <v>カワカミノウギョウコウトウガッコウ</v>
      </c>
      <c r="F323" t="str">
        <f>"川上町（川上郡）"</f>
        <v>川上町（川上郡）</v>
      </c>
      <c r="G323" t="str">
        <f>"年刊"</f>
        <v>年刊</v>
      </c>
      <c r="H323" t="str">
        <f>"2002222283221"</f>
        <v>2002222283221</v>
      </c>
      <c r="I323" t="str">
        <f>HYPERLINK("#", "https://opac.libnet.pref.okayama.jp/licsxp-opac/WOpacMsgNewListToTifTilDetailAction.do?tilcod=2002222283221")</f>
        <v>https://opac.libnet.pref.okayama.jp/licsxp-opac/WOpacMsgNewListToTifTilDetailAction.do?tilcod=2002222283221</v>
      </c>
    </row>
    <row r="324" spans="1:9" x14ac:dyDescent="0.4">
      <c r="A324" t="str">
        <f>"運平ひろば；森近運平を語る会 会報"</f>
        <v>運平ひろば；森近運平を語る会 会報</v>
      </c>
      <c r="B324" s="1" t="str">
        <f t="shared" ref="B324:B387" si="17">HYPERLINK("#", A324)</f>
        <v>運平ひろば；森近運平を語る会 会報</v>
      </c>
      <c r="C324" t="str">
        <f>"ウンペイ ヒロバ＊モリチカ ウンペイオ カタルカイ カイホウ"</f>
        <v>ウンペイ ヒロバ＊モリチカ ウンペイオ カタルカイ カイホウ</v>
      </c>
      <c r="D324" t="str">
        <f>"森近運平を語る会"</f>
        <v>森近運平を語る会</v>
      </c>
      <c r="E324" t="str">
        <f>"モリチカ ウンペイ オ カタル カイ"</f>
        <v>モリチカ ウンペイ オ カタル カイ</v>
      </c>
      <c r="F324" t="str">
        <f>"井原"</f>
        <v>井原</v>
      </c>
      <c r="G324" t="str">
        <f>"年２回刊"</f>
        <v>年２回刊</v>
      </c>
      <c r="H324" t="str">
        <f>"2002222339110"</f>
        <v>2002222339110</v>
      </c>
      <c r="I324" t="str">
        <f>HYPERLINK("#", "https://opac.libnet.pref.okayama.jp/licsxp-opac/WOpacMsgNewListToTifTilDetailAction.do?tilcod=2002222339110")</f>
        <v>https://opac.libnet.pref.okayama.jp/licsxp-opac/WOpacMsgNewListToTifTilDetailAction.do?tilcod=2002222339110</v>
      </c>
    </row>
    <row r="325" spans="1:9" x14ac:dyDescent="0.4">
      <c r="A325" t="str">
        <f>"え・が・お；カバヤ・オハヨーグループコミュニケーション誌"</f>
        <v>え・が・お；カバヤ・オハヨーグループコミュニケーション誌</v>
      </c>
      <c r="B325" s="1" t="str">
        <f t="shared" si="17"/>
        <v>え・が・お；カバヤ・オハヨーグループコミュニケーション誌</v>
      </c>
      <c r="C325" t="str">
        <f>"エ ガ オ＊カバヤ オハヨー グループ コミュニケーション シ"</f>
        <v>エ ガ オ＊カバヤ オハヨー グループ コミュニケーション シ</v>
      </c>
      <c r="D325" t="str">
        <f>"「え･が･お」編集室"</f>
        <v>「え･が･お」編集室</v>
      </c>
      <c r="E325" t="str">
        <f>"エ ガ オ ヘンシュウシツ"</f>
        <v>エ ガ オ ヘンシュウシツ</v>
      </c>
      <c r="F325" t="str">
        <f>"岡山"</f>
        <v>岡山</v>
      </c>
      <c r="G325" t="str">
        <f>"頻度不明"</f>
        <v>頻度不明</v>
      </c>
      <c r="H325" t="str">
        <f>"2002222343973"</f>
        <v>2002222343973</v>
      </c>
      <c r="I325" t="str">
        <f>HYPERLINK("#", "https://opac.libnet.pref.okayama.jp/licsxp-opac/WOpacMsgNewListToTifTilDetailAction.do?tilcod=2002222343973")</f>
        <v>https://opac.libnet.pref.okayama.jp/licsxp-opac/WOpacMsgNewListToTifTilDetailAction.do?tilcod=2002222343973</v>
      </c>
    </row>
    <row r="326" spans="1:9" x14ac:dyDescent="0.4">
      <c r="A326" t="str">
        <f>"映画時代"</f>
        <v>映画時代</v>
      </c>
      <c r="B326" s="1" t="str">
        <f t="shared" si="17"/>
        <v>映画時代</v>
      </c>
      <c r="C326" t="str">
        <f>"エイガ　ジダイ"</f>
        <v>エイガ　ジダイ</v>
      </c>
      <c r="D326" t="str">
        <f>"残像舎"</f>
        <v>残像舎</v>
      </c>
      <c r="E326" t="str">
        <f>"ザンゾウシャ"</f>
        <v>ザンゾウシャ</v>
      </c>
      <c r="F326" t="str">
        <f>""</f>
        <v/>
      </c>
      <c r="G326" t="str">
        <f>"頻度不明"</f>
        <v>頻度不明</v>
      </c>
      <c r="H326" t="str">
        <f>"2002222287641"</f>
        <v>2002222287641</v>
      </c>
      <c r="I326" t="str">
        <f>HYPERLINK("#", "https://opac.libnet.pref.okayama.jp/licsxp-opac/WOpacMsgNewListToTifTilDetailAction.do?tilcod=2002222287641")</f>
        <v>https://opac.libnet.pref.okayama.jp/licsxp-opac/WOpacMsgNewListToTifTilDetailAction.do?tilcod=2002222287641</v>
      </c>
    </row>
    <row r="327" spans="1:9" x14ac:dyDescent="0.4">
      <c r="A327" t="str">
        <f>"えいぎょう"</f>
        <v>えいぎょう</v>
      </c>
      <c r="B327" s="1" t="str">
        <f t="shared" si="17"/>
        <v>えいぎょう</v>
      </c>
      <c r="C327" t="str">
        <f>"エイギョウ"</f>
        <v>エイギョウ</v>
      </c>
      <c r="D327" t="str">
        <f>"「えいぎょう」編集委員会"</f>
        <v>「えいぎょう」編集委員会</v>
      </c>
      <c r="E327" t="str">
        <f>"エイギョウヘンシュウイインカイ"</f>
        <v>エイギョウヘンシュウイインカイ</v>
      </c>
      <c r="F327" t="str">
        <f>"[岡山]"</f>
        <v>[岡山]</v>
      </c>
      <c r="G327" t="str">
        <f>"頻度不明"</f>
        <v>頻度不明</v>
      </c>
      <c r="H327" t="str">
        <f>"2002222324827"</f>
        <v>2002222324827</v>
      </c>
      <c r="I327" t="str">
        <f>HYPERLINK("#", "https://opac.libnet.pref.okayama.jp/licsxp-opac/WOpacMsgNewListToTifTilDetailAction.do?tilcod=2002222324827")</f>
        <v>https://opac.libnet.pref.okayama.jp/licsxp-opac/WOpacMsgNewListToTifTilDetailAction.do?tilcod=2002222324827</v>
      </c>
    </row>
    <row r="328" spans="1:9" x14ac:dyDescent="0.4">
      <c r="A328" t="str">
        <f>"えいけん"</f>
        <v>えいけん</v>
      </c>
      <c r="B328" s="1" t="str">
        <f t="shared" si="17"/>
        <v>えいけん</v>
      </c>
      <c r="C328" t="str">
        <f>"エイケン"</f>
        <v>エイケン</v>
      </c>
      <c r="D328" t="str">
        <f>"岡山大学英語研究部"</f>
        <v>岡山大学英語研究部</v>
      </c>
      <c r="E328" t="str">
        <f>"オカヤマダイガクエイゴケンキュウブ"</f>
        <v>オカヤマダイガクエイゴケンキュウブ</v>
      </c>
      <c r="F328" t="str">
        <f>""</f>
        <v/>
      </c>
      <c r="G328" t="str">
        <f>"頻度不明"</f>
        <v>頻度不明</v>
      </c>
      <c r="H328" t="str">
        <f>"2002222287671"</f>
        <v>2002222287671</v>
      </c>
      <c r="I328" t="str">
        <f>HYPERLINK("#", "https://opac.libnet.pref.okayama.jp/licsxp-opac/WOpacMsgNewListToTifTilDetailAction.do?tilcod=2002222287671")</f>
        <v>https://opac.libnet.pref.okayama.jp/licsxp-opac/WOpacMsgNewListToTifTilDetailAction.do?tilcod=2002222287671</v>
      </c>
    </row>
    <row r="329" spans="1:9" x14ac:dyDescent="0.4">
      <c r="A329" t="str">
        <f>"英親会会報"</f>
        <v>英親会会報</v>
      </c>
      <c r="B329" s="1" t="str">
        <f t="shared" si="17"/>
        <v>英親会会報</v>
      </c>
      <c r="C329" t="str">
        <f>"エイシンカイ カイホウ"</f>
        <v>エイシンカイ カイホウ</v>
      </c>
      <c r="D329" t="str">
        <f>"21世紀の英語教育を考える会"</f>
        <v>21世紀の英語教育を考える会</v>
      </c>
      <c r="E329" t="str">
        <f>"21セイキ ノ エイゴ キョウイク オ カンガエル カイ"</f>
        <v>21セイキ ノ エイゴ キョウイク オ カンガエル カイ</v>
      </c>
      <c r="F329" t="str">
        <f>"[岡山]"</f>
        <v>[岡山]</v>
      </c>
      <c r="G329" t="str">
        <f>"年刊"</f>
        <v>年刊</v>
      </c>
      <c r="H329" t="str">
        <f>"2002222331306"</f>
        <v>2002222331306</v>
      </c>
      <c r="I329" t="str">
        <f>HYPERLINK("#", "https://opac.libnet.pref.okayama.jp/licsxp-opac/WOpacMsgNewListToTifTilDetailAction.do?tilcod=2002222331306")</f>
        <v>https://opac.libnet.pref.okayama.jp/licsxp-opac/WOpacMsgNewListToTifTilDetailAction.do?tilcod=2002222331306</v>
      </c>
    </row>
    <row r="330" spans="1:9" x14ac:dyDescent="0.4">
      <c r="A330" t="str">
        <f>"英数学館岡山校学校案内；並木学院高等学校岡山キャンパス学校案内"</f>
        <v>英数学館岡山校学校案内；並木学院高等学校岡山キャンパス学校案内</v>
      </c>
      <c r="B330" s="1" t="str">
        <f t="shared" si="17"/>
        <v>英数学館岡山校学校案内；並木学院高等学校岡山キャンパス学校案内</v>
      </c>
      <c r="C330" t="str">
        <f>"エイスウガッカン オカヤマコウ ガッコウ アンナイ*ナミキガクイン コウトウガッコウ オカヤマ キャンパス ガッコウ アンナイ"</f>
        <v>エイスウガッカン オカヤマコウ ガッコウ アンナイ*ナミキガクイン コウトウガッコウ オカヤマ キャンパス ガッコウ アンナイ</v>
      </c>
      <c r="D330" t="str">
        <f>"英数学館岡山校"</f>
        <v>英数学館岡山校</v>
      </c>
      <c r="E330" t="str">
        <f>"エイスウガッカンオカヤマコウ"</f>
        <v>エイスウガッカンオカヤマコウ</v>
      </c>
      <c r="F330" t="str">
        <f>"岡山"</f>
        <v>岡山</v>
      </c>
      <c r="G330" t="str">
        <f>"年刊"</f>
        <v>年刊</v>
      </c>
      <c r="H330" t="str">
        <f>"2002222301214"</f>
        <v>2002222301214</v>
      </c>
      <c r="I330" t="str">
        <f>HYPERLINK("#", "https://opac.libnet.pref.okayama.jp/licsxp-opac/WOpacMsgNewListToTifTilDetailAction.do?tilcod=2002222301214")</f>
        <v>https://opac.libnet.pref.okayama.jp/licsxp-opac/WOpacMsgNewListToTifTilDetailAction.do?tilcod=2002222301214</v>
      </c>
    </row>
    <row r="331" spans="1:9" x14ac:dyDescent="0.4">
      <c r="A331" t="str">
        <f>"英数学館岡山校学校要覧"</f>
        <v>英数学館岡山校学校要覧</v>
      </c>
      <c r="B331" s="1" t="str">
        <f t="shared" si="17"/>
        <v>英数学館岡山校学校要覧</v>
      </c>
      <c r="C331" t="str">
        <f>"エイスウガッカン　オカヤマコウ　ガッコウ　ヨウラン"</f>
        <v>エイスウガッカン　オカヤマコウ　ガッコウ　ヨウラン</v>
      </c>
      <c r="D331" t="str">
        <f>"英数学館岡山校"</f>
        <v>英数学館岡山校</v>
      </c>
      <c r="E331" t="str">
        <f>"エイスウガッカンオカヤマコウ"</f>
        <v>エイスウガッカンオカヤマコウ</v>
      </c>
      <c r="F331" t="str">
        <f>"岡山"</f>
        <v>岡山</v>
      </c>
      <c r="G331" t="str">
        <f>"年刊"</f>
        <v>年刊</v>
      </c>
      <c r="H331" t="str">
        <f>"2002222300592"</f>
        <v>2002222300592</v>
      </c>
      <c r="I331" t="str">
        <f>HYPERLINK("#", "https://opac.libnet.pref.okayama.jp/licsxp-opac/WOpacMsgNewListToTifTilDetailAction.do?tilcod=2002222300592")</f>
        <v>https://opac.libnet.pref.okayama.jp/licsxp-opac/WOpacMsgNewListToTifTilDetailAction.do?tilcod=2002222300592</v>
      </c>
    </row>
    <row r="332" spans="1:9" x14ac:dyDescent="0.4">
      <c r="A332" t="str">
        <f>"衛生だより"</f>
        <v>衛生だより</v>
      </c>
      <c r="B332" s="1" t="str">
        <f t="shared" si="17"/>
        <v>衛生だより</v>
      </c>
      <c r="C332" t="str">
        <f>"エイセイ　ダヨリ"</f>
        <v>エイセイ　ダヨリ</v>
      </c>
      <c r="D332" t="str">
        <f>"岡山市環境衛生連合協議会"</f>
        <v>岡山市環境衛生連合協議会</v>
      </c>
      <c r="E332" t="str">
        <f>"オカヤマシカンキョウエイセイレンゴウキョウギカイ"</f>
        <v>オカヤマシカンキョウエイセイレンゴウキョウギカイ</v>
      </c>
      <c r="F332" t="str">
        <f>"岡山"</f>
        <v>岡山</v>
      </c>
      <c r="G332" t="str">
        <f>"年刊"</f>
        <v>年刊</v>
      </c>
      <c r="H332" t="str">
        <f>"2002222300783"</f>
        <v>2002222300783</v>
      </c>
      <c r="I332" t="str">
        <f>HYPERLINK("#", "https://opac.libnet.pref.okayama.jp/licsxp-opac/WOpacMsgNewListToTifTilDetailAction.do?tilcod=2002222300783")</f>
        <v>https://opac.libnet.pref.okayama.jp/licsxp-opac/WOpacMsgNewListToTifTilDetailAction.do?tilcod=2002222300783</v>
      </c>
    </row>
    <row r="333" spans="1:9" x14ac:dyDescent="0.4">
      <c r="A333" t="str">
        <f>"映像"</f>
        <v>映像</v>
      </c>
      <c r="B333" s="1" t="str">
        <f t="shared" si="17"/>
        <v>映像</v>
      </c>
      <c r="C333" t="str">
        <f>"エイゾウ"</f>
        <v>エイゾウ</v>
      </c>
      <c r="D333" t="str">
        <f>"岡山操山高等学校映画部"</f>
        <v>岡山操山高等学校映画部</v>
      </c>
      <c r="E333" t="str">
        <f>"オカヤマ ソウザン コウトウ ガッコウ エイガブ"</f>
        <v>オカヤマ ソウザン コウトウ ガッコウ エイガブ</v>
      </c>
      <c r="F333" t="str">
        <f>"[岡山]"</f>
        <v>[岡山]</v>
      </c>
      <c r="G333" t="str">
        <f>"頻度不明"</f>
        <v>頻度不明</v>
      </c>
      <c r="H333" t="str">
        <f>"2002222306694"</f>
        <v>2002222306694</v>
      </c>
      <c r="I333" t="str">
        <f>HYPERLINK("#", "https://opac.libnet.pref.okayama.jp/licsxp-opac/WOpacMsgNewListToTifTilDetailAction.do?tilcod=2002222306694")</f>
        <v>https://opac.libnet.pref.okayama.jp/licsxp-opac/WOpacMsgNewListToTifTilDetailAction.do?tilcod=2002222306694</v>
      </c>
    </row>
    <row r="334" spans="1:9" x14ac:dyDescent="0.4">
      <c r="A334" t="str">
        <f>"ＨＭＢ（エイチエムビー）"</f>
        <v>ＨＭＢ（エイチエムビー）</v>
      </c>
      <c r="B334" s="1" t="str">
        <f t="shared" si="17"/>
        <v>ＨＭＢ（エイチエムビー）</v>
      </c>
      <c r="C334" t="str">
        <f>"エイチエムビー"</f>
        <v>エイチエムビー</v>
      </c>
      <c r="D334" t="str">
        <f>"ＦＩＶＥ　ＧＲＡＰＨＩＣＳ"</f>
        <v>ＦＩＶＥ　ＧＲＡＰＨＩＣＳ</v>
      </c>
      <c r="E334" t="str">
        <f>"ファイブグラフィックス"</f>
        <v>ファイブグラフィックス</v>
      </c>
      <c r="F334" t="str">
        <f>"岡山"</f>
        <v>岡山</v>
      </c>
      <c r="G334" t="str">
        <f>"季刊"</f>
        <v>季刊</v>
      </c>
      <c r="H334" t="str">
        <f>"2002222301689"</f>
        <v>2002222301689</v>
      </c>
      <c r="I334" t="str">
        <f>HYPERLINK("#", "https://opac.libnet.pref.okayama.jp/licsxp-opac/WOpacMsgNewListToTifTilDetailAction.do?tilcod=2002222301689")</f>
        <v>https://opac.libnet.pref.okayama.jp/licsxp-opac/WOpacMsgNewListToTifTilDetailAction.do?tilcod=2002222301689</v>
      </c>
    </row>
    <row r="335" spans="1:9" x14ac:dyDescent="0.4">
      <c r="A335" t="str">
        <f>"Ａｉｍ；おかやま・ひろしまもうひとつの情報誌"</f>
        <v>Ａｉｍ；おかやま・ひろしまもうひとつの情報誌</v>
      </c>
      <c r="B335" s="1" t="str">
        <f t="shared" si="17"/>
        <v>Ａｉｍ；おかやま・ひろしまもうひとつの情報誌</v>
      </c>
      <c r="C335" t="str">
        <f>"エイム＊オカヤマ　ヒロシマ　モウヒトツ　ノ　ジョウホウ　シ"</f>
        <v>エイム＊オカヤマ　ヒロシマ　モウヒトツ　ノ　ジョウホウ　シ</v>
      </c>
      <c r="D335" t="str">
        <f>"おかやま・ひろしま「もうひとつの情報誌」編集部"</f>
        <v>おかやま・ひろしま「もうひとつの情報誌」編集部</v>
      </c>
      <c r="E335" t="str">
        <f>"オカヤマヒロシマモウヒトツノジョウホウシヘンシュウブ"</f>
        <v>オカヤマヒロシマモウヒトツノジョウホウシヘンシュウブ</v>
      </c>
      <c r="F335" t="str">
        <f>"福山"</f>
        <v>福山</v>
      </c>
      <c r="G335" t="str">
        <f>"隔月刊"</f>
        <v>隔月刊</v>
      </c>
      <c r="H335" t="str">
        <f>"2002222292241"</f>
        <v>2002222292241</v>
      </c>
      <c r="I335" t="str">
        <f>HYPERLINK("#", "https://opac.libnet.pref.okayama.jp/licsxp-opac/WOpacMsgNewListToTifTilDetailAction.do?tilcod=2002222292241")</f>
        <v>https://opac.libnet.pref.okayama.jp/licsxp-opac/WOpacMsgNewListToTifTilDetailAction.do?tilcod=2002222292241</v>
      </c>
    </row>
    <row r="336" spans="1:9" x14ac:dyDescent="0.4">
      <c r="A336" t="str">
        <f>"栄養サロン"</f>
        <v>栄養サロン</v>
      </c>
      <c r="B336" s="1" t="str">
        <f t="shared" si="17"/>
        <v>栄養サロン</v>
      </c>
      <c r="C336" t="str">
        <f>"エイヨウ　サロン"</f>
        <v>エイヨウ　サロン</v>
      </c>
      <c r="D336" t="str">
        <f>"岡山県栄養改善協議会"</f>
        <v>岡山県栄養改善協議会</v>
      </c>
      <c r="E336" t="str">
        <f>"オカヤマケンエイヨウカイゼンキョウギカイ"</f>
        <v>オカヤマケンエイヨウカイゼンキョウギカイ</v>
      </c>
      <c r="F336" t="str">
        <f>"岡山"</f>
        <v>岡山</v>
      </c>
      <c r="G336" t="str">
        <f>"頻度不明"</f>
        <v>頻度不明</v>
      </c>
      <c r="H336" t="str">
        <f>"2002222287681"</f>
        <v>2002222287681</v>
      </c>
      <c r="I336" t="str">
        <f>HYPERLINK("#", "https://opac.libnet.pref.okayama.jp/licsxp-opac/WOpacMsgNewListToTifTilDetailAction.do?tilcod=2002222287681")</f>
        <v>https://opac.libnet.pref.okayama.jp/licsxp-opac/WOpacMsgNewListToTifTilDetailAction.do?tilcod=2002222287681</v>
      </c>
    </row>
    <row r="337" spans="1:9" x14ac:dyDescent="0.4">
      <c r="A337" t="str">
        <f>"栄養だより"</f>
        <v>栄養だより</v>
      </c>
      <c r="B337" s="1" t="str">
        <f t="shared" si="17"/>
        <v>栄養だより</v>
      </c>
      <c r="C337" t="str">
        <f>"エイヨウ　ダヨリ"</f>
        <v>エイヨウ　ダヨリ</v>
      </c>
      <c r="D337" t="str">
        <f>"栄養委員会"</f>
        <v>栄養委員会</v>
      </c>
      <c r="E337" t="str">
        <f>"エイヨウイインカイ"</f>
        <v>エイヨウイインカイ</v>
      </c>
      <c r="F337" t="str">
        <f>""</f>
        <v/>
      </c>
      <c r="G337" t="str">
        <f>"頻度不明"</f>
        <v>頻度不明</v>
      </c>
      <c r="H337" t="str">
        <f>"2002222287701"</f>
        <v>2002222287701</v>
      </c>
      <c r="I337" t="str">
        <f>HYPERLINK("#", "https://opac.libnet.pref.okayama.jp/licsxp-opac/WOpacMsgNewListToTifTilDetailAction.do?tilcod=2002222287701")</f>
        <v>https://opac.libnet.pref.okayama.jp/licsxp-opac/WOpacMsgNewListToTifTilDetailAction.do?tilcod=2002222287701</v>
      </c>
    </row>
    <row r="338" spans="1:9" x14ac:dyDescent="0.4">
      <c r="A338" t="str">
        <f>"Ａ家探Ｑ（えぇいえ・たんきゅう）　岡山版"</f>
        <v>Ａ家探Ｑ（えぇいえ・たんきゅう）　岡山版</v>
      </c>
      <c r="B338" s="1" t="str">
        <f t="shared" si="17"/>
        <v>Ａ家探Ｑ（えぇいえ・たんきゅう）　岡山版</v>
      </c>
      <c r="C338" t="str">
        <f>"エェ　イエ・タンキュウ　オカヤマ　バン"</f>
        <v>エェ　イエ・タンキュウ　オカヤマ　バン</v>
      </c>
      <c r="D338" t="str">
        <f>"マルシン広告社Ａ家探Ｑ編集室"</f>
        <v>マルシン広告社Ａ家探Ｑ編集室</v>
      </c>
      <c r="E338" t="str">
        <f>"マルシンコウコクシャエーイエタンキュウヘンシュウシツ"</f>
        <v>マルシンコウコクシャエーイエタンキュウヘンシュウシツ</v>
      </c>
      <c r="F338" t="str">
        <f>"岡山"</f>
        <v>岡山</v>
      </c>
      <c r="G338" t="str">
        <f>"月刊"</f>
        <v>月刊</v>
      </c>
      <c r="H338" t="str">
        <f>"2002222302344"</f>
        <v>2002222302344</v>
      </c>
      <c r="I338" t="str">
        <f>HYPERLINK("#", "https://opac.libnet.pref.okayama.jp/licsxp-opac/WOpacMsgNewListToTifTilDetailAction.do?tilcod=2002222302344")</f>
        <v>https://opac.libnet.pref.okayama.jp/licsxp-opac/WOpacMsgNewListToTifTilDetailAction.do?tilcod=2002222302344</v>
      </c>
    </row>
    <row r="339" spans="1:9" x14ac:dyDescent="0.4">
      <c r="A339" t="str">
        <f>"ＡＣ　ＭＥＤＩＵＭ（エーシー　ミディアム）"</f>
        <v>ＡＣ　ＭＥＤＩＵＭ（エーシー　ミディアム）</v>
      </c>
      <c r="B339" s="1" t="str">
        <f t="shared" si="17"/>
        <v>ＡＣ　ＭＥＤＩＵＭ（エーシー　ミディアム）</v>
      </c>
      <c r="C339" t="str">
        <f>"エーシー　ミディアム"</f>
        <v>エーシー　ミディアム</v>
      </c>
      <c r="D339" t="str">
        <f>"ＡＣ"</f>
        <v>ＡＣ</v>
      </c>
      <c r="E339" t="str">
        <f>"エーシー"</f>
        <v>エーシー</v>
      </c>
      <c r="F339" t="str">
        <f>""</f>
        <v/>
      </c>
      <c r="G339" t="str">
        <f>"頻度不明"</f>
        <v>頻度不明</v>
      </c>
      <c r="H339" t="str">
        <f>"2002222287661"</f>
        <v>2002222287661</v>
      </c>
      <c r="I339" t="str">
        <f>HYPERLINK("#", "https://opac.libnet.pref.okayama.jp/licsxp-opac/WOpacMsgNewListToTifTilDetailAction.do?tilcod=2002222287661")</f>
        <v>https://opac.libnet.pref.okayama.jp/licsxp-opac/WOpacMsgNewListToTifTilDetailAction.do?tilcod=2002222287661</v>
      </c>
    </row>
    <row r="340" spans="1:9" x14ac:dyDescent="0.4">
      <c r="A340" t="str">
        <f>"ａｐ！！（ａｒｔｓｐａｐｅｒ！！）"</f>
        <v>ａｐ！！（ａｒｔｓｐａｐｅｒ！！）</v>
      </c>
      <c r="B340" s="1" t="str">
        <f t="shared" si="17"/>
        <v>ａｐ！！（ａｒｔｓｐａｐｅｒ！！）</v>
      </c>
      <c r="C340" t="str">
        <f>"エーピー＊アーツ　ペーパー"</f>
        <v>エーピー＊アーツ　ペーパー</v>
      </c>
      <c r="D340" t="str">
        <f>"アッパービレッジ"</f>
        <v>アッパービレッジ</v>
      </c>
      <c r="E340" t="str">
        <f>"アッパービレッジ"</f>
        <v>アッパービレッジ</v>
      </c>
      <c r="F340" t="str">
        <f>"岡山"</f>
        <v>岡山</v>
      </c>
      <c r="G340" t="str">
        <f>"隔月刊"</f>
        <v>隔月刊</v>
      </c>
      <c r="H340" t="str">
        <f>"2002222285651"</f>
        <v>2002222285651</v>
      </c>
      <c r="I340" t="str">
        <f>HYPERLINK("#", "https://opac.libnet.pref.okayama.jp/licsxp-opac/WOpacMsgNewListToTifTilDetailAction.do?tilcod=2002222285651")</f>
        <v>https://opac.libnet.pref.okayama.jp/licsxp-opac/WOpacMsgNewListToTifTilDetailAction.do?tilcod=2002222285651</v>
      </c>
    </row>
    <row r="341" spans="1:9" x14ac:dyDescent="0.4">
      <c r="A341" t="str">
        <f>"ＥＸＰＲＥＳＳ（エキスプレス）"</f>
        <v>ＥＸＰＲＥＳＳ（エキスプレス）</v>
      </c>
      <c r="B341" s="1" t="str">
        <f t="shared" si="17"/>
        <v>ＥＸＰＲＥＳＳ（エキスプレス）</v>
      </c>
      <c r="C341" t="str">
        <f>"エキスプレス"</f>
        <v>エキスプレス</v>
      </c>
      <c r="D341" t="str">
        <f>"高鳥洋一"</f>
        <v>高鳥洋一</v>
      </c>
      <c r="E341" t="str">
        <f>"タカトリヨウイチ"</f>
        <v>タカトリヨウイチ</v>
      </c>
      <c r="F341" t="str">
        <f>""</f>
        <v/>
      </c>
      <c r="G341" t="str">
        <f>"頻度不明"</f>
        <v>頻度不明</v>
      </c>
      <c r="H341" t="str">
        <f>"2002222287711"</f>
        <v>2002222287711</v>
      </c>
      <c r="I341" t="str">
        <f>HYPERLINK("#", "https://opac.libnet.pref.okayama.jp/licsxp-opac/WOpacMsgNewListToTifTilDetailAction.do?tilcod=2002222287711")</f>
        <v>https://opac.libnet.pref.okayama.jp/licsxp-opac/WOpacMsgNewListToTifTilDetailAction.do?tilcod=2002222287711</v>
      </c>
    </row>
    <row r="342" spans="1:9" x14ac:dyDescent="0.4">
      <c r="A342" t="str">
        <f>"ＥＸ！ＰＲＥＳＳ"</f>
        <v>ＥＸ！ＰＲＥＳＳ</v>
      </c>
      <c r="B342" s="1" t="str">
        <f t="shared" si="17"/>
        <v>ＥＸ！ＰＲＥＳＳ</v>
      </c>
      <c r="C342" t="str">
        <f>"エクスプレス"</f>
        <v>エクスプレス</v>
      </c>
      <c r="D342" t="str">
        <f>"西日本旅客鉄道岡山支社"</f>
        <v>西日本旅客鉄道岡山支社</v>
      </c>
      <c r="E342" t="str">
        <f>"ニシニホン リョカク テツドウ オカヤマ シシャ"</f>
        <v>ニシニホン リョカク テツドウ オカヤマ シシャ</v>
      </c>
      <c r="F342" t="str">
        <f>"岡山"</f>
        <v>岡山</v>
      </c>
      <c r="G342" t="str">
        <f>"頻度不明"</f>
        <v>頻度不明</v>
      </c>
      <c r="H342" t="str">
        <f>"2002222282321"</f>
        <v>2002222282321</v>
      </c>
      <c r="I342" t="str">
        <f>HYPERLINK("#", "https://opac.libnet.pref.okayama.jp/licsxp-opac/WOpacMsgNewListToTifTilDetailAction.do?tilcod=2002222282321")</f>
        <v>https://opac.libnet.pref.okayama.jp/licsxp-opac/WOpacMsgNewListToTifTilDetailAction.do?tilcod=2002222282321</v>
      </c>
    </row>
    <row r="343" spans="1:9" x14ac:dyDescent="0.4">
      <c r="A343" t="str">
        <f>"ecole"</f>
        <v>ecole</v>
      </c>
      <c r="B343" s="1" t="str">
        <f t="shared" si="17"/>
        <v>ecole</v>
      </c>
      <c r="C343" t="str">
        <f>"エコル"</f>
        <v>エコル</v>
      </c>
      <c r="D343" t="str">
        <f>"花田洋通"</f>
        <v>花田洋通</v>
      </c>
      <c r="E343" t="str">
        <f>"ハナダヒロミチ"</f>
        <v>ハナダヒロミチ</v>
      </c>
      <c r="F343" t="str">
        <f>""</f>
        <v/>
      </c>
      <c r="G343" t="str">
        <f>"年刊"</f>
        <v>年刊</v>
      </c>
      <c r="H343" t="str">
        <f>"2002222330586"</f>
        <v>2002222330586</v>
      </c>
      <c r="I343" t="str">
        <f>HYPERLINK("#", "https://opac.libnet.pref.okayama.jp/licsxp-opac/WOpacMsgNewListToTifTilDetailAction.do?tilcod=2002222330586")</f>
        <v>https://opac.libnet.pref.okayama.jp/licsxp-opac/WOpacMsgNewListToTifTilDetailAction.do?tilcod=2002222330586</v>
      </c>
    </row>
    <row r="344" spans="1:9" x14ac:dyDescent="0.4">
      <c r="A344" t="str">
        <f>"えざかや；おかやまのグルメ情報誌"</f>
        <v>えざかや；おかやまのグルメ情報誌</v>
      </c>
      <c r="B344" s="1" t="str">
        <f t="shared" si="17"/>
        <v>えざかや；おかやまのグルメ情報誌</v>
      </c>
      <c r="C344" t="str">
        <f>"エザカヤ＊オカヤマ　ノ　グルメ　ジョウホウシ"</f>
        <v>エザカヤ＊オカヤマ　ノ　グルメ　ジョウホウシ</v>
      </c>
      <c r="D344" t="str">
        <f>"エアログ"</f>
        <v>エアログ</v>
      </c>
      <c r="E344" t="str">
        <f>"エアログ"</f>
        <v>エアログ</v>
      </c>
      <c r="F344" t="str">
        <f>"岡山"</f>
        <v>岡山</v>
      </c>
      <c r="G344" t="str">
        <f>"隔月刊"</f>
        <v>隔月刊</v>
      </c>
      <c r="H344" t="str">
        <f>"2002222301334"</f>
        <v>2002222301334</v>
      </c>
      <c r="I344" t="str">
        <f>HYPERLINK("#", "https://opac.libnet.pref.okayama.jp/licsxp-opac/WOpacMsgNewListToTifTilDetailAction.do?tilcod=2002222301334")</f>
        <v>https://opac.libnet.pref.okayama.jp/licsxp-opac/WOpacMsgNewListToTifTilDetailAction.do?tilcod=2002222301334</v>
      </c>
    </row>
    <row r="345" spans="1:9" x14ac:dyDescent="0.4">
      <c r="A345" t="str">
        <f>"Ｓ＆Ｕ；ＫＵＲＡＳＨＩＫＩ　ＳＨＯＫＵ＆ＵＴＳＵＷＡ　ＰＡＰＥＲ"</f>
        <v>Ｓ＆Ｕ；ＫＵＲＡＳＨＩＫＩ　ＳＨＯＫＵ＆ＵＴＳＵＷＡ　ＰＡＰＥＲ</v>
      </c>
      <c r="B345" s="1" t="str">
        <f t="shared" si="17"/>
        <v>Ｓ＆Ｕ；ＫＵＲＡＳＨＩＫＩ　ＳＨＯＫＵ＆ＵＴＳＵＷＡ　ＰＡＰＥＲ</v>
      </c>
      <c r="C345" t="str">
        <f>"エス　アンド　ユー＊クラシキ　ショク　アンド　ウツワ　ペーパー"</f>
        <v>エス　アンド　ユー＊クラシキ　ショク　アンド　ウツワ　ペーパー</v>
      </c>
      <c r="D345" t="str">
        <f>"倉敷食と器専門学校"</f>
        <v>倉敷食と器専門学校</v>
      </c>
      <c r="E345" t="str">
        <f>"クラシキショクトウツワセンモンガッコウ"</f>
        <v>クラシキショクトウツワセンモンガッコウ</v>
      </c>
      <c r="F345" t="str">
        <f>"倉敷"</f>
        <v>倉敷</v>
      </c>
      <c r="G345" t="str">
        <f>"年２回刊"</f>
        <v>年２回刊</v>
      </c>
      <c r="H345" t="str">
        <f>"2002222301802"</f>
        <v>2002222301802</v>
      </c>
      <c r="I345" t="str">
        <f>HYPERLINK("#", "https://opac.libnet.pref.okayama.jp/licsxp-opac/WOpacMsgNewListToTifTilDetailAction.do?tilcod=2002222301802")</f>
        <v>https://opac.libnet.pref.okayama.jp/licsxp-opac/WOpacMsgNewListToTifTilDetailAction.do?tilcod=2002222301802</v>
      </c>
    </row>
    <row r="346" spans="1:9" x14ac:dyDescent="0.4">
      <c r="A346" t="str">
        <f>"SD〔岡山県立北部高等技術専門校〕専門校だより"</f>
        <v>SD〔岡山県立北部高等技術専門校〕専門校だより</v>
      </c>
      <c r="B346" s="1" t="str">
        <f t="shared" si="17"/>
        <v>SD〔岡山県立北部高等技術専門校〕専門校だより</v>
      </c>
      <c r="C346" t="str">
        <f>"エス ディー オカヤマケンリツ　ホクブ　コウトウ　ギジュツ　センモンコウ＊センモンコウ　ダヨリ"</f>
        <v>エス ディー オカヤマケンリツ　ホクブ　コウトウ　ギジュツ　センモンコウ＊センモンコウ　ダヨリ</v>
      </c>
      <c r="D346" t="str">
        <f>"北部高等技術専門校"</f>
        <v>北部高等技術専門校</v>
      </c>
      <c r="E346" t="str">
        <f>"ホクブ コウトウ ギジュツ センモンコウ"</f>
        <v>ホクブ コウトウ ギジュツ センモンコウ</v>
      </c>
      <c r="F346" t="str">
        <f>"津山"</f>
        <v>津山</v>
      </c>
      <c r="G346" t="str">
        <f>"年２回刊"</f>
        <v>年２回刊</v>
      </c>
      <c r="H346" t="str">
        <f>"2002222302258"</f>
        <v>2002222302258</v>
      </c>
      <c r="I346" t="str">
        <f>HYPERLINK("#", "https://opac.libnet.pref.okayama.jp/licsxp-opac/WOpacMsgNewListToTifTilDetailAction.do?tilcod=2002222302258")</f>
        <v>https://opac.libnet.pref.okayama.jp/licsxp-opac/WOpacMsgNewListToTifTilDetailAction.do?tilcod=2002222302258</v>
      </c>
    </row>
    <row r="347" spans="1:9" x14ac:dyDescent="0.4">
      <c r="A347" t="str">
        <f>"S-Press 青陵Hot Topics"</f>
        <v>S-Press 青陵Hot Topics</v>
      </c>
      <c r="B347" s="1" t="str">
        <f t="shared" si="17"/>
        <v>S-Press 青陵Hot Topics</v>
      </c>
      <c r="C347" t="str">
        <f>"エス プレス セイリョウ ホット トピックス"</f>
        <v>エス プレス セイリョウ ホット トピックス</v>
      </c>
      <c r="D347" t="str">
        <f>"倉敷青陵高等学校企画広報室"</f>
        <v>倉敷青陵高等学校企画広報室</v>
      </c>
      <c r="E347" t="str">
        <f>"クラシキ セイリョウ コウトウ ガッコウ"</f>
        <v>クラシキ セイリョウ コウトウ ガッコウ</v>
      </c>
      <c r="F347" t="str">
        <f>"倉敷"</f>
        <v>倉敷</v>
      </c>
      <c r="G347" t="str">
        <f>"頻度不明"</f>
        <v>頻度不明</v>
      </c>
      <c r="H347" t="str">
        <f>"2002222320351"</f>
        <v>2002222320351</v>
      </c>
      <c r="I347" t="str">
        <f>HYPERLINK("#", "https://opac.libnet.pref.okayama.jp/licsxp-opac/WOpacMsgNewListToTifTilDetailAction.do?tilcod=2002222320351")</f>
        <v>https://opac.libnet.pref.okayama.jp/licsxp-opac/WOpacMsgNewListToTifTilDetailAction.do?tilcod=2002222320351</v>
      </c>
    </row>
    <row r="348" spans="1:9" x14ac:dyDescent="0.4">
      <c r="A348" t="str">
        <f>"Ｓ．ｐａｐｅｒ（エスペーパー）"</f>
        <v>Ｓ．ｐａｐｅｒ（エスペーパー）</v>
      </c>
      <c r="B348" s="1" t="str">
        <f t="shared" si="17"/>
        <v>Ｓ．ｐａｐｅｒ（エスペーパー）</v>
      </c>
      <c r="C348" t="str">
        <f>"エス　ペーパー"</f>
        <v>エス　ペーパー</v>
      </c>
      <c r="D348" t="str">
        <f>"ＳＯＵＳＯＵＬ"</f>
        <v>ＳＯＵＳＯＵＬ</v>
      </c>
      <c r="E348" t="str">
        <f>"ソウソウル"</f>
        <v>ソウソウル</v>
      </c>
      <c r="F348" t="str">
        <f>"岡山"</f>
        <v>岡山</v>
      </c>
      <c r="G348" t="str">
        <f>"季刊"</f>
        <v>季刊</v>
      </c>
      <c r="H348" t="str">
        <f>"2002222302020"</f>
        <v>2002222302020</v>
      </c>
      <c r="I348" t="str">
        <f>HYPERLINK("#", "https://opac.libnet.pref.okayama.jp/licsxp-opac/WOpacMsgNewListToTifTilDetailAction.do?tilcod=2002222302020")</f>
        <v>https://opac.libnet.pref.okayama.jp/licsxp-opac/WOpacMsgNewListToTifTilDetailAction.do?tilcod=2002222302020</v>
      </c>
    </row>
    <row r="349" spans="1:9" x14ac:dyDescent="0.4">
      <c r="A349" t="str">
        <f>"〔ＳＴ会〕会報"</f>
        <v>〔ＳＴ会〕会報</v>
      </c>
      <c r="B349" s="1" t="str">
        <f t="shared" si="17"/>
        <v>〔ＳＴ会〕会報</v>
      </c>
      <c r="C349" t="str">
        <f>"エスティーカイ　カイホウ"</f>
        <v>エスティーカイ　カイホウ</v>
      </c>
      <c r="D349" t="str">
        <f>"岡山県瀬戸自動車学校"</f>
        <v>岡山県瀬戸自動車学校</v>
      </c>
      <c r="E349" t="str">
        <f>"オカヤマケンセトジドウシャガッコウ"</f>
        <v>オカヤマケンセトジドウシャガッコウ</v>
      </c>
      <c r="F349" t="str">
        <f>"瀬戸町（赤磐郡）"</f>
        <v>瀬戸町（赤磐郡）</v>
      </c>
      <c r="G349" t="str">
        <f>"頻度不明"</f>
        <v>頻度不明</v>
      </c>
      <c r="H349" t="str">
        <f>"2002222301362"</f>
        <v>2002222301362</v>
      </c>
      <c r="I349" t="str">
        <f>HYPERLINK("#", "https://opac.libnet.pref.okayama.jp/licsxp-opac/WOpacMsgNewListToTifTilDetailAction.do?tilcod=2002222301362")</f>
        <v>https://opac.libnet.pref.okayama.jp/licsxp-opac/WOpacMsgNewListToTifTilDetailAction.do?tilcod=2002222301362</v>
      </c>
    </row>
    <row r="350" spans="1:9" x14ac:dyDescent="0.4">
      <c r="A350" t="str">
        <f>"ESPACE(エスパス)"</f>
        <v>ESPACE(エスパス)</v>
      </c>
      <c r="B350" s="1" t="str">
        <f t="shared" si="17"/>
        <v>ESPACE(エスパス)</v>
      </c>
      <c r="C350" t="str">
        <f>"エスパス"</f>
        <v>エスパス</v>
      </c>
      <c r="D350" t="str">
        <f>"真庭エスパス文化振興財団"</f>
        <v>真庭エスパス文化振興財団</v>
      </c>
      <c r="E350" t="str">
        <f>"マニワ エスパス ブンカ シンコウ ザイダン"</f>
        <v>マニワ エスパス ブンカ シンコウ ザイダン</v>
      </c>
      <c r="F350" t="str">
        <f>"真庭"</f>
        <v>真庭</v>
      </c>
      <c r="G350" t="str">
        <f>"月刊"</f>
        <v>月刊</v>
      </c>
      <c r="H350" t="str">
        <f>"2002222327146"</f>
        <v>2002222327146</v>
      </c>
      <c r="I350" t="str">
        <f>HYPERLINK("#", "https://opac.libnet.pref.okayama.jp/licsxp-opac/WOpacMsgNewListToTifTilDetailAction.do?tilcod=2002222327146")</f>
        <v>https://opac.libnet.pref.okayama.jp/licsxp-opac/WOpacMsgNewListToTifTilDetailAction.do?tilcod=2002222327146</v>
      </c>
    </row>
    <row r="351" spans="1:9" x14ac:dyDescent="0.4">
      <c r="A351" t="str">
        <f>"ＥＳＰＡＣＥ（エスパス）；久世エスパスランド"</f>
        <v>ＥＳＰＡＣＥ（エスパス）；久世エスパスランド</v>
      </c>
      <c r="B351" s="1" t="str">
        <f t="shared" si="17"/>
        <v>ＥＳＰＡＣＥ（エスパス）；久世エスパスランド</v>
      </c>
      <c r="C351" t="str">
        <f>"エスパス＊クセ　エスパス　ランド"</f>
        <v>エスパス＊クセ　エスパス　ランド</v>
      </c>
      <c r="D351" t="str">
        <f>"久世エスパス振興財団"</f>
        <v>久世エスパス振興財団</v>
      </c>
      <c r="E351" t="str">
        <f>"クセエスパスシンコウザイダン"</f>
        <v>クセエスパスシンコウザイダン</v>
      </c>
      <c r="F351" t="str">
        <f>"久世町（真庭郡）"</f>
        <v>久世町（真庭郡）</v>
      </c>
      <c r="G351" t="str">
        <f>"月刊"</f>
        <v>月刊</v>
      </c>
      <c r="H351" t="str">
        <f>"2002222284551"</f>
        <v>2002222284551</v>
      </c>
      <c r="I351" t="str">
        <f>HYPERLINK("#", "https://opac.libnet.pref.okayama.jp/licsxp-opac/WOpacMsgNewListToTifTilDetailAction.do?tilcod=2002222284551")</f>
        <v>https://opac.libnet.pref.okayama.jp/licsxp-opac/WOpacMsgNewListToTifTilDetailAction.do?tilcod=2002222284551</v>
      </c>
    </row>
    <row r="352" spans="1:9" x14ac:dyDescent="0.4">
      <c r="A352" t="str">
        <f>"ESpress(エスプレス)"</f>
        <v>ESpress(エスプレス)</v>
      </c>
      <c r="B352" s="1" t="str">
        <f t="shared" si="17"/>
        <v>ESpress(エスプレス)</v>
      </c>
      <c r="C352" t="str">
        <f>"エスプレス  "</f>
        <v xml:space="preserve">エスプレス  </v>
      </c>
      <c r="D352" t="str">
        <f>"真庭エスパス文化振興財団"</f>
        <v>真庭エスパス文化振興財団</v>
      </c>
      <c r="E352" t="str">
        <f>"マニワ エスパス ブンカ シンコウ ザイダン"</f>
        <v>マニワ エスパス ブンカ シンコウ ザイダン</v>
      </c>
      <c r="F352" t="str">
        <f>"真庭"</f>
        <v>真庭</v>
      </c>
      <c r="G352" t="str">
        <f>"月刊"</f>
        <v>月刊</v>
      </c>
      <c r="H352" t="str">
        <f>"2002222307815"</f>
        <v>2002222307815</v>
      </c>
      <c r="I352" t="str">
        <f>HYPERLINK("#", "https://opac.libnet.pref.okayama.jp/licsxp-opac/WOpacMsgNewListToTifTilDetailAction.do?tilcod=2002222307815")</f>
        <v>https://opac.libnet.pref.okayama.jp/licsxp-opac/WOpacMsgNewListToTifTilDetailAction.do?tilcod=2002222307815</v>
      </c>
    </row>
    <row r="353" spans="1:9" x14ac:dyDescent="0.4">
      <c r="A353" t="str">
        <f>"えすぽあ"</f>
        <v>えすぽあ</v>
      </c>
      <c r="B353" s="1" t="str">
        <f t="shared" si="17"/>
        <v>えすぽあ</v>
      </c>
      <c r="C353" t="str">
        <f>"エスポア"</f>
        <v>エスポア</v>
      </c>
      <c r="D353" t="str">
        <f>"津山男女共同参画センター「さん・さん」"</f>
        <v>津山男女共同参画センター「さん・さん」</v>
      </c>
      <c r="E353" t="str">
        <f>"ツヤマダンジョキョウドウサンカクセンターサンサン"</f>
        <v>ツヤマダンジョキョウドウサンカクセンターサンサン</v>
      </c>
      <c r="F353" t="str">
        <f>"津山"</f>
        <v>津山</v>
      </c>
      <c r="G353" t="str">
        <f>"年３回刊"</f>
        <v>年３回刊</v>
      </c>
      <c r="H353" t="str">
        <f>"2002222291921"</f>
        <v>2002222291921</v>
      </c>
      <c r="I353" t="str">
        <f>HYPERLINK("#", "https://opac.libnet.pref.okayama.jp/licsxp-opac/WOpacMsgNewListToTifTilDetailAction.do?tilcod=2002222291921")</f>
        <v>https://opac.libnet.pref.okayama.jp/licsxp-opac/WOpacMsgNewListToTifTilDetailAction.do?tilcod=2002222291921</v>
      </c>
    </row>
    <row r="354" spans="1:9" x14ac:dyDescent="0.4">
      <c r="A354" t="str">
        <f>"エッセイスト　クラブ　ニュース"</f>
        <v>エッセイスト　クラブ　ニュース</v>
      </c>
      <c r="B354" s="1" t="str">
        <f t="shared" si="17"/>
        <v>エッセイスト　クラブ　ニュース</v>
      </c>
      <c r="C354" t="str">
        <f>"エッセイスト　クラブ　ニュース　"</f>
        <v>エッセイスト　クラブ　ニュース　</v>
      </c>
      <c r="D354" t="str">
        <f>"岡山県エッセイストクラブ"</f>
        <v>岡山県エッセイストクラブ</v>
      </c>
      <c r="E354" t="str">
        <f>"オカヤマケン エッセイスト クラブ"</f>
        <v>オカヤマケン エッセイスト クラブ</v>
      </c>
      <c r="F354" t="str">
        <f>"倉敷"</f>
        <v>倉敷</v>
      </c>
      <c r="G354" t="str">
        <f>"隔月刊"</f>
        <v>隔月刊</v>
      </c>
      <c r="H354" t="str">
        <f>"2002222281744"</f>
        <v>2002222281744</v>
      </c>
      <c r="I354" t="str">
        <f>HYPERLINK("#", "https://opac.libnet.pref.okayama.jp/licsxp-opac/WOpacMsgNewListToTifTilDetailAction.do?tilcod=2002222281744")</f>
        <v>https://opac.libnet.pref.okayama.jp/licsxp-opac/WOpacMsgNewListToTifTilDetailAction.do?tilcod=2002222281744</v>
      </c>
    </row>
    <row r="355" spans="1:9" x14ac:dyDescent="0.4">
      <c r="A355" t="str">
        <f>"Ｎ．Ｄ．Ｓ．Ｕ．　Ｃｏｌｌｅｃｔｉｏｎ（〔ノートルダム清心女子大学コレクション〕）"</f>
        <v>Ｎ．Ｄ．Ｓ．Ｕ．　Ｃｏｌｌｅｃｔｉｏｎ（〔ノートルダム清心女子大学コレクション〕）</v>
      </c>
      <c r="B355" s="1" t="str">
        <f t="shared" si="17"/>
        <v>Ｎ．Ｄ．Ｓ．Ｕ．　Ｃｏｌｌｅｃｔｉｏｎ（〔ノートルダム清心女子大学コレクション〕）</v>
      </c>
      <c r="C355" t="str">
        <f>"エヌ　ディー　エス　ユー　コレクション＊ノートルダム　セイシン　ジョシダイガク　コレクション"</f>
        <v>エヌ　ディー　エス　ユー　コレクション＊ノートルダム　セイシン　ジョシダイガク　コレクション</v>
      </c>
      <c r="D355" t="str">
        <f>"ノートルダム清心女子大学学芸員課程"</f>
        <v>ノートルダム清心女子大学学芸員課程</v>
      </c>
      <c r="E355" t="str">
        <f>"ノートルダムセイシンジョシダイガクガクゲイインカテイ"</f>
        <v>ノートルダムセイシンジョシダイガクガクゲイインカテイ</v>
      </c>
      <c r="F355" t="str">
        <f>"岡山"</f>
        <v>岡山</v>
      </c>
      <c r="G355" t="str">
        <f>"頻度不明"</f>
        <v>頻度不明</v>
      </c>
      <c r="H355" t="str">
        <f>"2002222302479"</f>
        <v>2002222302479</v>
      </c>
      <c r="I355" t="str">
        <f>HYPERLINK("#", "https://opac.libnet.pref.okayama.jp/licsxp-opac/WOpacMsgNewListToTifTilDetailAction.do?tilcod=2002222302479")</f>
        <v>https://opac.libnet.pref.okayama.jp/licsxp-opac/WOpacMsgNewListToTifTilDetailAction.do?tilcod=2002222302479</v>
      </c>
    </row>
    <row r="356" spans="1:9" x14ac:dyDescent="0.4">
      <c r="A356" t="str">
        <f>"ＮＰＯｋａｙａｍａ（エヌピーオカヤマ）"</f>
        <v>ＮＰＯｋａｙａｍａ（エヌピーオカヤマ）</v>
      </c>
      <c r="B356" s="1" t="str">
        <f t="shared" si="17"/>
        <v>ＮＰＯｋａｙａｍａ（エヌピーオカヤマ）</v>
      </c>
      <c r="C356" t="str">
        <f>"エヌ　ピー　オカヤマ"</f>
        <v>エヌ　ピー　オカヤマ</v>
      </c>
      <c r="D356" t="str">
        <f>"岡山ＮＰＯセンター"</f>
        <v>岡山ＮＰＯセンター</v>
      </c>
      <c r="E356" t="str">
        <f>"オカヤマエヌピーオーセンター"</f>
        <v>オカヤマエヌピーオーセンター</v>
      </c>
      <c r="F356" t="str">
        <f>"岡山"</f>
        <v>岡山</v>
      </c>
      <c r="G356" t="str">
        <f>"年刊"</f>
        <v>年刊</v>
      </c>
      <c r="H356" t="str">
        <f>"2002222284681"</f>
        <v>2002222284681</v>
      </c>
      <c r="I356" t="str">
        <f>HYPERLINK("#", "https://opac.libnet.pref.okayama.jp/licsxp-opac/WOpacMsgNewListToTifTilDetailAction.do?tilcod=2002222284681")</f>
        <v>https://opac.libnet.pref.okayama.jp/licsxp-opac/WOpacMsgNewListToTifTilDetailAction.do?tilcod=2002222284681</v>
      </c>
    </row>
    <row r="357" spans="1:9" x14ac:dyDescent="0.4">
      <c r="A357" t="str">
        <f>"ＮＨＫおかやまだより"</f>
        <v>ＮＨＫおかやまだより</v>
      </c>
      <c r="B357" s="1" t="str">
        <f t="shared" si="17"/>
        <v>ＮＨＫおかやまだより</v>
      </c>
      <c r="C357" t="str">
        <f>"エヌエイチケー　オカヤマ　ダヨリ"</f>
        <v>エヌエイチケー　オカヤマ　ダヨリ</v>
      </c>
      <c r="D357" t="str">
        <f>"ＮＨＫ岡山放送局"</f>
        <v>ＮＨＫ岡山放送局</v>
      </c>
      <c r="E357" t="str">
        <f>"エヌエイチケー オカヤマ ホウソウキョク"</f>
        <v>エヌエイチケー オカヤマ ホウソウキョク</v>
      </c>
      <c r="F357" t="str">
        <f>""</f>
        <v/>
      </c>
      <c r="G357" t="str">
        <f>"頻度不明"</f>
        <v>頻度不明</v>
      </c>
      <c r="H357" t="str">
        <f>"2002222287721"</f>
        <v>2002222287721</v>
      </c>
      <c r="I357" t="str">
        <f>HYPERLINK("#", "https://opac.libnet.pref.okayama.jp/licsxp-opac/WOpacMsgNewListToTifTilDetailAction.do?tilcod=2002222287721")</f>
        <v>https://opac.libnet.pref.okayama.jp/licsxp-opac/WOpacMsgNewListToTifTilDetailAction.do?tilcod=2002222287721</v>
      </c>
    </row>
    <row r="358" spans="1:9" x14ac:dyDescent="0.4">
      <c r="A358" t="str">
        <f>"NHK岡山放送局だより"</f>
        <v>NHK岡山放送局だより</v>
      </c>
      <c r="B358" s="1" t="str">
        <f t="shared" si="17"/>
        <v>NHK岡山放送局だより</v>
      </c>
      <c r="C358" t="str">
        <f>"エヌエイチケー オカヤマ ホウソウキョク ダヨリ"</f>
        <v>エヌエイチケー オカヤマ ホウソウキョク ダヨリ</v>
      </c>
      <c r="D358" t="str">
        <f>"NHK岡山放送局"</f>
        <v>NHK岡山放送局</v>
      </c>
      <c r="E358" t="str">
        <f>"エヌエイチケー オカヤマ ホウソウキョク"</f>
        <v>エヌエイチケー オカヤマ ホウソウキョク</v>
      </c>
      <c r="F358" t="str">
        <f>""</f>
        <v/>
      </c>
      <c r="G358" t="str">
        <f>"月刊"</f>
        <v>月刊</v>
      </c>
      <c r="H358" t="str">
        <f>"2002222330746"</f>
        <v>2002222330746</v>
      </c>
      <c r="I358" t="str">
        <f>HYPERLINK("#", "https://opac.libnet.pref.okayama.jp/licsxp-opac/WOpacMsgNewListToTifTilDetailAction.do?tilcod=2002222330746")</f>
        <v>https://opac.libnet.pref.okayama.jp/licsxp-opac/WOpacMsgNewListToTifTilDetailAction.do?tilcod=2002222330746</v>
      </c>
    </row>
    <row r="359" spans="1:9" x14ac:dyDescent="0.4">
      <c r="A359" t="str">
        <f>"ＮＰＯきらめき広場・きらりら"</f>
        <v>ＮＰＯきらめき広場・きらりら</v>
      </c>
      <c r="B359" s="1" t="str">
        <f t="shared" si="17"/>
        <v>ＮＰＯきらめき広場・きらりら</v>
      </c>
      <c r="C359" t="str">
        <f>"エヌピーオー　キラメキ　ヒロバ　キラリラ"</f>
        <v>エヌピーオー　キラメキ　ヒロバ　キラリラ</v>
      </c>
      <c r="D359" t="str">
        <f>"きらめき広場"</f>
        <v>きらめき広場</v>
      </c>
      <c r="E359" t="str">
        <f>"キラメキヒロバ"</f>
        <v>キラメキヒロバ</v>
      </c>
      <c r="F359" t="str">
        <f>"新見"</f>
        <v>新見</v>
      </c>
      <c r="G359" t="str">
        <f>"月刊"</f>
        <v>月刊</v>
      </c>
      <c r="H359" t="str">
        <f>"2002222300624"</f>
        <v>2002222300624</v>
      </c>
      <c r="I359" t="str">
        <f>HYPERLINK("#", "https://opac.libnet.pref.okayama.jp/licsxp-opac/WOpacMsgNewListToTifTilDetailAction.do?tilcod=2002222300624")</f>
        <v>https://opac.libnet.pref.okayama.jp/licsxp-opac/WOpacMsgNewListToTifTilDetailAction.do?tilcod=2002222300624</v>
      </c>
    </row>
    <row r="360" spans="1:9" x14ac:dyDescent="0.4">
      <c r="A360" t="str">
        <f>"ｆ（エフ）"</f>
        <v>ｆ（エフ）</v>
      </c>
      <c r="B360" s="1" t="str">
        <f t="shared" si="17"/>
        <v>ｆ（エフ）</v>
      </c>
      <c r="C360" t="str">
        <f>"エフ"</f>
        <v>エフ</v>
      </c>
      <c r="D360" t="str">
        <f>"岡山リビング新聞社"</f>
        <v>岡山リビング新聞社</v>
      </c>
      <c r="E360" t="str">
        <f>"オカヤマ リビング シンブンシャ"</f>
        <v>オカヤマ リビング シンブンシャ</v>
      </c>
      <c r="F360" t="str">
        <f>"岡山"</f>
        <v>岡山</v>
      </c>
      <c r="G360" t="str">
        <f>"季刊"</f>
        <v>季刊</v>
      </c>
      <c r="H360" t="str">
        <f>"2002222301088"</f>
        <v>2002222301088</v>
      </c>
      <c r="I360" t="str">
        <f>HYPERLINK("#", "https://opac.libnet.pref.okayama.jp/licsxp-opac/WOpacMsgNewListToTifTilDetailAction.do?tilcod=2002222301088")</f>
        <v>https://opac.libnet.pref.okayama.jp/licsxp-opac/WOpacMsgNewListToTifTilDetailAction.do?tilcod=2002222301088</v>
      </c>
    </row>
    <row r="361" spans="1:9" x14ac:dyDescent="0.4">
      <c r="A361" t="str">
        <f>"Ｆ＆Ａ"</f>
        <v>Ｆ＆Ａ</v>
      </c>
      <c r="B361" s="1" t="str">
        <f t="shared" si="17"/>
        <v>Ｆ＆Ａ</v>
      </c>
      <c r="C361" t="str">
        <f>"エフ　アンド　エー"</f>
        <v>エフ　アンド　エー</v>
      </c>
      <c r="D361" t="str">
        <f>"富士印刷"</f>
        <v>富士印刷</v>
      </c>
      <c r="E361" t="str">
        <f>"フジインサツ"</f>
        <v>フジインサツ</v>
      </c>
      <c r="F361" t="str">
        <f>"岡山"</f>
        <v>岡山</v>
      </c>
      <c r="G361" t="str">
        <f>"季刊"</f>
        <v>季刊</v>
      </c>
      <c r="H361" t="str">
        <f>"2002222291031"</f>
        <v>2002222291031</v>
      </c>
      <c r="I361" t="str">
        <f>HYPERLINK("#", "https://opac.libnet.pref.okayama.jp/licsxp-opac/WOpacMsgNewListToTifTilDetailAction.do?tilcod=2002222291031")</f>
        <v>https://opac.libnet.pref.okayama.jp/licsxp-opac/WOpacMsgNewListToTifTilDetailAction.do?tilcod=2002222291031</v>
      </c>
    </row>
    <row r="362" spans="1:9" x14ac:dyDescent="0.4">
      <c r="A362" t="str">
        <f>"Ｆ・Ｆ・Ｏ"</f>
        <v>Ｆ・Ｆ・Ｏ</v>
      </c>
      <c r="B362" s="1" t="str">
        <f t="shared" si="17"/>
        <v>Ｆ・Ｆ・Ｏ</v>
      </c>
      <c r="C362" t="str">
        <f>"エフエフオー"</f>
        <v>エフエフオー</v>
      </c>
      <c r="D362" t="str">
        <f>"岡山県学校農業クラブ連盟"</f>
        <v>岡山県学校農業クラブ連盟</v>
      </c>
      <c r="E362" t="str">
        <f>"オカヤマケンガッコウノウギョウクラブレンメイ"</f>
        <v>オカヤマケンガッコウノウギョウクラブレンメイ</v>
      </c>
      <c r="F362" t="str">
        <f>"岡山"</f>
        <v>岡山</v>
      </c>
      <c r="G362" t="str">
        <f>"年刊"</f>
        <v>年刊</v>
      </c>
      <c r="H362" t="str">
        <f>"2002222291911"</f>
        <v>2002222291911</v>
      </c>
      <c r="I362" t="str">
        <f>HYPERLINK("#", "https://opac.libnet.pref.okayama.jp/licsxp-opac/WOpacMsgNewListToTifTilDetailAction.do?tilcod=2002222291911")</f>
        <v>https://opac.libnet.pref.okayama.jp/licsxp-opac/WOpacMsgNewListToTifTilDetailAction.do?tilcod=2002222291911</v>
      </c>
    </row>
    <row r="363" spans="1:9" x14ac:dyDescent="0.4">
      <c r="A363" t="str">
        <f>"ＦＭ岡山　ＰＲＯＧＲＡＭ　ＩＮＦＯ"</f>
        <v>ＦＭ岡山　ＰＲＯＧＲＡＭ　ＩＮＦＯ</v>
      </c>
      <c r="B363" s="1" t="str">
        <f t="shared" si="17"/>
        <v>ＦＭ岡山　ＰＲＯＧＲＡＭ　ＩＮＦＯ</v>
      </c>
      <c r="C363" t="str">
        <f>"エフエム　オカヤマ　プログラム　インフォ"</f>
        <v>エフエム　オカヤマ　プログラム　インフォ</v>
      </c>
      <c r="D363" t="str">
        <f>"岡山エフエム放送"</f>
        <v>岡山エフエム放送</v>
      </c>
      <c r="E363" t="str">
        <f>"オカヤマ エフエム ホウソウ"</f>
        <v>オカヤマ エフエム ホウソウ</v>
      </c>
      <c r="F363" t="str">
        <f>"岡山"</f>
        <v>岡山</v>
      </c>
      <c r="G363" t="str">
        <f>"月刊"</f>
        <v>月刊</v>
      </c>
      <c r="H363" t="str">
        <f>"2002222282421"</f>
        <v>2002222282421</v>
      </c>
      <c r="I363" t="str">
        <f>HYPERLINK("#", "https://opac.libnet.pref.okayama.jp/licsxp-opac/WOpacMsgNewListToTifTilDetailAction.do?tilcod=2002222282421")</f>
        <v>https://opac.libnet.pref.okayama.jp/licsxp-opac/WOpacMsgNewListToTifTilDetailAction.do?tilcod=2002222282421</v>
      </c>
    </row>
    <row r="364" spans="1:9" x14ac:dyDescent="0.4">
      <c r="A364" t="str">
        <f>"ＦＭくらしき　ｆａｎｃａｒｄ（エフエム　くらしき　ファンカード）"</f>
        <v>ＦＭくらしき　ｆａｎｃａｒｄ（エフエム　くらしき　ファンカード）</v>
      </c>
      <c r="B364" s="1" t="str">
        <f t="shared" si="17"/>
        <v>ＦＭくらしき　ｆａｎｃａｒｄ（エフエム　くらしき　ファンカード）</v>
      </c>
      <c r="C364" t="str">
        <f>"エフエム　クラシキ　ファンカード"</f>
        <v>エフエム　クラシキ　ファンカード</v>
      </c>
      <c r="D364" t="str">
        <f>"ＦＭくらしき"</f>
        <v>ＦＭくらしき</v>
      </c>
      <c r="E364" t="str">
        <f>"エフエムクラシキ"</f>
        <v>エフエムクラシキ</v>
      </c>
      <c r="F364" t="str">
        <f>"倉敷"</f>
        <v>倉敷</v>
      </c>
      <c r="G364" t="str">
        <f>"年２回刊"</f>
        <v>年２回刊</v>
      </c>
      <c r="H364" t="str">
        <f>"2002222301650"</f>
        <v>2002222301650</v>
      </c>
      <c r="I364" t="str">
        <f>HYPERLINK("#", "https://opac.libnet.pref.okayama.jp/licsxp-opac/WOpacMsgNewListToTifTilDetailAction.do?tilcod=2002222301650")</f>
        <v>https://opac.libnet.pref.okayama.jp/licsxp-opac/WOpacMsgNewListToTifTilDetailAction.do?tilcod=2002222301650</v>
      </c>
    </row>
    <row r="365" spans="1:9" x14ac:dyDescent="0.4">
      <c r="A365" t="str">
        <f>"江見商業高等学校学校案内"</f>
        <v>江見商業高等学校学校案内</v>
      </c>
      <c r="B365" s="1" t="str">
        <f t="shared" si="17"/>
        <v>江見商業高等学校学校案内</v>
      </c>
      <c r="C365" t="str">
        <f>"エミ　ショウギョウ　コウトウ　ガッコウ　ガッコウ　アンナイ"</f>
        <v>エミ　ショウギョウ　コウトウ　ガッコウ　ガッコウ　アンナイ</v>
      </c>
      <c r="D365" t="str">
        <f>"江見商業高等学校"</f>
        <v>江見商業高等学校</v>
      </c>
      <c r="E365" t="str">
        <f>"エミショウギョウコウトウガッコウ"</f>
        <v>エミショウギョウコウトウガッコウ</v>
      </c>
      <c r="F365" t="str">
        <f>"美作"</f>
        <v>美作</v>
      </c>
      <c r="G365" t="str">
        <f>"年刊"</f>
        <v>年刊</v>
      </c>
      <c r="H365" t="str">
        <f>"2002222301291"</f>
        <v>2002222301291</v>
      </c>
      <c r="I365" t="str">
        <f>HYPERLINK("#", "https://opac.libnet.pref.okayama.jp/licsxp-opac/WOpacMsgNewListToTifTilDetailAction.do?tilcod=2002222301291")</f>
        <v>https://opac.libnet.pref.okayama.jp/licsxp-opac/WOpacMsgNewListToTifTilDetailAction.do?tilcod=2002222301291</v>
      </c>
    </row>
    <row r="366" spans="1:9" x14ac:dyDescent="0.4">
      <c r="A366" t="str">
        <f>"江見商業高等学校学校要覧"</f>
        <v>江見商業高等学校学校要覧</v>
      </c>
      <c r="B366" s="1" t="str">
        <f t="shared" si="17"/>
        <v>江見商業高等学校学校要覧</v>
      </c>
      <c r="C366" t="str">
        <f>"エミ　ショウギョウ　コウトウ　ガッコウ　ガッコウ　ヨウラン"</f>
        <v>エミ　ショウギョウ　コウトウ　ガッコウ　ガッコウ　ヨウラン</v>
      </c>
      <c r="D366" t="str">
        <f>"江見商業高等学校"</f>
        <v>江見商業高等学校</v>
      </c>
      <c r="E366" t="str">
        <f>"エミショウギョウコウトウガッコウ"</f>
        <v>エミショウギョウコウトウガッコウ</v>
      </c>
      <c r="F366" t="str">
        <f>"美作"</f>
        <v>美作</v>
      </c>
      <c r="G366" t="str">
        <f>"年刊"</f>
        <v>年刊</v>
      </c>
      <c r="H366" t="str">
        <f>"2002222300550"</f>
        <v>2002222300550</v>
      </c>
      <c r="I366" t="str">
        <f>HYPERLINK("#", "https://opac.libnet.pref.okayama.jp/licsxp-opac/WOpacMsgNewListToTifTilDetailAction.do?tilcod=2002222300550")</f>
        <v>https://opac.libnet.pref.okayama.jp/licsxp-opac/WOpacMsgNewListToTifTilDetailAction.do?tilcod=2002222300550</v>
      </c>
    </row>
    <row r="367" spans="1:9" x14ac:dyDescent="0.4">
      <c r="A367" t="str">
        <f>"〔江見商業高等学校〕江見商新聞"</f>
        <v>〔江見商業高等学校〕江見商新聞</v>
      </c>
      <c r="B367" s="1" t="str">
        <f t="shared" si="17"/>
        <v>〔江見商業高等学校〕江見商新聞</v>
      </c>
      <c r="C367" t="str">
        <f>"エミ　ショウギョウ　コウトウ　ガッコウ＊エミ　ショウ　シンブン"</f>
        <v>エミ　ショウギョウ　コウトウ　ガッコウ＊エミ　ショウ　シンブン</v>
      </c>
      <c r="D367" t="str">
        <f>"江見商業高等学校生徒会新聞部"</f>
        <v>江見商業高等学校生徒会新聞部</v>
      </c>
      <c r="E367" t="str">
        <f>"エミショウギョウコウトウガッコウセイトカイシンブンブ"</f>
        <v>エミショウギョウコウトウガッコウセイトカイシンブンブ</v>
      </c>
      <c r="F367" t="str">
        <f>"美作"</f>
        <v>美作</v>
      </c>
      <c r="G367" t="str">
        <f>"年３回刊"</f>
        <v>年３回刊</v>
      </c>
      <c r="H367" t="str">
        <f>"2002222302016"</f>
        <v>2002222302016</v>
      </c>
      <c r="I367" t="str">
        <f>HYPERLINK("#", "https://opac.libnet.pref.okayama.jp/licsxp-opac/WOpacMsgNewListToTifTilDetailAction.do?tilcod=2002222302016")</f>
        <v>https://opac.libnet.pref.okayama.jp/licsxp-opac/WOpacMsgNewListToTifTilDetailAction.do?tilcod=2002222302016</v>
      </c>
    </row>
    <row r="368" spans="1:9" x14ac:dyDescent="0.4">
      <c r="A368" t="str">
        <f>"〔江見商業高等学校〕ＰＴＡだより"</f>
        <v>〔江見商業高等学校〕ＰＴＡだより</v>
      </c>
      <c r="B368" s="1" t="str">
        <f t="shared" si="17"/>
        <v>〔江見商業高等学校〕ＰＴＡだより</v>
      </c>
      <c r="C368" t="str">
        <f>"エミ　ショウギョウ　コウトウ　ガッコウ＊ピーティーエー　ダヨリ"</f>
        <v>エミ　ショウギョウ　コウトウ　ガッコウ＊ピーティーエー　ダヨリ</v>
      </c>
      <c r="D368" t="str">
        <f>"江見商業高等学校"</f>
        <v>江見商業高等学校</v>
      </c>
      <c r="E368" t="str">
        <f>"エミショウギョウコウトウガッコウ"</f>
        <v>エミショウギョウコウトウガッコウ</v>
      </c>
      <c r="F368" t="str">
        <f>"美作"</f>
        <v>美作</v>
      </c>
      <c r="G368" t="str">
        <f>"頻度不明"</f>
        <v>頻度不明</v>
      </c>
      <c r="H368" t="str">
        <f>"2002222302015"</f>
        <v>2002222302015</v>
      </c>
      <c r="I368" t="str">
        <f>HYPERLINK("#", "https://opac.libnet.pref.okayama.jp/licsxp-opac/WOpacMsgNewListToTifTilDetailAction.do?tilcod=2002222302015")</f>
        <v>https://opac.libnet.pref.okayama.jp/licsxp-opac/WOpacMsgNewListToTifTilDetailAction.do?tilcod=2002222302015</v>
      </c>
    </row>
    <row r="369" spans="1:9" x14ac:dyDescent="0.4">
      <c r="A369" t="str">
        <f>"〔江見商業高等学校〕Ｂｕｓｉｎｅｓｓ　ｉｎｆｏｒｍａｔｉｏｎ　ｔｅｃｈｎｏｌｏｇｙ（ビジネスインフォメーションテクノロジー）"</f>
        <v>〔江見商業高等学校〕Ｂｕｓｉｎｅｓｓ　ｉｎｆｏｒｍａｔｉｏｎ　ｔｅｃｈｎｏｌｏｇｙ（ビジネスインフォメーションテクノロジー）</v>
      </c>
      <c r="B369" s="1" t="str">
        <f t="shared" si="17"/>
        <v>〔江見商業高等学校〕Ｂｕｓｉｎｅｓｓ　ｉｎｆｏｒｍａｔｉｏｎ　ｔｅｃｈｎｏｌｏｇｙ（ビジネスインフォメーションテクノロジー）</v>
      </c>
      <c r="C369" t="str">
        <f>"エミ　ショウギョウ　コウトウ　ガッコウ＊ビジネス　インフォメーション　テクノロジー"</f>
        <v>エミ　ショウギョウ　コウトウ　ガッコウ＊ビジネス　インフォメーション　テクノロジー</v>
      </c>
      <c r="D369" t="str">
        <f>"江見商業高等学校教育活動広報委員会"</f>
        <v>江見商業高等学校教育活動広報委員会</v>
      </c>
      <c r="E369" t="str">
        <f>"エミショウギョウコウトウガッコウキョウイクカツドウコウホウイインカイ"</f>
        <v>エミショウギョウコウトウガッコウキョウイクカツドウコウホウイインカイ</v>
      </c>
      <c r="F369" t="str">
        <f>"美作"</f>
        <v>美作</v>
      </c>
      <c r="G369" t="str">
        <f>"頻度不明"</f>
        <v>頻度不明</v>
      </c>
      <c r="H369" t="str">
        <f>"2002222301891"</f>
        <v>2002222301891</v>
      </c>
      <c r="I369" t="str">
        <f>HYPERLINK("#", "https://opac.libnet.pref.okayama.jp/licsxp-opac/WOpacMsgNewListToTifTilDetailAction.do?tilcod=2002222301891")</f>
        <v>https://opac.libnet.pref.okayama.jp/licsxp-opac/WOpacMsgNewListToTifTilDetailAction.do?tilcod=2002222301891</v>
      </c>
    </row>
    <row r="370" spans="1:9" x14ac:dyDescent="0.4">
      <c r="A370" t="str">
        <f>"emu(エミュ)"</f>
        <v>emu(エミュ)</v>
      </c>
      <c r="B370" s="1" t="str">
        <f t="shared" si="17"/>
        <v>emu(エミュ)</v>
      </c>
      <c r="C370" t="str">
        <f>"エミュ"</f>
        <v>エミュ</v>
      </c>
      <c r="D370" t="str">
        <f>"[RSK]"</f>
        <v>[RSK]</v>
      </c>
      <c r="E370" t="str">
        <f>"アールエスケー"</f>
        <v>アールエスケー</v>
      </c>
      <c r="F370" t="str">
        <f>"岡山"</f>
        <v>岡山</v>
      </c>
      <c r="G370" t="str">
        <f>"頻度不明"</f>
        <v>頻度不明</v>
      </c>
      <c r="H370" t="str">
        <f>"2002222281424"</f>
        <v>2002222281424</v>
      </c>
      <c r="I370" t="str">
        <f>HYPERLINK("#", "https://opac.libnet.pref.okayama.jp/licsxp-opac/WOpacMsgNewListToTifTilDetailAction.do?tilcod=2002222281424")</f>
        <v>https://opac.libnet.pref.okayama.jp/licsxp-opac/WOpacMsgNewListToTifTilDetailAction.do?tilcod=2002222281424</v>
      </c>
    </row>
    <row r="371" spans="1:9" x14ac:dyDescent="0.4">
      <c r="A371" t="str">
        <f>"MIT；真庭いきいきテレビ"</f>
        <v>MIT；真庭いきいきテレビ</v>
      </c>
      <c r="B371" s="1" t="str">
        <f t="shared" si="17"/>
        <v>MIT；真庭いきいきテレビ</v>
      </c>
      <c r="C371" t="str">
        <f>"エム アイ ティー＊マニワ イキイキ テレビ"</f>
        <v>エム アイ ティー＊マニワ イキイキ テレビ</v>
      </c>
      <c r="D371" t="str">
        <f>"真庭いきいきテレビ"</f>
        <v>真庭いきいきテレビ</v>
      </c>
      <c r="E371" t="str">
        <f>"マニワ イキイキ テレビ"</f>
        <v>マニワ イキイキ テレビ</v>
      </c>
      <c r="F371" t="str">
        <f>"真庭"</f>
        <v>真庭</v>
      </c>
      <c r="G371" t="str">
        <f>"月刊"</f>
        <v>月刊</v>
      </c>
      <c r="H371" t="str">
        <f>"2002222341670"</f>
        <v>2002222341670</v>
      </c>
      <c r="I371" t="str">
        <f>HYPERLINK("#", "https://opac.libnet.pref.okayama.jp/licsxp-opac/WOpacMsgNewListToTifTilDetailAction.do?tilcod=2002222341670")</f>
        <v>https://opac.libnet.pref.okayama.jp/licsxp-opac/WOpacMsgNewListToTifTilDetailAction.do?tilcod=2002222341670</v>
      </c>
    </row>
    <row r="372" spans="1:9" x14ac:dyDescent="0.4">
      <c r="A372" t="str">
        <f>"MGマガジン；岡山がもっと好きになるフリーペーパー"</f>
        <v>MGマガジン；岡山がもっと好きになるフリーペーパー</v>
      </c>
      <c r="B372" s="1" t="str">
        <f t="shared" si="17"/>
        <v>MGマガジン；岡山がもっと好きになるフリーペーパー</v>
      </c>
      <c r="C372" t="str">
        <f>"エムジー マガジン＊オカヤマ ガ モット スキ ニ ナル フリーペーパー"</f>
        <v>エムジー マガジン＊オカヤマ ガ モット スキ ニ ナル フリーペーパー</v>
      </c>
      <c r="D372" t="str">
        <f>"MG BEGINNINGS"</f>
        <v>MG BEGINNINGS</v>
      </c>
      <c r="E372" t="str">
        <f>"エムジー ビギニングズ"</f>
        <v>エムジー ビギニングズ</v>
      </c>
      <c r="F372" t="str">
        <f>"岡山"</f>
        <v>岡山</v>
      </c>
      <c r="G372" t="str">
        <f>"隔月刊"</f>
        <v>隔月刊</v>
      </c>
      <c r="H372" t="str">
        <f>"2002222336386"</f>
        <v>2002222336386</v>
      </c>
      <c r="I372" t="str">
        <f>HYPERLINK("#", "https://opac.libnet.pref.okayama.jp/licsxp-opac/WOpacMsgNewListToTifTilDetailAction.do?tilcod=2002222336386")</f>
        <v>https://opac.libnet.pref.okayama.jp/licsxp-opac/WOpacMsgNewListToTifTilDetailAction.do?tilcod=2002222336386</v>
      </c>
    </row>
    <row r="373" spans="1:9" x14ac:dyDescent="0.4">
      <c r="A373" t="str">
        <f>"mt FACTORY TOUR"</f>
        <v>mt FACTORY TOUR</v>
      </c>
      <c r="B373" s="1" t="str">
        <f t="shared" si="17"/>
        <v>mt FACTORY TOUR</v>
      </c>
      <c r="C373" t="str">
        <f>"エムティー ファクトリー ツアー"</f>
        <v>エムティー ファクトリー ツアー</v>
      </c>
      <c r="D373" t="str">
        <f>"カモ井加工紙"</f>
        <v>カモ井加工紙</v>
      </c>
      <c r="E373" t="str">
        <f>"カモイ カコウシ"</f>
        <v>カモイ カコウシ</v>
      </c>
      <c r="F373" t="str">
        <f>"倉敷"</f>
        <v>倉敷</v>
      </c>
      <c r="G373" t="str">
        <f t="shared" ref="G373:G378" si="18">"頻度不明"</f>
        <v>頻度不明</v>
      </c>
      <c r="H373" t="str">
        <f>"2002222339391"</f>
        <v>2002222339391</v>
      </c>
      <c r="I373" t="str">
        <f>HYPERLINK("#", "https://opac.libnet.pref.okayama.jp/licsxp-opac/WOpacMsgNewListToTifTilDetailAction.do?tilcod=2002222339391")</f>
        <v>https://opac.libnet.pref.okayama.jp/licsxp-opac/WOpacMsgNewListToTifTilDetailAction.do?tilcod=2002222339391</v>
      </c>
    </row>
    <row r="374" spans="1:9" x14ac:dyDescent="0.4">
      <c r="A374" t="str">
        <f>"会陽川柳大会"</f>
        <v>会陽川柳大会</v>
      </c>
      <c r="B374" s="1" t="str">
        <f t="shared" si="17"/>
        <v>会陽川柳大会</v>
      </c>
      <c r="C374" t="str">
        <f>"エヨウ　センリュウ　タイカイ"</f>
        <v>エヨウ　センリュウ　タイカイ</v>
      </c>
      <c r="D374" t="str">
        <f>"西大寺川柳社"</f>
        <v>西大寺川柳社</v>
      </c>
      <c r="E374" t="str">
        <f>"サイダイジセンリュウシャ"</f>
        <v>サイダイジセンリュウシャ</v>
      </c>
      <c r="F374" t="str">
        <f>""</f>
        <v/>
      </c>
      <c r="G374" t="str">
        <f t="shared" si="18"/>
        <v>頻度不明</v>
      </c>
      <c r="H374" t="str">
        <f>"2002222287731"</f>
        <v>2002222287731</v>
      </c>
      <c r="I374" t="str">
        <f>HYPERLINK("#", "https://opac.libnet.pref.okayama.jp/licsxp-opac/WOpacMsgNewListToTifTilDetailAction.do?tilcod=2002222287731")</f>
        <v>https://opac.libnet.pref.okayama.jp/licsxp-opac/WOpacMsgNewListToTifTilDetailAction.do?tilcod=2002222287731</v>
      </c>
    </row>
    <row r="375" spans="1:9" x14ac:dyDescent="0.4">
      <c r="A375" t="str">
        <f>"ＬＯＣ会報"</f>
        <v>ＬＯＣ会報</v>
      </c>
      <c r="B375" s="1" t="str">
        <f t="shared" si="17"/>
        <v>ＬＯＣ会報</v>
      </c>
      <c r="C375" t="str">
        <f>"エルオーシー　カイホウ"</f>
        <v>エルオーシー　カイホウ</v>
      </c>
      <c r="D375" t="str">
        <f>"ＬＩＧＨＴ　ＯＲＡＮＧＥ　ＣＬＵＢ"</f>
        <v>ＬＩＧＨＴ　ＯＲＡＮＧＥ　ＣＬＵＢ</v>
      </c>
      <c r="E375" t="str">
        <f>"ライトオレンジクラブ"</f>
        <v>ライトオレンジクラブ</v>
      </c>
      <c r="F375" t="str">
        <f>""</f>
        <v/>
      </c>
      <c r="G375" t="str">
        <f t="shared" si="18"/>
        <v>頻度不明</v>
      </c>
      <c r="H375" t="str">
        <f>"2002222287741"</f>
        <v>2002222287741</v>
      </c>
      <c r="I375" t="str">
        <f>HYPERLINK("#", "https://opac.libnet.pref.okayama.jp/licsxp-opac/WOpacMsgNewListToTifTilDetailAction.do?tilcod=2002222287741")</f>
        <v>https://opac.libnet.pref.okayama.jp/licsxp-opac/WOpacMsgNewListToTifTilDetailAction.do?tilcod=2002222287741</v>
      </c>
    </row>
    <row r="376" spans="1:9" x14ac:dyDescent="0.4">
      <c r="A376" t="str">
        <f>"炎々"</f>
        <v>炎々</v>
      </c>
      <c r="B376" s="1" t="str">
        <f t="shared" si="17"/>
        <v>炎々</v>
      </c>
      <c r="C376" t="str">
        <f>"エンエン"</f>
        <v>エンエン</v>
      </c>
      <c r="D376" t="str">
        <f>"炎々社"</f>
        <v>炎々社</v>
      </c>
      <c r="E376" t="str">
        <f>"エンエンシャ"</f>
        <v>エンエンシャ</v>
      </c>
      <c r="F376" t="str">
        <f>"岡山"</f>
        <v>岡山</v>
      </c>
      <c r="G376" t="str">
        <f t="shared" si="18"/>
        <v>頻度不明</v>
      </c>
      <c r="H376" t="str">
        <f>"2002222287751"</f>
        <v>2002222287751</v>
      </c>
      <c r="I376" t="str">
        <f>HYPERLINK("#", "https://opac.libnet.pref.okayama.jp/licsxp-opac/WOpacMsgNewListToTifTilDetailAction.do?tilcod=2002222287751")</f>
        <v>https://opac.libnet.pref.okayama.jp/licsxp-opac/WOpacMsgNewListToTifTilDetailAction.do?tilcod=2002222287751</v>
      </c>
    </row>
    <row r="377" spans="1:9" x14ac:dyDescent="0.4">
      <c r="A377" t="str">
        <f>"炎環"</f>
        <v>炎環</v>
      </c>
      <c r="B377" s="1" t="str">
        <f t="shared" si="17"/>
        <v>炎環</v>
      </c>
      <c r="C377" t="str">
        <f>"エンカン"</f>
        <v>エンカン</v>
      </c>
      <c r="D377" t="str">
        <f>"新見阿哲短詩型文学連盟"</f>
        <v>新見阿哲短詩型文学連盟</v>
      </c>
      <c r="E377" t="str">
        <f>"ニイミアテツタンシガタブンガクレンメイ"</f>
        <v>ニイミアテツタンシガタブンガクレンメイ</v>
      </c>
      <c r="F377" t="str">
        <f>"新見"</f>
        <v>新見</v>
      </c>
      <c r="G377" t="str">
        <f t="shared" si="18"/>
        <v>頻度不明</v>
      </c>
      <c r="H377" t="str">
        <f>"2002222289131"</f>
        <v>2002222289131</v>
      </c>
      <c r="I377" t="str">
        <f>HYPERLINK("#", "https://opac.libnet.pref.okayama.jp/licsxp-opac/WOpacMsgNewListToTifTilDetailAction.do?tilcod=2002222289131")</f>
        <v>https://opac.libnet.pref.okayama.jp/licsxp-opac/WOpacMsgNewListToTifTilDetailAction.do?tilcod=2002222289131</v>
      </c>
    </row>
    <row r="378" spans="1:9" x14ac:dyDescent="0.4">
      <c r="A378" t="str">
        <f>"遠景"</f>
        <v>遠景</v>
      </c>
      <c r="B378" s="1" t="str">
        <f t="shared" si="17"/>
        <v>遠景</v>
      </c>
      <c r="C378" t="str">
        <f>"エンケイ"</f>
        <v>エンケイ</v>
      </c>
      <c r="D378" t="str">
        <f>"遠景の会"</f>
        <v>遠景の会</v>
      </c>
      <c r="E378" t="str">
        <f>"エンケイノカイ"</f>
        <v>エンケイノカイ</v>
      </c>
      <c r="F378" t="str">
        <f>"岡山"</f>
        <v>岡山</v>
      </c>
      <c r="G378" t="str">
        <f t="shared" si="18"/>
        <v>頻度不明</v>
      </c>
      <c r="H378" t="str">
        <f>"2002222287761"</f>
        <v>2002222287761</v>
      </c>
      <c r="I378" t="str">
        <f>HYPERLINK("#", "https://opac.libnet.pref.okayama.jp/licsxp-opac/WOpacMsgNewListToTifTilDetailAction.do?tilcod=2002222287761")</f>
        <v>https://opac.libnet.pref.okayama.jp/licsxp-opac/WOpacMsgNewListToTifTilDetailAction.do?tilcod=2002222287761</v>
      </c>
    </row>
    <row r="379" spans="1:9" x14ac:dyDescent="0.4">
      <c r="A379" t="str">
        <f>"えんげきの友"</f>
        <v>えんげきの友</v>
      </c>
      <c r="B379" s="1" t="str">
        <f t="shared" si="17"/>
        <v>えんげきの友</v>
      </c>
      <c r="C379" t="str">
        <f>"エンゲキ　ノ　トモ"</f>
        <v>エンゲキ　ノ　トモ</v>
      </c>
      <c r="D379" t="str">
        <f>"岡山市民劇場"</f>
        <v>岡山市民劇場</v>
      </c>
      <c r="E379" t="str">
        <f>"オカヤマ シミン ゲキジョウ"</f>
        <v>オカヤマ シミン ゲキジョウ</v>
      </c>
      <c r="F379" t="str">
        <f>"岡山"</f>
        <v>岡山</v>
      </c>
      <c r="G379" t="str">
        <f>"月刊"</f>
        <v>月刊</v>
      </c>
      <c r="H379" t="str">
        <f>"2002222291931"</f>
        <v>2002222291931</v>
      </c>
      <c r="I379" t="str">
        <f>HYPERLINK("#", "https://opac.libnet.pref.okayama.jp/licsxp-opac/WOpacMsgNewListToTifTilDetailAction.do?tilcod=2002222291931")</f>
        <v>https://opac.libnet.pref.okayama.jp/licsxp-opac/WOpacMsgNewListToTifTilDetailAction.do?tilcod=2002222291931</v>
      </c>
    </row>
    <row r="380" spans="1:9" x14ac:dyDescent="0.4">
      <c r="A380" t="str">
        <f>"円城青年"</f>
        <v>円城青年</v>
      </c>
      <c r="B380" s="1" t="str">
        <f t="shared" si="17"/>
        <v>円城青年</v>
      </c>
      <c r="C380" t="str">
        <f>"エンジョウ セイネン"</f>
        <v>エンジョウ セイネン</v>
      </c>
      <c r="D380" t="str">
        <f>"円城村青年団･円城村女子青年団学芸部"</f>
        <v>円城村青年団･円城村女子青年団学芸部</v>
      </c>
      <c r="E380" t="str">
        <f>"エンジョウソン セイネンダン エンジョウソン ジョシ セイネンダン ガクゲイブ"</f>
        <v>エンジョウソン セイネンダン エンジョウソン ジョシ セイネンダン ガクゲイブ</v>
      </c>
      <c r="F380" t="str">
        <f>"円城村(御津郡)"</f>
        <v>円城村(御津郡)</v>
      </c>
      <c r="G380" t="str">
        <f>"頻度不明"</f>
        <v>頻度不明</v>
      </c>
      <c r="H380" t="str">
        <f>"2002222334591"</f>
        <v>2002222334591</v>
      </c>
      <c r="I380" t="str">
        <f>HYPERLINK("#", "https://opac.libnet.pref.okayama.jp/licsxp-opac/WOpacMsgNewListToTifTilDetailAction.do?tilcod=2002222334591")</f>
        <v>https://opac.libnet.pref.okayama.jp/licsxp-opac/WOpacMsgNewListToTifTilDetailAction.do?tilcod=2002222334591</v>
      </c>
    </row>
    <row r="381" spans="1:9" x14ac:dyDescent="0.4">
      <c r="A381" t="str">
        <f>"鴛渕舎通信"</f>
        <v>鴛渕舎通信</v>
      </c>
      <c r="B381" s="1" t="str">
        <f t="shared" si="17"/>
        <v>鴛渕舎通信</v>
      </c>
      <c r="C381" t="str">
        <f>"エンネンシャ　ツウシン"</f>
        <v>エンネンシャ　ツウシン</v>
      </c>
      <c r="D381" t="str">
        <f>"鴛渕舎会"</f>
        <v>鴛渕舎会</v>
      </c>
      <c r="E381" t="str">
        <f>"エンネンシャカイ"</f>
        <v>エンネンシャカイ</v>
      </c>
      <c r="F381" t="str">
        <f>""</f>
        <v/>
      </c>
      <c r="G381" t="str">
        <f>"隔月刊"</f>
        <v>隔月刊</v>
      </c>
      <c r="H381" t="str">
        <f>"2002222287771"</f>
        <v>2002222287771</v>
      </c>
      <c r="I381" t="str">
        <f>HYPERLINK("#", "https://opac.libnet.pref.okayama.jp/licsxp-opac/WOpacMsgNewListToTifTilDetailAction.do?tilcod=2002222287771")</f>
        <v>https://opac.libnet.pref.okayama.jp/licsxp-opac/WOpacMsgNewListToTifTilDetailAction.do?tilcod=2002222287771</v>
      </c>
    </row>
    <row r="382" spans="1:9" x14ac:dyDescent="0.4">
      <c r="A382" t="str">
        <f>"エンプティ・ホームズ"</f>
        <v>エンプティ・ホームズ</v>
      </c>
      <c r="B382" s="1" t="str">
        <f t="shared" si="17"/>
        <v>エンプティ・ホームズ</v>
      </c>
      <c r="C382" t="str">
        <f>"エンプティ　ホームズ"</f>
        <v>エンプティ　ホームズ</v>
      </c>
      <c r="D382" t="str">
        <f>"日本シャーロック・ホームズクラブ岡山支部　空家の冒険の会"</f>
        <v>日本シャーロック・ホームズクラブ岡山支部　空家の冒険の会</v>
      </c>
      <c r="E382" t="str">
        <f>"ニホンシャーロックホームズクラブオカヤマシブアキヤノボウケンノカイ"</f>
        <v>ニホンシャーロックホームズクラブオカヤマシブアキヤノボウケンノカイ</v>
      </c>
      <c r="F382" t="str">
        <f>"岡山"</f>
        <v>岡山</v>
      </c>
      <c r="G382" t="str">
        <f>"頻度不明"</f>
        <v>頻度不明</v>
      </c>
      <c r="H382" t="str">
        <f>"2002222291941"</f>
        <v>2002222291941</v>
      </c>
      <c r="I382" t="str">
        <f>HYPERLINK("#", "https://opac.libnet.pref.okayama.jp/licsxp-opac/WOpacMsgNewListToTifTilDetailAction.do?tilcod=2002222291941")</f>
        <v>https://opac.libnet.pref.okayama.jp/licsxp-opac/WOpacMsgNewListToTifTilDetailAction.do?tilcod=2002222291941</v>
      </c>
    </row>
    <row r="383" spans="1:9" x14ac:dyDescent="0.4">
      <c r="A383" t="str">
        <f>"遠友"</f>
        <v>遠友</v>
      </c>
      <c r="B383" s="1" t="str">
        <f t="shared" si="17"/>
        <v>遠友</v>
      </c>
      <c r="C383" t="str">
        <f>"エンユウ"</f>
        <v>エンユウ</v>
      </c>
      <c r="D383" t="str">
        <f>"第六高等学校遠友会"</f>
        <v>第六高等学校遠友会</v>
      </c>
      <c r="E383" t="str">
        <f>"ダイロク コウトウ ガッコウ エンユウカイ"</f>
        <v>ダイロク コウトウ ガッコウ エンユウカイ</v>
      </c>
      <c r="F383" t="str">
        <f>"[岡山]"</f>
        <v>[岡山]</v>
      </c>
      <c r="G383" t="str">
        <f>"頻度不明"</f>
        <v>頻度不明</v>
      </c>
      <c r="H383" t="str">
        <f>"2002222329728"</f>
        <v>2002222329728</v>
      </c>
      <c r="I383" t="str">
        <f>HYPERLINK("#", "https://opac.libnet.pref.okayama.jp/licsxp-opac/WOpacMsgNewListToTifTilDetailAction.do?tilcod=2002222329728")</f>
        <v>https://opac.libnet.pref.okayama.jp/licsxp-opac/WOpacMsgNewListToTifTilDetailAction.do?tilcod=2002222329728</v>
      </c>
    </row>
    <row r="384" spans="1:9" x14ac:dyDescent="0.4">
      <c r="A384" t="str">
        <f>"OASIS"</f>
        <v>OASIS</v>
      </c>
      <c r="B384" s="1" t="str">
        <f t="shared" si="17"/>
        <v>OASIS</v>
      </c>
      <c r="C384" t="str">
        <f>"オアシス"</f>
        <v>オアシス</v>
      </c>
      <c r="D384" t="str">
        <f>"岡山大学文学部地理学教室"</f>
        <v>岡山大学文学部地理学教室</v>
      </c>
      <c r="E384" t="str">
        <f>"オカヤマ ダイガク ブンガクブ チリガク キョウシツ"</f>
        <v>オカヤマ ダイガク ブンガクブ チリガク キョウシツ</v>
      </c>
      <c r="F384" t="str">
        <f>"岡山"</f>
        <v>岡山</v>
      </c>
      <c r="G384" t="str">
        <f>"日刊"</f>
        <v>日刊</v>
      </c>
      <c r="H384" t="str">
        <f>"2002222335687"</f>
        <v>2002222335687</v>
      </c>
      <c r="I384" t="str">
        <f>HYPERLINK("#", "https://opac.libnet.pref.okayama.jp/licsxp-opac/WOpacMsgNewListToTifTilDetailAction.do?tilcod=2002222335687")</f>
        <v>https://opac.libnet.pref.okayama.jp/licsxp-opac/WOpacMsgNewListToTifTilDetailAction.do?tilcod=2002222335687</v>
      </c>
    </row>
    <row r="385" spans="1:9" x14ac:dyDescent="0.4">
      <c r="A385" t="str">
        <f>"オアシス・津山；ｏａｓｉｓ"</f>
        <v>オアシス・津山；ｏａｓｉｓ</v>
      </c>
      <c r="B385" s="1" t="str">
        <f t="shared" si="17"/>
        <v>オアシス・津山；ｏａｓｉｓ</v>
      </c>
      <c r="C385" t="str">
        <f>"オアシス　ツヤマ"</f>
        <v>オアシス　ツヤマ</v>
      </c>
      <c r="D385" t="str">
        <f>"オアシス・津山編集室"</f>
        <v>オアシス・津山編集室</v>
      </c>
      <c r="E385" t="str">
        <f>"オアシスツヤマヘンシュウシツ"</f>
        <v>オアシスツヤマヘンシュウシツ</v>
      </c>
      <c r="F385" t="str">
        <f>"津山"</f>
        <v>津山</v>
      </c>
      <c r="G385" t="str">
        <f>"月刊"</f>
        <v>月刊</v>
      </c>
      <c r="H385" t="str">
        <f>"2002222282781"</f>
        <v>2002222282781</v>
      </c>
      <c r="I385" t="str">
        <f>HYPERLINK("#", "https://opac.libnet.pref.okayama.jp/licsxp-opac/WOpacMsgNewListToTifTilDetailAction.do?tilcod=2002222282781")</f>
        <v>https://opac.libnet.pref.okayama.jp/licsxp-opac/WOpacMsgNewListToTifTilDetailAction.do?tilcod=2002222282781</v>
      </c>
    </row>
    <row r="386" spans="1:9" x14ac:dyDescent="0.4">
      <c r="A386" t="str">
        <f>"おいでんせえ岡山"</f>
        <v>おいでんせえ岡山</v>
      </c>
      <c r="B386" s="1" t="str">
        <f t="shared" si="17"/>
        <v>おいでんせえ岡山</v>
      </c>
      <c r="C386" t="str">
        <f>"オイデンセエ　オカヤマ"</f>
        <v>オイデンセエ　オカヤマ</v>
      </c>
      <c r="D386" t="str">
        <f>"岡山県東京事務所"</f>
        <v>岡山県東京事務所</v>
      </c>
      <c r="E386" t="str">
        <f>"オカヤマケン トウキョウ ジムショ"</f>
        <v>オカヤマケン トウキョウ ジムショ</v>
      </c>
      <c r="F386" t="str">
        <f>"〔岡山〕"</f>
        <v>〔岡山〕</v>
      </c>
      <c r="G386" t="str">
        <f>"年刊"</f>
        <v>年刊</v>
      </c>
      <c r="H386" t="str">
        <f>"2002222301147"</f>
        <v>2002222301147</v>
      </c>
      <c r="I386" t="str">
        <f>HYPERLINK("#", "https://opac.libnet.pref.okayama.jp/licsxp-opac/WOpacMsgNewListToTifTilDetailAction.do?tilcod=2002222301147")</f>
        <v>https://opac.libnet.pref.okayama.jp/licsxp-opac/WOpacMsgNewListToTifTilDetailAction.do?tilcod=2002222301147</v>
      </c>
    </row>
    <row r="387" spans="1:9" x14ac:dyDescent="0.4">
      <c r="A387" t="str">
        <f>"おいまつ"</f>
        <v>おいまつ</v>
      </c>
      <c r="B387" s="1" t="str">
        <f t="shared" si="17"/>
        <v>おいまつ</v>
      </c>
      <c r="C387" t="str">
        <f>"オイマツ"</f>
        <v>オイマツ</v>
      </c>
      <c r="D387" t="str">
        <f>"倉敷工業高等学校校誌編集委員会"</f>
        <v>倉敷工業高等学校校誌編集委員会</v>
      </c>
      <c r="E387" t="str">
        <f>"クラシキコウギョウコウトウガッコウコウシヘンシュウイインカイ"</f>
        <v>クラシキコウギョウコウトウガッコウコウシヘンシュウイインカイ</v>
      </c>
      <c r="F387" t="str">
        <f>"倉敷"</f>
        <v>倉敷</v>
      </c>
      <c r="G387" t="str">
        <f>"年刊"</f>
        <v>年刊</v>
      </c>
      <c r="H387" t="str">
        <f>"2002222300405"</f>
        <v>2002222300405</v>
      </c>
      <c r="I387" t="str">
        <f>HYPERLINK("#", "https://opac.libnet.pref.okayama.jp/licsxp-opac/WOpacMsgNewListToTifTilDetailAction.do?tilcod=2002222300405")</f>
        <v>https://opac.libnet.pref.okayama.jp/licsxp-opac/WOpacMsgNewListToTifTilDetailAction.do?tilcod=2002222300405</v>
      </c>
    </row>
    <row r="388" spans="1:9" x14ac:dyDescent="0.4">
      <c r="A388" t="str">
        <f>"老松集"</f>
        <v>老松集</v>
      </c>
      <c r="B388" s="1" t="str">
        <f t="shared" ref="B388:B451" si="19">HYPERLINK("#", A388)</f>
        <v>老松集</v>
      </c>
      <c r="C388" t="str">
        <f>"オイマツシュウ"</f>
        <v>オイマツシュウ</v>
      </c>
      <c r="D388" t="str">
        <f>"老松文会"</f>
        <v>老松文会</v>
      </c>
      <c r="E388" t="str">
        <f>"オイマツブンカイ"</f>
        <v>オイマツブンカイ</v>
      </c>
      <c r="F388" t="str">
        <f>""</f>
        <v/>
      </c>
      <c r="G388" t="str">
        <f>"頻度不明"</f>
        <v>頻度不明</v>
      </c>
      <c r="H388" t="str">
        <f>"2002222287781"</f>
        <v>2002222287781</v>
      </c>
      <c r="I388" t="str">
        <f>HYPERLINK("#", "https://opac.libnet.pref.okayama.jp/licsxp-opac/WOpacMsgNewListToTifTilDetailAction.do?tilcod=2002222287781")</f>
        <v>https://opac.libnet.pref.okayama.jp/licsxp-opac/WOpacMsgNewListToTifTilDetailAction.do?tilcod=2002222287781</v>
      </c>
    </row>
    <row r="389" spans="1:9" x14ac:dyDescent="0.4">
      <c r="A389" t="str">
        <f>"甕江評論"</f>
        <v>甕江評論</v>
      </c>
      <c r="B389" s="1" t="str">
        <f t="shared" si="19"/>
        <v>甕江評論</v>
      </c>
      <c r="C389" t="str">
        <f>"オウコウ ヒョウロン"</f>
        <v>オウコウ ヒョウロン</v>
      </c>
      <c r="D389" t="str">
        <f>"甕江評論社"</f>
        <v>甕江評論社</v>
      </c>
      <c r="E389" t="str">
        <f>"オウコウ ヒョウロンシャ"</f>
        <v>オウコウ ヒョウロンシャ</v>
      </c>
      <c r="F389" t="str">
        <f>"[玉島町(浅口郡)]"</f>
        <v>[玉島町(浅口郡)]</v>
      </c>
      <c r="G389" t="str">
        <f>"週刊"</f>
        <v>週刊</v>
      </c>
      <c r="H389" t="str">
        <f>"2002222331935"</f>
        <v>2002222331935</v>
      </c>
      <c r="I389" t="str">
        <f>HYPERLINK("#", "https://opac.libnet.pref.okayama.jp/licsxp-opac/WOpacMsgNewListToTifTilDetailAction.do?tilcod=2002222331935")</f>
        <v>https://opac.libnet.pref.okayama.jp/licsxp-opac/WOpacMsgNewListToTifTilDetailAction.do?tilcod=2002222331935</v>
      </c>
    </row>
    <row r="390" spans="1:9" x14ac:dyDescent="0.4">
      <c r="A390" t="str">
        <f>"おうちレシピ"</f>
        <v>おうちレシピ</v>
      </c>
      <c r="B390" s="1" t="str">
        <f t="shared" si="19"/>
        <v>おうちレシピ</v>
      </c>
      <c r="C390" t="str">
        <f>"オウチ レシピ"</f>
        <v>オウチ レシピ</v>
      </c>
      <c r="D390" t="str">
        <f>"アイム･コラボレーション"</f>
        <v>アイム･コラボレーション</v>
      </c>
      <c r="E390" t="str">
        <f>"アイム コラボレーション"</f>
        <v>アイム コラボレーション</v>
      </c>
      <c r="F390" t="str">
        <f>""</f>
        <v/>
      </c>
      <c r="G390" t="str">
        <f>"年２回刊"</f>
        <v>年２回刊</v>
      </c>
      <c r="H390" t="str">
        <f>"2002222317646"</f>
        <v>2002222317646</v>
      </c>
      <c r="I390" t="str">
        <f>HYPERLINK("#", "https://opac.libnet.pref.okayama.jp/licsxp-opac/WOpacMsgNewListToTifTilDetailAction.do?tilcod=2002222317646")</f>
        <v>https://opac.libnet.pref.okayama.jp/licsxp-opac/WOpacMsgNewListToTifTilDetailAction.do?tilcod=2002222317646</v>
      </c>
    </row>
    <row r="391" spans="1:9" x14ac:dyDescent="0.4">
      <c r="A391" t="str">
        <f>"黄鳥（おうちょう）"</f>
        <v>黄鳥（おうちょう）</v>
      </c>
      <c r="B391" s="1" t="str">
        <f t="shared" si="19"/>
        <v>黄鳥（おうちょう）</v>
      </c>
      <c r="C391" t="str">
        <f>"オウチョウ"</f>
        <v>オウチョウ</v>
      </c>
      <c r="D391" t="str">
        <f>"日本赤十字社岡山支部"</f>
        <v>日本赤十字社岡山支部</v>
      </c>
      <c r="E391" t="str">
        <f>"ニホン セキジュウジシャ オカヤマ シブ"</f>
        <v>ニホン セキジュウジシャ オカヤマ シブ</v>
      </c>
      <c r="F391" t="str">
        <f>""</f>
        <v/>
      </c>
      <c r="G391" t="str">
        <f>"頻度不明"</f>
        <v>頻度不明</v>
      </c>
      <c r="H391" t="str">
        <f>"2002222287791"</f>
        <v>2002222287791</v>
      </c>
      <c r="I391" t="str">
        <f>HYPERLINK("#", "https://opac.libnet.pref.okayama.jp/licsxp-opac/WOpacMsgNewListToTifTilDetailAction.do?tilcod=2002222287791")</f>
        <v>https://opac.libnet.pref.okayama.jp/licsxp-opac/WOpacMsgNewListToTifTilDetailAction.do?tilcod=2002222287791</v>
      </c>
    </row>
    <row r="392" spans="1:9" x14ac:dyDescent="0.4">
      <c r="A392" t="str">
        <f>"黄灯"</f>
        <v>黄灯</v>
      </c>
      <c r="B392" s="1" t="str">
        <f t="shared" si="19"/>
        <v>黄灯</v>
      </c>
      <c r="C392" t="str">
        <f>"オウトウ"</f>
        <v>オウトウ</v>
      </c>
      <c r="D392" t="str">
        <f>"岡山県身体障害者福祉協会津山支部"</f>
        <v>岡山県身体障害者福祉協会津山支部</v>
      </c>
      <c r="E392" t="str">
        <f>"オカヤマケンシンタイショウガイシャフクシキョウカイツヤマシブ"</f>
        <v>オカヤマケンシンタイショウガイシャフクシキョウカイツヤマシブ</v>
      </c>
      <c r="F392" t="str">
        <f>"津山"</f>
        <v>津山</v>
      </c>
      <c r="G392" t="str">
        <f>"頻度不明"</f>
        <v>頻度不明</v>
      </c>
      <c r="H392" t="str">
        <f>"2002222287801"</f>
        <v>2002222287801</v>
      </c>
      <c r="I392" t="str">
        <f>HYPERLINK("#", "https://opac.libnet.pref.okayama.jp/licsxp-opac/WOpacMsgNewListToTifTilDetailAction.do?tilcod=2002222287801")</f>
        <v>https://opac.libnet.pref.okayama.jp/licsxp-opac/WOpacMsgNewListToTifTilDetailAction.do?tilcod=2002222287801</v>
      </c>
    </row>
    <row r="393" spans="1:9" x14ac:dyDescent="0.4">
      <c r="A393" t="str">
        <f>"嚶鳴"</f>
        <v>嚶鳴</v>
      </c>
      <c r="B393" s="1" t="str">
        <f t="shared" si="19"/>
        <v>嚶鳴</v>
      </c>
      <c r="C393" t="str">
        <f>"オウメイ"</f>
        <v>オウメイ</v>
      </c>
      <c r="D393" t="str">
        <f>"岡山県師範学校共成会"</f>
        <v>岡山県師範学校共成会</v>
      </c>
      <c r="E393" t="str">
        <f>"オカヤマケン シハン ガッコウ キョウセイカイ"</f>
        <v>オカヤマケン シハン ガッコウ キョウセイカイ</v>
      </c>
      <c r="F393" t="str">
        <f>""</f>
        <v/>
      </c>
      <c r="G393" t="str">
        <f>"頻度不明"</f>
        <v>頻度不明</v>
      </c>
      <c r="H393" t="str">
        <f>"2002222287811"</f>
        <v>2002222287811</v>
      </c>
      <c r="I393" t="str">
        <f>HYPERLINK("#", "https://opac.libnet.pref.okayama.jp/licsxp-opac/WOpacMsgNewListToTifTilDetailAction.do?tilcod=2002222287811")</f>
        <v>https://opac.libnet.pref.okayama.jp/licsxp-opac/WOpacMsgNewListToTifTilDetailAction.do?tilcod=2002222287811</v>
      </c>
    </row>
    <row r="394" spans="1:9" x14ac:dyDescent="0.4">
      <c r="A394" t="str">
        <f>"王山"</f>
        <v>王山</v>
      </c>
      <c r="B394" s="1" t="str">
        <f t="shared" si="19"/>
        <v>王山</v>
      </c>
      <c r="C394" t="str">
        <f>"オウヤマ"</f>
        <v>オウヤマ</v>
      </c>
      <c r="D394" t="str">
        <f>"川柳王山会"</f>
        <v>川柳王山会</v>
      </c>
      <c r="E394" t="str">
        <f>"センリュウオウヤマカイ"</f>
        <v>センリュウオウヤマカイ</v>
      </c>
      <c r="F394" t="str">
        <f>""</f>
        <v/>
      </c>
      <c r="G394" t="str">
        <f>"頻度不明"</f>
        <v>頻度不明</v>
      </c>
      <c r="H394" t="str">
        <f>"2002222283553"</f>
        <v>2002222283553</v>
      </c>
      <c r="I394" t="str">
        <f>HYPERLINK("#", "https://opac.libnet.pref.okayama.jp/licsxp-opac/WOpacMsgNewListToTifTilDetailAction.do?tilcod=2002222283553")</f>
        <v>https://opac.libnet.pref.okayama.jp/licsxp-opac/WOpacMsgNewListToTifTilDetailAction.do?tilcod=2002222283553</v>
      </c>
    </row>
    <row r="395" spans="1:9" x14ac:dyDescent="0.4">
      <c r="A395" t="str">
        <f>"王山短歌"</f>
        <v>王山短歌</v>
      </c>
      <c r="B395" s="1" t="str">
        <f t="shared" si="19"/>
        <v>王山短歌</v>
      </c>
      <c r="C395" t="str">
        <f>"オウヤマ　タンカ"</f>
        <v>オウヤマ　タンカ</v>
      </c>
      <c r="D395" t="str">
        <f>"王山短歌会"</f>
        <v>王山短歌会</v>
      </c>
      <c r="E395" t="str">
        <f>"オウヤマタンカカイ"</f>
        <v>オウヤマタンカカイ</v>
      </c>
      <c r="F395" t="str">
        <f>"岡山市"</f>
        <v>岡山市</v>
      </c>
      <c r="G395" t="str">
        <f>"月刊"</f>
        <v>月刊</v>
      </c>
      <c r="H395" t="str">
        <f>"2002222302145"</f>
        <v>2002222302145</v>
      </c>
      <c r="I395" t="str">
        <f>HYPERLINK("#", "https://opac.libnet.pref.okayama.jp/licsxp-opac/WOpacMsgNewListToTifTilDetailAction.do?tilcod=2002222302145")</f>
        <v>https://opac.libnet.pref.okayama.jp/licsxp-opac/WOpacMsgNewListToTifTilDetailAction.do?tilcod=2002222302145</v>
      </c>
    </row>
    <row r="396" spans="1:9" x14ac:dyDescent="0.4">
      <c r="A396" t="str">
        <f>"ＯＨ！Ｆｕｎｄａ　ｃｌｕｂ；岡山の子育てファミリー＆ママのライフスタイル応援誌"</f>
        <v>ＯＨ！Ｆｕｎｄａ　ｃｌｕｂ；岡山の子育てファミリー＆ママのライフスタイル応援誌</v>
      </c>
      <c r="B396" s="1" t="str">
        <f t="shared" si="19"/>
        <v>ＯＨ！Ｆｕｎｄａ　ｃｌｕｂ；岡山の子育てファミリー＆ママのライフスタイル応援誌</v>
      </c>
      <c r="C396" t="str">
        <f>"オー　ファンダ　クラブ＊オカヤマ　ノ　コソダテ　ファミリー　ママ　ノ　ライフスタイル　オウエンシ"</f>
        <v>オー　ファンダ　クラブ＊オカヤマ　ノ　コソダテ　ファミリー　ママ　ノ　ライフスタイル　オウエンシ</v>
      </c>
      <c r="D396" t="str">
        <f>"ＯＨ！ファンダクラブ編集室"</f>
        <v>ＯＨ！ファンダクラブ編集室</v>
      </c>
      <c r="E396" t="str">
        <f>"オーファンダクラブヘンシュウシツ"</f>
        <v>オーファンダクラブヘンシュウシツ</v>
      </c>
      <c r="F396" t="str">
        <f>"岡山"</f>
        <v>岡山</v>
      </c>
      <c r="G396" t="str">
        <f>"季刊"</f>
        <v>季刊</v>
      </c>
      <c r="H396" t="str">
        <f>"2002222300175"</f>
        <v>2002222300175</v>
      </c>
      <c r="I396" t="str">
        <f>HYPERLINK("#", "https://opac.libnet.pref.okayama.jp/licsxp-opac/WOpacMsgNewListToTifTilDetailAction.do?tilcod=2002222300175")</f>
        <v>https://opac.libnet.pref.okayama.jp/licsxp-opac/WOpacMsgNewListToTifTilDetailAction.do?tilcod=2002222300175</v>
      </c>
    </row>
    <row r="397" spans="1:9" x14ac:dyDescent="0.4">
      <c r="A397" t="str">
        <f>"Oh  My  GAT  (オーマイガット)"</f>
        <v>Oh  My  GAT  (オーマイガット)</v>
      </c>
      <c r="B397" s="1" t="str">
        <f t="shared" si="19"/>
        <v>Oh  My  GAT  (オーマイガット)</v>
      </c>
      <c r="C397" t="str">
        <f>"オー　マイ　ガット"</f>
        <v>オー　マイ　ガット</v>
      </c>
      <c r="D397" t="str">
        <f>"ガット企画室"</f>
        <v>ガット企画室</v>
      </c>
      <c r="E397" t="str">
        <f>"ガットキカクシツ"</f>
        <v>ガットキカクシツ</v>
      </c>
      <c r="F397" t="str">
        <f>"津山"</f>
        <v>津山</v>
      </c>
      <c r="G397" t="str">
        <f>"季刊"</f>
        <v>季刊</v>
      </c>
      <c r="H397" t="str">
        <f>"2002222302382"</f>
        <v>2002222302382</v>
      </c>
      <c r="I397" t="str">
        <f>HYPERLINK("#", "https://opac.libnet.pref.okayama.jp/licsxp-opac/WOpacMsgNewListToTifTilDetailAction.do?tilcod=2002222302382")</f>
        <v>https://opac.libnet.pref.okayama.jp/licsxp-opac/WOpacMsgNewListToTifTilDetailAction.do?tilcod=2002222302382</v>
      </c>
    </row>
    <row r="398" spans="1:9" x14ac:dyDescent="0.4">
      <c r="A398" t="str">
        <f>"ＯＩＣｓｔｙｌｅ；ＯＩＣキャンパスライフスタイルペーパー"</f>
        <v>ＯＩＣｓｔｙｌｅ；ＯＩＣキャンパスライフスタイルペーパー</v>
      </c>
      <c r="B398" s="1" t="str">
        <f t="shared" si="19"/>
        <v>ＯＩＣｓｔｙｌｅ；ＯＩＣキャンパスライフスタイルペーパー</v>
      </c>
      <c r="C398" t="str">
        <f>"オー・アイ・シー・スタイル＊オー・アイ・シー・キャンパス　ライフ　スタイル　ペーパー"</f>
        <v>オー・アイ・シー・スタイル＊オー・アイ・シー・キャンパス　ライフ　スタイル　ペーパー</v>
      </c>
      <c r="D398" t="str">
        <f>"岡山情報ビジネス学院"</f>
        <v>岡山情報ビジネス学院</v>
      </c>
      <c r="E398" t="str">
        <f>"オカヤマ ジョウホウ ビジネス ガクイン"</f>
        <v>オカヤマ ジョウホウ ビジネス ガクイン</v>
      </c>
      <c r="F398" t="str">
        <f>"岡山"</f>
        <v>岡山</v>
      </c>
      <c r="G398" t="str">
        <f>"季刊"</f>
        <v>季刊</v>
      </c>
      <c r="H398" t="str">
        <f>"2002222302410"</f>
        <v>2002222302410</v>
      </c>
      <c r="I398" t="str">
        <f>HYPERLINK("#", "https://opac.libnet.pref.okayama.jp/licsxp-opac/WOpacMsgNewListToTifTilDetailAction.do?tilcod=2002222302410")</f>
        <v>https://opac.libnet.pref.okayama.jp/licsxp-opac/WOpacMsgNewListToTifTilDetailAction.do?tilcod=2002222302410</v>
      </c>
    </row>
    <row r="399" spans="1:9" x14ac:dyDescent="0.4">
      <c r="A399" t="str">
        <f>"大江史談"</f>
        <v>大江史談</v>
      </c>
      <c r="B399" s="1" t="str">
        <f t="shared" si="19"/>
        <v>大江史談</v>
      </c>
      <c r="C399" t="str">
        <f>"オオエ　シダン"</f>
        <v>オオエ　シダン</v>
      </c>
      <c r="D399" t="str">
        <f>"大江史談会"</f>
        <v>大江史談会</v>
      </c>
      <c r="E399" t="str">
        <f>"オオエシダンカイ"</f>
        <v>オオエシダンカイ</v>
      </c>
      <c r="F399" t="str">
        <f>"井原"</f>
        <v>井原</v>
      </c>
      <c r="G399" t="str">
        <f>"年３回刊"</f>
        <v>年３回刊</v>
      </c>
      <c r="H399" t="str">
        <f>"2002222281831"</f>
        <v>2002222281831</v>
      </c>
      <c r="I399" t="str">
        <f>HYPERLINK("#", "https://opac.libnet.pref.okayama.jp/licsxp-opac/WOpacMsgNewListToTifTilDetailAction.do?tilcod=2002222281831")</f>
        <v>https://opac.libnet.pref.okayama.jp/licsxp-opac/WOpacMsgNewListToTifTilDetailAction.do?tilcod=2002222281831</v>
      </c>
    </row>
    <row r="400" spans="1:9" x14ac:dyDescent="0.4">
      <c r="A400" t="str">
        <f>"ＯＨＫテレビプログラム"</f>
        <v>ＯＨＫテレビプログラム</v>
      </c>
      <c r="B400" s="1" t="str">
        <f t="shared" si="19"/>
        <v>ＯＨＫテレビプログラム</v>
      </c>
      <c r="C400" t="str">
        <f>"オーエイチケー＊テレビ　プログラム"</f>
        <v>オーエイチケー＊テレビ　プログラム</v>
      </c>
      <c r="D400" t="str">
        <f>"ＯＨＫ"</f>
        <v>ＯＨＫ</v>
      </c>
      <c r="E400" t="str">
        <f>"オーエイチケー"</f>
        <v>オーエイチケー</v>
      </c>
      <c r="F400" t="str">
        <f>"岡山"</f>
        <v>岡山</v>
      </c>
      <c r="G400" t="str">
        <f>"月刊"</f>
        <v>月刊</v>
      </c>
      <c r="H400" t="str">
        <f>"2002222294071"</f>
        <v>2002222294071</v>
      </c>
      <c r="I400" t="str">
        <f>HYPERLINK("#", "https://opac.libnet.pref.okayama.jp/licsxp-opac/WOpacMsgNewListToTifTilDetailAction.do?tilcod=2002222294071")</f>
        <v>https://opac.libnet.pref.okayama.jp/licsxp-opac/WOpacMsgNewListToTifTilDetailAction.do?tilcod=2002222294071</v>
      </c>
    </row>
    <row r="401" spans="1:9" x14ac:dyDescent="0.4">
      <c r="A401" t="str">
        <f>"ＯＳＳ　ＰＲＥＳＳ"</f>
        <v>ＯＳＳ　ＰＲＥＳＳ</v>
      </c>
      <c r="B401" s="1" t="str">
        <f t="shared" si="19"/>
        <v>ＯＳＳ　ＰＲＥＳＳ</v>
      </c>
      <c r="C401" t="str">
        <f>"オーエスエス　プレス"</f>
        <v>オーエスエス　プレス</v>
      </c>
      <c r="D401" t="str">
        <f>"岡山県産業振興財団"</f>
        <v>岡山県産業振興財団</v>
      </c>
      <c r="E401" t="str">
        <f>"オカヤマケン サンギョウ シンコウ ザイダン"</f>
        <v>オカヤマケン サンギョウ シンコウ ザイダン</v>
      </c>
      <c r="F401" t="str">
        <f>"岡山"</f>
        <v>岡山</v>
      </c>
      <c r="G401" t="str">
        <f>"季刊"</f>
        <v>季刊</v>
      </c>
      <c r="H401" t="str">
        <f>"2002222282541"</f>
        <v>2002222282541</v>
      </c>
      <c r="I401" t="str">
        <f>HYPERLINK("#", "https://opac.libnet.pref.okayama.jp/licsxp-opac/WOpacMsgNewListToTifTilDetailAction.do?tilcod=2002222282541")</f>
        <v>https://opac.libnet.pref.okayama.jp/licsxp-opac/WOpacMsgNewListToTifTilDetailAction.do?tilcod=2002222282541</v>
      </c>
    </row>
    <row r="402" spans="1:9" x14ac:dyDescent="0.4">
      <c r="A402" t="str">
        <f>"大阪だより"</f>
        <v>大阪だより</v>
      </c>
      <c r="B402" s="1" t="str">
        <f t="shared" si="19"/>
        <v>大阪だより</v>
      </c>
      <c r="C402" t="str">
        <f>"オオサカ　ダヨリ"</f>
        <v>オオサカ　ダヨリ</v>
      </c>
      <c r="D402" t="str">
        <f>"岡山県大阪事務所"</f>
        <v>岡山県大阪事務所</v>
      </c>
      <c r="E402" t="str">
        <f>"オカヤマケン オオサカ ジムショ"</f>
        <v>オカヤマケン オオサカ ジムショ</v>
      </c>
      <c r="F402" t="str">
        <f>""</f>
        <v/>
      </c>
      <c r="G402" t="str">
        <f>"頻度不明"</f>
        <v>頻度不明</v>
      </c>
      <c r="H402" t="str">
        <f>"2002222287821"</f>
        <v>2002222287821</v>
      </c>
      <c r="I402" t="str">
        <f>HYPERLINK("#", "https://opac.libnet.pref.okayama.jp/licsxp-opac/WOpacMsgNewListToTifTilDetailAction.do?tilcod=2002222287821")</f>
        <v>https://opac.libnet.pref.okayama.jp/licsxp-opac/WOpacMsgNewListToTifTilDetailAction.do?tilcod=2002222287821</v>
      </c>
    </row>
    <row r="403" spans="1:9" x14ac:dyDescent="0.4">
      <c r="A403" t="str">
        <f>"Ｏ．Ｃ．Ｓ．同窓会報（オーシーエス同窓会報）；岡山県第一岡山商業学校同窓会報"</f>
        <v>Ｏ．Ｃ．Ｓ．同窓会報（オーシーエス同窓会報）；岡山県第一岡山商業学校同窓会報</v>
      </c>
      <c r="B403" s="1" t="str">
        <f t="shared" si="19"/>
        <v>Ｏ．Ｃ．Ｓ．同窓会報（オーシーエス同窓会報）；岡山県第一岡山商業学校同窓会報</v>
      </c>
      <c r="C403" t="str">
        <f>"オーシーエス　ドウソウ　カイホウ＊オカヤマケン　ダイイチ　オカヤマ　ショウギョウ　ガッコウ　ドウソウ　カイホウ"</f>
        <v>オーシーエス　ドウソウ　カイホウ＊オカヤマケン　ダイイチ　オカヤマ　ショウギョウ　ガッコウ　ドウソウ　カイホウ</v>
      </c>
      <c r="D403" t="str">
        <f>"岡山県第一岡山商業学校同窓会"</f>
        <v>岡山県第一岡山商業学校同窓会</v>
      </c>
      <c r="E403" t="str">
        <f>"オカヤマケンダイイチオカヤマショウギョウガッコウドウソウカイ"</f>
        <v>オカヤマケンダイイチオカヤマショウギョウガッコウドウソウカイ</v>
      </c>
      <c r="F403" t="str">
        <f>"岡山"</f>
        <v>岡山</v>
      </c>
      <c r="G403" t="str">
        <f>"年刊"</f>
        <v>年刊</v>
      </c>
      <c r="H403" t="str">
        <f>"2002222301037"</f>
        <v>2002222301037</v>
      </c>
      <c r="I403" t="str">
        <f>HYPERLINK("#", "https://opac.libnet.pref.okayama.jp/licsxp-opac/WOpacMsgNewListToTifTilDetailAction.do?tilcod=2002222301037")</f>
        <v>https://opac.libnet.pref.okayama.jp/licsxp-opac/WOpacMsgNewListToTifTilDetailAction.do?tilcod=2002222301037</v>
      </c>
    </row>
    <row r="404" spans="1:9" x14ac:dyDescent="0.4">
      <c r="A404" t="str">
        <f>"OCC研究速報"</f>
        <v>OCC研究速報</v>
      </c>
      <c r="B404" s="1" t="str">
        <f t="shared" si="19"/>
        <v>OCC研究速報</v>
      </c>
      <c r="C404" t="str">
        <f>"オーシーシー ケンキュウ ソクホウ"</f>
        <v>オーシーシー ケンキュウ ソクホウ</v>
      </c>
      <c r="D404" t="str">
        <f>"岡山セラミックス技術振興財団"</f>
        <v>岡山セラミックス技術振興財団</v>
      </c>
      <c r="E404" t="str">
        <f>"オカヤマ セラミックス ギジュツ シンコウ ザイダン"</f>
        <v>オカヤマ セラミックス ギジュツ シンコウ ザイダン</v>
      </c>
      <c r="F404" t="str">
        <f>"備前"</f>
        <v>備前</v>
      </c>
      <c r="G404" t="str">
        <f>"頻度不明"</f>
        <v>頻度不明</v>
      </c>
      <c r="H404" t="str">
        <f>"2002222337089"</f>
        <v>2002222337089</v>
      </c>
      <c r="I404" t="str">
        <f>HYPERLINK("#", "https://opac.libnet.pref.okayama.jp/licsxp-opac/WOpacMsgNewListToTifTilDetailAction.do?tilcod=2002222337089")</f>
        <v>https://opac.libnet.pref.okayama.jp/licsxp-opac/WOpacMsgNewListToTifTilDetailAction.do?tilcod=2002222337089</v>
      </c>
    </row>
    <row r="405" spans="1:9" x14ac:dyDescent="0.4">
      <c r="A405" t="str">
        <f>"おおぞら；社内報"</f>
        <v>おおぞら；社内報</v>
      </c>
      <c r="B405" s="1" t="str">
        <f t="shared" si="19"/>
        <v>おおぞら；社内報</v>
      </c>
      <c r="C405" t="str">
        <f>"オオゾラ＊シャナイホウ"</f>
        <v>オオゾラ＊シャナイホウ</v>
      </c>
      <c r="D405" t="str">
        <f>"福武書店総務部"</f>
        <v>福武書店総務部</v>
      </c>
      <c r="E405" t="str">
        <f>"フクタケショテンソウムブ"</f>
        <v>フクタケショテンソウムブ</v>
      </c>
      <c r="F405" t="str">
        <f>"岡山"</f>
        <v>岡山</v>
      </c>
      <c r="G405" t="str">
        <f>"月刊"</f>
        <v>月刊</v>
      </c>
      <c r="H405" t="str">
        <f>"2002222300676"</f>
        <v>2002222300676</v>
      </c>
      <c r="I405" t="str">
        <f>HYPERLINK("#", "https://opac.libnet.pref.okayama.jp/licsxp-opac/WOpacMsgNewListToTifTilDetailAction.do?tilcod=2002222300676")</f>
        <v>https://opac.libnet.pref.okayama.jp/licsxp-opac/WOpacMsgNewListToTifTilDetailAction.do?tilcod=2002222300676</v>
      </c>
    </row>
    <row r="406" spans="1:9" x14ac:dyDescent="0.4">
      <c r="A406" t="str">
        <f>"大塚愛いっぽ通信"</f>
        <v>大塚愛いっぽ通信</v>
      </c>
      <c r="B406" s="1" t="str">
        <f t="shared" si="19"/>
        <v>大塚愛いっぽ通信</v>
      </c>
      <c r="C406" t="str">
        <f>"オオツカ　アイ　イッポ　ツウシン"</f>
        <v>オオツカ　アイ　イッポ　ツウシン</v>
      </c>
      <c r="D406" t="str">
        <f>"大塚愛後援会"</f>
        <v>大塚愛後援会</v>
      </c>
      <c r="E406" t="str">
        <f>"オオツカアイコウエンカイ"</f>
        <v>オオツカアイコウエンカイ</v>
      </c>
      <c r="F406" t="str">
        <f>"岡山"</f>
        <v>岡山</v>
      </c>
      <c r="G406" t="str">
        <f>"不定期刊"</f>
        <v>不定期刊</v>
      </c>
      <c r="H406" t="str">
        <f>"2002222331066"</f>
        <v>2002222331066</v>
      </c>
      <c r="I406" t="str">
        <f>HYPERLINK("#", "https://opac.libnet.pref.okayama.jp/licsxp-opac/WOpacMsgNewListToTifTilDetailAction.do?tilcod=2002222331066")</f>
        <v>https://opac.libnet.pref.okayama.jp/licsxp-opac/WOpacMsgNewListToTifTilDetailAction.do?tilcod=2002222331066</v>
      </c>
    </row>
    <row r="407" spans="1:9" x14ac:dyDescent="0.4">
      <c r="A407" t="str">
        <f>"ＯＷ（オーディナリー ウーマン）；Ｏ-ディナリー　Ｗ-マン"</f>
        <v>ＯＷ（オーディナリー ウーマン）；Ｏ-ディナリー　Ｗ-マン</v>
      </c>
      <c r="B407" s="1" t="str">
        <f t="shared" si="19"/>
        <v>ＯＷ（オーディナリー ウーマン）；Ｏ-ディナリー　Ｗ-マン</v>
      </c>
      <c r="C407" t="str">
        <f>"オーディナリー ウーマン"</f>
        <v>オーディナリー ウーマン</v>
      </c>
      <c r="D407" t="str">
        <f>"神谷茂子"</f>
        <v>神谷茂子</v>
      </c>
      <c r="E407" t="str">
        <f>"カミヤシゲコ"</f>
        <v>カミヤシゲコ</v>
      </c>
      <c r="F407" t="str">
        <f>"津山"</f>
        <v>津山</v>
      </c>
      <c r="G407" t="str">
        <f>"不定期刊"</f>
        <v>不定期刊</v>
      </c>
      <c r="H407" t="str">
        <f>"2002222292281"</f>
        <v>2002222292281</v>
      </c>
      <c r="I407" t="str">
        <f>HYPERLINK("#", "https://opac.libnet.pref.okayama.jp/licsxp-opac/WOpacMsgNewListToTifTilDetailAction.do?tilcod=2002222292281")</f>
        <v>https://opac.libnet.pref.okayama.jp/licsxp-opac/WOpacMsgNewListToTifTilDetailAction.do?tilcod=2002222292281</v>
      </c>
    </row>
    <row r="408" spans="1:9" x14ac:dyDescent="0.4">
      <c r="A408" t="str">
        <f>"鳳"</f>
        <v>鳳</v>
      </c>
      <c r="B408" s="1" t="str">
        <f t="shared" si="19"/>
        <v>鳳</v>
      </c>
      <c r="C408" t="str">
        <f>"オオトリ"</f>
        <v>オオトリ</v>
      </c>
      <c r="D408" t="str">
        <f>"岡山朝日高等学校弁論部"</f>
        <v>岡山朝日高等学校弁論部</v>
      </c>
      <c r="E408" t="str">
        <f>"オカヤマ アサヒ コウトウガッコウ ベンロンブ"</f>
        <v>オカヤマ アサヒ コウトウガッコウ ベンロンブ</v>
      </c>
      <c r="F408" t="str">
        <f>""</f>
        <v/>
      </c>
      <c r="G408" t="str">
        <f>"頻度不明"</f>
        <v>頻度不明</v>
      </c>
      <c r="H408" t="str">
        <f>"2002222341091"</f>
        <v>2002222341091</v>
      </c>
      <c r="I408" t="str">
        <f>HYPERLINK("#", "https://opac.libnet.pref.okayama.jp/licsxp-opac/WOpacMsgNewListToTifTilDetailAction.do?tilcod=2002222341091")</f>
        <v>https://opac.libnet.pref.okayama.jp/licsxp-opac/WOpacMsgNewListToTifTilDetailAction.do?tilcod=2002222341091</v>
      </c>
    </row>
    <row r="409" spans="1:9" x14ac:dyDescent="0.4">
      <c r="A409" t="str">
        <f>"車前草（おおばこ）"</f>
        <v>車前草（おおばこ）</v>
      </c>
      <c r="B409" s="1" t="str">
        <f t="shared" si="19"/>
        <v>車前草（おおばこ）</v>
      </c>
      <c r="C409" t="str">
        <f>"オオバコ"</f>
        <v>オオバコ</v>
      </c>
      <c r="D409" t="str">
        <f>"車前草詩社"</f>
        <v>車前草詩社</v>
      </c>
      <c r="E409" t="str">
        <f>"オオバコシシャ"</f>
        <v>オオバコシシャ</v>
      </c>
      <c r="F409" t="str">
        <f>""</f>
        <v/>
      </c>
      <c r="G409" t="str">
        <f>"頻度不明"</f>
        <v>頻度不明</v>
      </c>
      <c r="H409" t="str">
        <f>"2002222287831"</f>
        <v>2002222287831</v>
      </c>
      <c r="I409" t="str">
        <f>HYPERLINK("#", "https://opac.libnet.pref.okayama.jp/licsxp-opac/WOpacMsgNewListToTifTilDetailAction.do?tilcod=2002222287831")</f>
        <v>https://opac.libnet.pref.okayama.jp/licsxp-opac/WOpacMsgNewListToTifTilDetailAction.do?tilcod=2002222287831</v>
      </c>
    </row>
    <row r="410" spans="1:9" x14ac:dyDescent="0.4">
      <c r="A410" t="str">
        <f>"大原高等学校学校案内"</f>
        <v>大原高等学校学校案内</v>
      </c>
      <c r="B410" s="1" t="str">
        <f t="shared" si="19"/>
        <v>大原高等学校学校案内</v>
      </c>
      <c r="C410" t="str">
        <f>"オオハラ　コウトウ　ガッコウ　ガッコウ　アンナイ"</f>
        <v>オオハラ　コウトウ　ガッコウ　ガッコウ　アンナイ</v>
      </c>
      <c r="D410" t="str">
        <f>"大原高等学校"</f>
        <v>大原高等学校</v>
      </c>
      <c r="E410" t="str">
        <f>"オオハラコウトウガッコウ"</f>
        <v>オオハラコウトウガッコウ</v>
      </c>
      <c r="F410" t="str">
        <f>"大原町（英田郡）"</f>
        <v>大原町（英田郡）</v>
      </c>
      <c r="G410" t="str">
        <f>"年刊"</f>
        <v>年刊</v>
      </c>
      <c r="H410" t="str">
        <f>"2002222301229"</f>
        <v>2002222301229</v>
      </c>
      <c r="I410" t="str">
        <f>HYPERLINK("#", "https://opac.libnet.pref.okayama.jp/licsxp-opac/WOpacMsgNewListToTifTilDetailAction.do?tilcod=2002222301229")</f>
        <v>https://opac.libnet.pref.okayama.jp/licsxp-opac/WOpacMsgNewListToTifTilDetailAction.do?tilcod=2002222301229</v>
      </c>
    </row>
    <row r="411" spans="1:9" x14ac:dyDescent="0.4">
      <c r="A411" t="str">
        <f>"大原高等学校学校要覧"</f>
        <v>大原高等学校学校要覧</v>
      </c>
      <c r="B411" s="1" t="str">
        <f t="shared" si="19"/>
        <v>大原高等学校学校要覧</v>
      </c>
      <c r="C411" t="str">
        <f>"オオハラ　コウトウ　ガッコウ　ガッコウ　ヨウラン"</f>
        <v>オオハラ　コウトウ　ガッコウ　ガッコウ　ヨウラン</v>
      </c>
      <c r="D411" t="str">
        <f>"大原高等学校"</f>
        <v>大原高等学校</v>
      </c>
      <c r="E411" t="str">
        <f>"オオハラコウトウガッコウ"</f>
        <v>オオハラコウトウガッコウ</v>
      </c>
      <c r="F411" t="str">
        <f>"大原町（英田郡）"</f>
        <v>大原町（英田郡）</v>
      </c>
      <c r="G411" t="str">
        <f>"年刊"</f>
        <v>年刊</v>
      </c>
      <c r="H411" t="str">
        <f>"2002222300548"</f>
        <v>2002222300548</v>
      </c>
      <c r="I411" t="str">
        <f>HYPERLINK("#", "https://opac.libnet.pref.okayama.jp/licsxp-opac/WOpacMsgNewListToTifTilDetailAction.do?tilcod=2002222300548")</f>
        <v>https://opac.libnet.pref.okayama.jp/licsxp-opac/WOpacMsgNewListToTifTilDetailAction.do?tilcod=2002222300548</v>
      </c>
    </row>
    <row r="412" spans="1:9" x14ac:dyDescent="0.4">
      <c r="A412" t="str">
        <f>"大原農業研究所報告"</f>
        <v>大原農業研究所報告</v>
      </c>
      <c r="B412" s="1" t="str">
        <f t="shared" si="19"/>
        <v>大原農業研究所報告</v>
      </c>
      <c r="C412" t="str">
        <f>"オオハラ　ノウギョウ　ケンキュウショ　ホウコク"</f>
        <v>オオハラ　ノウギョウ　ケンキュウショ　ホウコク</v>
      </c>
      <c r="D412" t="str">
        <f>"大原農業研究所"</f>
        <v>大原農業研究所</v>
      </c>
      <c r="E412" t="str">
        <f>"オオハラノウギョウケンキュウショ"</f>
        <v>オオハラノウギョウケンキュウショ</v>
      </c>
      <c r="F412" t="str">
        <f>""</f>
        <v/>
      </c>
      <c r="G412" t="str">
        <f>"頻度不明"</f>
        <v>頻度不明</v>
      </c>
      <c r="H412" t="str">
        <f>"2002222288712"</f>
        <v>2002222288712</v>
      </c>
      <c r="I412" t="str">
        <f>HYPERLINK("#", "https://opac.libnet.pref.okayama.jp/licsxp-opac/WOpacMsgNewListToTifTilDetailAction.do?tilcod=2002222288712")</f>
        <v>https://opac.libnet.pref.okayama.jp/licsxp-opac/WOpacMsgNewListToTifTilDetailAction.do?tilcod=2002222288712</v>
      </c>
    </row>
    <row r="413" spans="1:9" x14ac:dyDescent="0.4">
      <c r="A413" t="str">
        <f>"大原美術館"</f>
        <v>大原美術館</v>
      </c>
      <c r="B413" s="1" t="str">
        <f t="shared" si="19"/>
        <v>大原美術館</v>
      </c>
      <c r="C413" t="str">
        <f>"オオハラ　ビジュツカン"</f>
        <v>オオハラ　ビジュツカン</v>
      </c>
      <c r="D413" t="str">
        <f>"大原美術館"</f>
        <v>大原美術館</v>
      </c>
      <c r="E413" t="str">
        <f>"オオハラビジュツカン"</f>
        <v>オオハラビジュツカン</v>
      </c>
      <c r="F413" t="str">
        <f>"倉敷"</f>
        <v>倉敷</v>
      </c>
      <c r="G413" t="str">
        <f>"頻度不明"</f>
        <v>頻度不明</v>
      </c>
      <c r="H413" t="str">
        <f>"2002222281954"</f>
        <v>2002222281954</v>
      </c>
      <c r="I413" t="str">
        <f>HYPERLINK("#", "https://opac.libnet.pref.okayama.jp/licsxp-opac/WOpacMsgNewListToTifTilDetailAction.do?tilcod=2002222281954")</f>
        <v>https://opac.libnet.pref.okayama.jp/licsxp-opac/WOpacMsgNewListToTifTilDetailAction.do?tilcod=2002222281954</v>
      </c>
    </row>
    <row r="414" spans="1:9" x14ac:dyDescent="0.4">
      <c r="A414" t="str">
        <f>"大原美術館"</f>
        <v>大原美術館</v>
      </c>
      <c r="B414" s="1" t="str">
        <f t="shared" si="19"/>
        <v>大原美術館</v>
      </c>
      <c r="C414" t="str">
        <f>"オオハラ　ビジュツカン"</f>
        <v>オオハラ　ビジュツカン</v>
      </c>
      <c r="D414" t="str">
        <f>"大原美術館"</f>
        <v>大原美術館</v>
      </c>
      <c r="E414" t="str">
        <f>"オオハラビジュツカン"</f>
        <v>オオハラビジュツカン</v>
      </c>
      <c r="F414" t="str">
        <f>"倉敷"</f>
        <v>倉敷</v>
      </c>
      <c r="G414" t="str">
        <f>"不定期刊"</f>
        <v>不定期刊</v>
      </c>
      <c r="H414" t="str">
        <f>"2002222301154"</f>
        <v>2002222301154</v>
      </c>
      <c r="I414" t="str">
        <f>HYPERLINK("#", "https://opac.libnet.pref.okayama.jp/licsxp-opac/WOpacMsgNewListToTifTilDetailAction.do?tilcod=2002222301154")</f>
        <v>https://opac.libnet.pref.okayama.jp/licsxp-opac/WOpacMsgNewListToTifTilDetailAction.do?tilcod=2002222301154</v>
      </c>
    </row>
    <row r="415" spans="1:9" x14ac:dyDescent="0.4">
      <c r="A415" t="str">
        <f>"大原美術館紀要"</f>
        <v>大原美術館紀要</v>
      </c>
      <c r="B415" s="1" t="str">
        <f t="shared" si="19"/>
        <v>大原美術館紀要</v>
      </c>
      <c r="C415" t="str">
        <f>"オオハラ　ビジュツカン　キヨウ"</f>
        <v>オオハラ　ビジュツカン　キヨウ</v>
      </c>
      <c r="D415" t="str">
        <f>"大原美術館"</f>
        <v>大原美術館</v>
      </c>
      <c r="E415" t="str">
        <f>"オオハラビジュツカン"</f>
        <v>オオハラビジュツカン</v>
      </c>
      <c r="F415" t="str">
        <f>"倉敷"</f>
        <v>倉敷</v>
      </c>
      <c r="G415" t="str">
        <f>"年刊"</f>
        <v>年刊</v>
      </c>
      <c r="H415" t="str">
        <f>"2002222285371"</f>
        <v>2002222285371</v>
      </c>
      <c r="I415" t="str">
        <f>HYPERLINK("#", "https://opac.libnet.pref.okayama.jp/licsxp-opac/WOpacMsgNewListToTifTilDetailAction.do?tilcod=2002222285371")</f>
        <v>https://opac.libnet.pref.okayama.jp/licsxp-opac/WOpacMsgNewListToTifTilDetailAction.do?tilcod=2002222285371</v>
      </c>
    </row>
    <row r="416" spans="1:9" x14ac:dyDescent="0.4">
      <c r="A416" t="str">
        <f>"ＯＰＵ　岡山県立大学広報誌"</f>
        <v>ＯＰＵ　岡山県立大学広報誌</v>
      </c>
      <c r="B416" s="1" t="str">
        <f t="shared" si="19"/>
        <v>ＯＰＵ　岡山県立大学広報誌</v>
      </c>
      <c r="C416" t="str">
        <f>"オーピーユー　オカヤマ　ケンリツ　ダイガク　コウホウ　シ"</f>
        <v>オーピーユー　オカヤマ　ケンリツ　ダイガク　コウホウ　シ</v>
      </c>
      <c r="D416" t="str">
        <f>"岡山県立大学"</f>
        <v>岡山県立大学</v>
      </c>
      <c r="E416" t="str">
        <f>"オカヤマケンリツダイガク"</f>
        <v>オカヤマケンリツダイガク</v>
      </c>
      <c r="F416" t="str">
        <f>"総社"</f>
        <v>総社</v>
      </c>
      <c r="G416" t="str">
        <f>"年２回刊"</f>
        <v>年２回刊</v>
      </c>
      <c r="H416" t="str">
        <f>"2002222280951"</f>
        <v>2002222280951</v>
      </c>
      <c r="I416" t="str">
        <f>HYPERLINK("#", "https://opac.libnet.pref.okayama.jp/licsxp-opac/WOpacMsgNewListToTifTilDetailAction.do?tilcod=2002222280951")</f>
        <v>https://opac.libnet.pref.okayama.jp/licsxp-opac/WOpacMsgNewListToTifTilDetailAction.do?tilcod=2002222280951</v>
      </c>
    </row>
    <row r="417" spans="1:9" x14ac:dyDescent="0.4">
      <c r="A417" t="str">
        <f>"ａｕｂｅ．（オーブ）"</f>
        <v>ａｕｂｅ．（オーブ）</v>
      </c>
      <c r="B417" s="1" t="str">
        <f t="shared" si="19"/>
        <v>ａｕｂｅ．（オーブ）</v>
      </c>
      <c r="C417" t="str">
        <f>"オーブ"</f>
        <v>オーブ</v>
      </c>
      <c r="D417" t="str">
        <f>"ざっぱうさぎ"</f>
        <v>ざっぱうさぎ</v>
      </c>
      <c r="E417" t="str">
        <f>"ザッパウサギ"</f>
        <v>ザッパウサギ</v>
      </c>
      <c r="F417" t="str">
        <f>"倉敷"</f>
        <v>倉敷</v>
      </c>
      <c r="G417" t="str">
        <f>"年２回刊"</f>
        <v>年２回刊</v>
      </c>
      <c r="H417" t="str">
        <f>"2002222302359"</f>
        <v>2002222302359</v>
      </c>
      <c r="I417" t="str">
        <f>HYPERLINK("#", "https://opac.libnet.pref.okayama.jp/licsxp-opac/WOpacMsgNewListToTifTilDetailAction.do?tilcod=2002222302359")</f>
        <v>https://opac.libnet.pref.okayama.jp/licsxp-opac/WOpacMsgNewListToTifTilDetailAction.do?tilcod=2002222302359</v>
      </c>
    </row>
    <row r="418" spans="1:9" x14ac:dyDescent="0.4">
      <c r="A418" t="str">
        <f>"おおもと"</f>
        <v>おおもと</v>
      </c>
      <c r="B418" s="1" t="str">
        <f t="shared" si="19"/>
        <v>おおもと</v>
      </c>
      <c r="C418" t="str">
        <f>"オオモト"</f>
        <v>オオモト</v>
      </c>
      <c r="D418" t="str">
        <f>"大元学区連合町内会"</f>
        <v>大元学区連合町内会</v>
      </c>
      <c r="E418" t="str">
        <f>"オオモトガックレンゴウチョウナイカイ"</f>
        <v>オオモトガックレンゴウチョウナイカイ</v>
      </c>
      <c r="F418" t="str">
        <f>"岡山"</f>
        <v>岡山</v>
      </c>
      <c r="G418" t="str">
        <f>"不定期刊"</f>
        <v>不定期刊</v>
      </c>
      <c r="H418" t="str">
        <f>"2002222300784"</f>
        <v>2002222300784</v>
      </c>
      <c r="I418" t="str">
        <f>HYPERLINK("#", "https://opac.libnet.pref.okayama.jp/licsxp-opac/WOpacMsgNewListToTifTilDetailAction.do?tilcod=2002222300784")</f>
        <v>https://opac.libnet.pref.okayama.jp/licsxp-opac/WOpacMsgNewListToTifTilDetailAction.do?tilcod=2002222300784</v>
      </c>
    </row>
    <row r="419" spans="1:9" x14ac:dyDescent="0.4">
      <c r="A419" t="str">
        <f>"大本岡山分苑報"</f>
        <v>大本岡山分苑報</v>
      </c>
      <c r="B419" s="1" t="str">
        <f t="shared" si="19"/>
        <v>大本岡山分苑報</v>
      </c>
      <c r="C419" t="str">
        <f>"オオモト オカヤマ ブンエン ホウ"</f>
        <v>オオモト オカヤマ ブンエン ホウ</v>
      </c>
      <c r="D419" t="str">
        <f>"[大本岡山分苑]"</f>
        <v>[大本岡山分苑]</v>
      </c>
      <c r="E419" t="str">
        <f>"オオモト オカヤマ ブンエン"</f>
        <v>オオモト オカヤマ ブンエン</v>
      </c>
      <c r="F419" t="str">
        <f>"[岡山]"</f>
        <v>[岡山]</v>
      </c>
      <c r="G419" t="str">
        <f>"不定期刊"</f>
        <v>不定期刊</v>
      </c>
      <c r="H419" t="str">
        <f>"2002222336429"</f>
        <v>2002222336429</v>
      </c>
      <c r="I419" t="str">
        <f>HYPERLINK("#", "https://opac.libnet.pref.okayama.jp/licsxp-opac/WOpacMsgNewListToTifTilDetailAction.do?tilcod=2002222336429")</f>
        <v>https://opac.libnet.pref.okayama.jp/licsxp-opac/WOpacMsgNewListToTifTilDetailAction.do?tilcod=2002222336429</v>
      </c>
    </row>
    <row r="420" spans="1:9" x14ac:dyDescent="0.4">
      <c r="A420" t="str">
        <f>"大本岡山支部報"</f>
        <v>大本岡山支部報</v>
      </c>
      <c r="B420" s="1" t="str">
        <f t="shared" si="19"/>
        <v>大本岡山支部報</v>
      </c>
      <c r="C420" t="str">
        <f>"オオモト オカヤマシブ ホウ"</f>
        <v>オオモト オカヤマシブ ホウ</v>
      </c>
      <c r="D420" t="str">
        <f>"[大本岡山支部]"</f>
        <v>[大本岡山支部]</v>
      </c>
      <c r="E420" t="str">
        <f>"オオモト オカヤマ シブ"</f>
        <v>オオモト オカヤマ シブ</v>
      </c>
      <c r="F420" t="str">
        <f>"[岡山]"</f>
        <v>[岡山]</v>
      </c>
      <c r="G420" t="str">
        <f>"不定期刊"</f>
        <v>不定期刊</v>
      </c>
      <c r="H420" t="str">
        <f>"2002222336428"</f>
        <v>2002222336428</v>
      </c>
      <c r="I420" t="str">
        <f>HYPERLINK("#", "https://opac.libnet.pref.okayama.jp/licsxp-opac/WOpacMsgNewListToTifTilDetailAction.do?tilcod=2002222336428")</f>
        <v>https://opac.libnet.pref.okayama.jp/licsxp-opac/WOpacMsgNewListToTifTilDetailAction.do?tilcod=2002222336428</v>
      </c>
    </row>
    <row r="421" spans="1:9" x14ac:dyDescent="0.4">
      <c r="A421" t="str">
        <f>"オール岡山"</f>
        <v>オール岡山</v>
      </c>
      <c r="B421" s="1" t="str">
        <f t="shared" si="19"/>
        <v>オール岡山</v>
      </c>
      <c r="C421" t="str">
        <f>"オール　オカヤマ"</f>
        <v>オール　オカヤマ</v>
      </c>
      <c r="D421" t="str">
        <f>"オール岡山社"</f>
        <v>オール岡山社</v>
      </c>
      <c r="E421" t="str">
        <f>"オールオカヤマシャ"</f>
        <v>オールオカヤマシャ</v>
      </c>
      <c r="F421" t="str">
        <f>""</f>
        <v/>
      </c>
      <c r="G421" t="str">
        <f>"月刊"</f>
        <v>月刊</v>
      </c>
      <c r="H421" t="str">
        <f>"2002222282153"</f>
        <v>2002222282153</v>
      </c>
      <c r="I421" t="str">
        <f>HYPERLINK("#", "https://opac.libnet.pref.okayama.jp/licsxp-opac/WOpacMsgNewListToTifTilDetailAction.do?tilcod=2002222282153")</f>
        <v>https://opac.libnet.pref.okayama.jp/licsxp-opac/WOpacMsgNewListToTifTilDetailAction.do?tilcod=2002222282153</v>
      </c>
    </row>
    <row r="422" spans="1:9" x14ac:dyDescent="0.4">
      <c r="A422" t="str">
        <f>"岡工試技術情報"</f>
        <v>岡工試技術情報</v>
      </c>
      <c r="B422" s="1" t="str">
        <f t="shared" si="19"/>
        <v>岡工試技術情報</v>
      </c>
      <c r="C422" t="str">
        <f>"オカ コウ シ ギジュツ ジョウホウ"</f>
        <v>オカ コウ シ ギジュツ ジョウホウ</v>
      </c>
      <c r="D422" t="str">
        <f>"岡山県工業試験場"</f>
        <v>岡山県工業試験場</v>
      </c>
      <c r="E422" t="str">
        <f>"オカヤマケン コウギョウ シケンジョウ"</f>
        <v>オカヤマケン コウギョウ シケンジョウ</v>
      </c>
      <c r="F422" t="str">
        <f>"岡山"</f>
        <v>岡山</v>
      </c>
      <c r="G422" t="str">
        <f>"週２回刊"</f>
        <v>週２回刊</v>
      </c>
      <c r="H422" t="str">
        <f>"2002222336586"</f>
        <v>2002222336586</v>
      </c>
      <c r="I422" t="str">
        <f>HYPERLINK("#", "https://opac.libnet.pref.okayama.jp/licsxp-opac/WOpacMsgNewListToTifTilDetailAction.do?tilcod=2002222336586")</f>
        <v>https://opac.libnet.pref.okayama.jp/licsxp-opac/WOpacMsgNewListToTifTilDetailAction.do?tilcod=2002222336586</v>
      </c>
    </row>
    <row r="423" spans="1:9" x14ac:dyDescent="0.4">
      <c r="A423" t="str">
        <f>"岡ユ学連機関紙"</f>
        <v>岡ユ学連機関紙</v>
      </c>
      <c r="B423" s="1" t="str">
        <f t="shared" si="19"/>
        <v>岡ユ学連機関紙</v>
      </c>
      <c r="C423" t="str">
        <f>"オカ　ユ　ガク　レン　キカンシ"</f>
        <v>オカ　ユ　ガク　レン　キカンシ</v>
      </c>
      <c r="D423" t="str">
        <f>"岡山県ユネスコ学生連盟事務局"</f>
        <v>岡山県ユネスコ学生連盟事務局</v>
      </c>
      <c r="E423" t="str">
        <f>"オカヤマケンユネスコガクセイレンメイジムキョク"</f>
        <v>オカヤマケンユネスコガクセイレンメイジムキョク</v>
      </c>
      <c r="F423" t="str">
        <f>""</f>
        <v/>
      </c>
      <c r="G423" t="str">
        <f>"頻度不明"</f>
        <v>頻度不明</v>
      </c>
      <c r="H423" t="str">
        <f>"2002222282033"</f>
        <v>2002222282033</v>
      </c>
      <c r="I423" t="str">
        <f>HYPERLINK("#", "https://opac.libnet.pref.okayama.jp/licsxp-opac/WOpacMsgNewListToTifTilDetailAction.do?tilcod=2002222282033")</f>
        <v>https://opac.libnet.pref.okayama.jp/licsxp-opac/WOpacMsgNewListToTifTilDetailAction.do?tilcod=2002222282033</v>
      </c>
    </row>
    <row r="424" spans="1:9" x14ac:dyDescent="0.4">
      <c r="A424" t="str">
        <f>"岡織（おかおり）"</f>
        <v>岡織（おかおり）</v>
      </c>
      <c r="B424" s="1" t="str">
        <f t="shared" si="19"/>
        <v>岡織（おかおり）</v>
      </c>
      <c r="C424" t="str">
        <f>"オカオリ"</f>
        <v>オカオリ</v>
      </c>
      <c r="D424" t="str">
        <f>"岡山県織物構造改善工業組合"</f>
        <v>岡山県織物構造改善工業組合</v>
      </c>
      <c r="E424" t="str">
        <f>"オカヤマケンオリモノコウゾウカイゼンコウギョウクミアイ"</f>
        <v>オカヤマケンオリモノコウゾウカイゼンコウギョウクミアイ</v>
      </c>
      <c r="F424" t="str">
        <f>""</f>
        <v/>
      </c>
      <c r="G424" t="str">
        <f>"頻度不明"</f>
        <v>頻度不明</v>
      </c>
      <c r="H424" t="str">
        <f>"2002222287841"</f>
        <v>2002222287841</v>
      </c>
      <c r="I424" t="str">
        <f>HYPERLINK("#", "https://opac.libnet.pref.okayama.jp/licsxp-opac/WOpacMsgNewListToTifTilDetailAction.do?tilcod=2002222287841")</f>
        <v>https://opac.libnet.pref.okayama.jp/licsxp-opac/WOpacMsgNewListToTifTilDetailAction.do?tilcod=2002222287841</v>
      </c>
    </row>
    <row r="425" spans="1:9" x14ac:dyDescent="0.4">
      <c r="A425" t="str">
        <f>"オカキタ トピックス"</f>
        <v>オカキタ トピックス</v>
      </c>
      <c r="B425" s="1" t="str">
        <f t="shared" si="19"/>
        <v>オカキタ トピックス</v>
      </c>
      <c r="C425" t="str">
        <f>"オカキタ トピックス"</f>
        <v>オカキタ トピックス</v>
      </c>
      <c r="D425" t="str">
        <f>"岡山北商工会"</f>
        <v>岡山北商工会</v>
      </c>
      <c r="E425" t="str">
        <f>"オカヤマ キタ ショウコウカイ"</f>
        <v>オカヤマ キタ ショウコウカイ</v>
      </c>
      <c r="F425" t="str">
        <f>"岡山"</f>
        <v>岡山</v>
      </c>
      <c r="G425" t="str">
        <f>"年２回刊"</f>
        <v>年２回刊</v>
      </c>
      <c r="H425" t="str">
        <f>"2002222340934"</f>
        <v>2002222340934</v>
      </c>
      <c r="I425" t="str">
        <f>HYPERLINK("#", "https://opac.libnet.pref.okayama.jp/licsxp-opac/WOpacMsgNewListToTifTilDetailAction.do?tilcod=2002222340934")</f>
        <v>https://opac.libnet.pref.okayama.jp/licsxp-opac/WOpacMsgNewListToTifTilDetailAction.do?tilcod=2002222340934</v>
      </c>
    </row>
    <row r="426" spans="1:9" x14ac:dyDescent="0.4">
      <c r="A426" t="str">
        <f>"岡教弘済会報"</f>
        <v>岡教弘済会報</v>
      </c>
      <c r="B426" s="1" t="str">
        <f t="shared" si="19"/>
        <v>岡教弘済会報</v>
      </c>
      <c r="C426" t="str">
        <f>"オカキョウ　コウサイ　カイホウ"</f>
        <v>オカキョウ　コウサイ　カイホウ</v>
      </c>
      <c r="D426" t="str">
        <f>"岡山県教育弘済会"</f>
        <v>岡山県教育弘済会</v>
      </c>
      <c r="E426" t="str">
        <f>"オカヤマケン キョウイク コウサイカイ"</f>
        <v>オカヤマケン キョウイク コウサイカイ</v>
      </c>
      <c r="F426" t="str">
        <f>"岡山"</f>
        <v>岡山</v>
      </c>
      <c r="G426" t="str">
        <f>"年３回刊"</f>
        <v>年３回刊</v>
      </c>
      <c r="H426" t="str">
        <f>"2002222293451"</f>
        <v>2002222293451</v>
      </c>
      <c r="I426" t="str">
        <f>HYPERLINK("#", "https://opac.libnet.pref.okayama.jp/licsxp-opac/WOpacMsgNewListToTifTilDetailAction.do?tilcod=2002222293451")</f>
        <v>https://opac.libnet.pref.okayama.jp/licsxp-opac/WOpacMsgNewListToTifTilDetailAction.do?tilcod=2002222293451</v>
      </c>
    </row>
    <row r="427" spans="1:9" x14ac:dyDescent="0.4">
      <c r="A427" t="str">
        <f>"Oka-Kura PAPER"</f>
        <v>Oka-Kura PAPER</v>
      </c>
      <c r="B427" s="1" t="str">
        <f t="shared" si="19"/>
        <v>Oka-Kura PAPER</v>
      </c>
      <c r="C427" t="str">
        <f>"オカクラ ペーパー"</f>
        <v>オカクラ ペーパー</v>
      </c>
      <c r="D427" t="str">
        <f>""</f>
        <v/>
      </c>
      <c r="E427" t="str">
        <f>""</f>
        <v/>
      </c>
      <c r="F427" t="str">
        <f>"[岡山]"</f>
        <v>[岡山]</v>
      </c>
      <c r="G427" t="str">
        <f>"頻度不明"</f>
        <v>頻度不明</v>
      </c>
      <c r="H427" t="str">
        <f>"2002222309648"</f>
        <v>2002222309648</v>
      </c>
      <c r="I427" t="str">
        <f>HYPERLINK("#", "https://opac.libnet.pref.okayama.jp/licsxp-opac/WOpacMsgNewListToTifTilDetailAction.do?tilcod=2002222309648")</f>
        <v>https://opac.libnet.pref.okayama.jp/licsxp-opac/WOpacMsgNewListToTifTilDetailAction.do?tilcod=2002222309648</v>
      </c>
    </row>
    <row r="428" spans="1:9" x14ac:dyDescent="0.4">
      <c r="A428" t="str">
        <f>"岡グル"</f>
        <v>岡グル</v>
      </c>
      <c r="B428" s="1" t="str">
        <f t="shared" si="19"/>
        <v>岡グル</v>
      </c>
      <c r="C428" t="str">
        <f>"オカグル"</f>
        <v>オカグル</v>
      </c>
      <c r="D428" t="str">
        <f>"Foolish"</f>
        <v>Foolish</v>
      </c>
      <c r="E428" t="str">
        <f>"フーリッシュ"</f>
        <v>フーリッシュ</v>
      </c>
      <c r="F428" t="str">
        <f>""</f>
        <v/>
      </c>
      <c r="G428" t="str">
        <f>"季刊"</f>
        <v>季刊</v>
      </c>
      <c r="H428" t="str">
        <f>"2002222322227"</f>
        <v>2002222322227</v>
      </c>
      <c r="I428" t="str">
        <f>HYPERLINK("#", "https://opac.libnet.pref.okayama.jp/licsxp-opac/WOpacMsgNewListToTifTilDetailAction.do?tilcod=2002222322227")</f>
        <v>https://opac.libnet.pref.okayama.jp/licsxp-opac/WOpacMsgNewListToTifTilDetailAction.do?tilcod=2002222322227</v>
      </c>
    </row>
    <row r="429" spans="1:9" x14ac:dyDescent="0.4">
      <c r="A429" t="str">
        <f>"岡工技ニュース"</f>
        <v>岡工技ニュース</v>
      </c>
      <c r="B429" s="1" t="str">
        <f t="shared" si="19"/>
        <v>岡工技ニュース</v>
      </c>
      <c r="C429" t="str">
        <f>"オカコウギ　ニュース"</f>
        <v>オカコウギ　ニュース</v>
      </c>
      <c r="D429" t="str">
        <f>"岡山県工業技術センター"</f>
        <v>岡山県工業技術センター</v>
      </c>
      <c r="E429" t="str">
        <f>"オカヤマケン コウギョウ ギジュツ センター"</f>
        <v>オカヤマケン コウギョウ ギジュツ センター</v>
      </c>
      <c r="F429" t="str">
        <f>""</f>
        <v/>
      </c>
      <c r="G429" t="str">
        <f>"頻度不明"</f>
        <v>頻度不明</v>
      </c>
      <c r="H429" t="str">
        <f>"2002222287851"</f>
        <v>2002222287851</v>
      </c>
      <c r="I429" t="str">
        <f>HYPERLINK("#", "https://opac.libnet.pref.okayama.jp/licsxp-opac/WOpacMsgNewListToTifTilDetailAction.do?tilcod=2002222287851")</f>
        <v>https://opac.libnet.pref.okayama.jp/licsxp-opac/WOpacMsgNewListToTifTilDetailAction.do?tilcod=2002222287851</v>
      </c>
    </row>
    <row r="430" spans="1:9" x14ac:dyDescent="0.4">
      <c r="A430" t="str">
        <f>"岡工試ニュース"</f>
        <v>岡工試ニュース</v>
      </c>
      <c r="B430" s="1" t="str">
        <f t="shared" si="19"/>
        <v>岡工試ニュース</v>
      </c>
      <c r="C430" t="str">
        <f>"オカコウシ　ニュース"</f>
        <v>オカコウシ　ニュース</v>
      </c>
      <c r="D430" t="str">
        <f>"岡山県工業試験場"</f>
        <v>岡山県工業試験場</v>
      </c>
      <c r="E430" t="str">
        <f>"オカヤマケン コウギョウ シケンジョウ"</f>
        <v>オカヤマケン コウギョウ シケンジョウ</v>
      </c>
      <c r="F430" t="str">
        <f>""</f>
        <v/>
      </c>
      <c r="G430" t="str">
        <f>"月刊"</f>
        <v>月刊</v>
      </c>
      <c r="H430" t="str">
        <f>"2002222287861"</f>
        <v>2002222287861</v>
      </c>
      <c r="I430" t="str">
        <f>HYPERLINK("#", "https://opac.libnet.pref.okayama.jp/licsxp-opac/WOpacMsgNewListToTifTilDetailAction.do?tilcod=2002222287861")</f>
        <v>https://opac.libnet.pref.okayama.jp/licsxp-opac/WOpacMsgNewListToTifTilDetailAction.do?tilcod=2002222287861</v>
      </c>
    </row>
    <row r="431" spans="1:9" x14ac:dyDescent="0.4">
      <c r="A431" t="str">
        <f>"〔岡崎嘉平太記念館〕紀要"</f>
        <v>〔岡崎嘉平太記念館〕紀要</v>
      </c>
      <c r="B431" s="1" t="str">
        <f t="shared" si="19"/>
        <v>〔岡崎嘉平太記念館〕紀要</v>
      </c>
      <c r="C431" t="str">
        <f>"オカザキ　カヘイタ　キネンカン　キヨウ"</f>
        <v>オカザキ　カヘイタ　キネンカン　キヨウ</v>
      </c>
      <c r="D431" t="str">
        <f>"岡崎嘉平太記念館"</f>
        <v>岡崎嘉平太記念館</v>
      </c>
      <c r="E431" t="str">
        <f>"オカザキ カヘイタ キネンカン"</f>
        <v>オカザキ カヘイタ キネンカン</v>
      </c>
      <c r="F431" t="str">
        <f>"吉備中央町（加賀郡）"</f>
        <v>吉備中央町（加賀郡）</v>
      </c>
      <c r="G431" t="str">
        <f>"年刊"</f>
        <v>年刊</v>
      </c>
      <c r="H431" t="str">
        <f>"2002222300423"</f>
        <v>2002222300423</v>
      </c>
      <c r="I431" t="str">
        <f>HYPERLINK("#", "https://opac.libnet.pref.okayama.jp/licsxp-opac/WOpacMsgNewListToTifTilDetailAction.do?tilcod=2002222300423")</f>
        <v>https://opac.libnet.pref.okayama.jp/licsxp-opac/WOpacMsgNewListToTifTilDetailAction.do?tilcod=2002222300423</v>
      </c>
    </row>
    <row r="432" spans="1:9" x14ac:dyDescent="0.4">
      <c r="A432" t="str">
        <f>"岡崎嘉平太記念館だより"</f>
        <v>岡崎嘉平太記念館だより</v>
      </c>
      <c r="B432" s="1" t="str">
        <f t="shared" si="19"/>
        <v>岡崎嘉平太記念館だより</v>
      </c>
      <c r="C432" t="str">
        <f>"オカザキ　カヘイタ　キネンカン　ダヨリ"</f>
        <v>オカザキ　カヘイタ　キネンカン　ダヨリ</v>
      </c>
      <c r="D432" t="str">
        <f>"岡崎嘉平太記念館"</f>
        <v>岡崎嘉平太記念館</v>
      </c>
      <c r="E432" t="str">
        <f>"オカザキ カヘイタ キネンカン"</f>
        <v>オカザキ カヘイタ キネンカン</v>
      </c>
      <c r="F432" t="str">
        <f>"加賀"</f>
        <v>加賀</v>
      </c>
      <c r="G432" t="str">
        <f>"年２回刊"</f>
        <v>年２回刊</v>
      </c>
      <c r="H432" t="str">
        <f>"2002222302345"</f>
        <v>2002222302345</v>
      </c>
      <c r="I432" t="str">
        <f>HYPERLINK("#", "https://opac.libnet.pref.okayama.jp/licsxp-opac/WOpacMsgNewListToTifTilDetailAction.do?tilcod=2002222302345")</f>
        <v>https://opac.libnet.pref.okayama.jp/licsxp-opac/WOpacMsgNewListToTifTilDetailAction.do?tilcod=2002222302345</v>
      </c>
    </row>
    <row r="433" spans="1:9" x14ac:dyDescent="0.4">
      <c r="A433" t="str">
        <f>"岡歯会報"</f>
        <v>岡歯会報</v>
      </c>
      <c r="B433" s="1" t="str">
        <f t="shared" si="19"/>
        <v>岡歯会報</v>
      </c>
      <c r="C433" t="str">
        <f>"オカシ　カイホウ"</f>
        <v>オカシ　カイホウ</v>
      </c>
      <c r="D433" t="str">
        <f>"岡山県歯科医師会"</f>
        <v>岡山県歯科医師会</v>
      </c>
      <c r="E433" t="str">
        <f>"オカヤマケン シカ イシカイ"</f>
        <v>オカヤマケン シカ イシカイ</v>
      </c>
      <c r="F433" t="str">
        <f>"岡山"</f>
        <v>岡山</v>
      </c>
      <c r="G433" t="str">
        <f>"月刊"</f>
        <v>月刊</v>
      </c>
      <c r="H433" t="str">
        <f>"2002222284611"</f>
        <v>2002222284611</v>
      </c>
      <c r="I433" t="str">
        <f>HYPERLINK("#", "https://opac.libnet.pref.okayama.jp/licsxp-opac/WOpacMsgNewListToTifTilDetailAction.do?tilcod=2002222284611")</f>
        <v>https://opac.libnet.pref.okayama.jp/licsxp-opac/WOpacMsgNewListToTifTilDetailAction.do?tilcod=2002222284611</v>
      </c>
    </row>
    <row r="434" spans="1:9" x14ac:dyDescent="0.4">
      <c r="A434" t="str">
        <f>"岡大医学部同窓会報"</f>
        <v>岡大医学部同窓会報</v>
      </c>
      <c r="B434" s="1" t="str">
        <f t="shared" si="19"/>
        <v>岡大医学部同窓会報</v>
      </c>
      <c r="C434" t="str">
        <f>"オカダイ　イガクブ　ドウソウ　カイホウ"</f>
        <v>オカダイ　イガクブ　ドウソウ　カイホウ</v>
      </c>
      <c r="D434" t="str">
        <f>"岡大医学部同窓会"</f>
        <v>岡大医学部同窓会</v>
      </c>
      <c r="E434" t="str">
        <f>"オカダイイガクブドウソウカイ"</f>
        <v>オカダイイガクブドウソウカイ</v>
      </c>
      <c r="F434" t="str">
        <f>"岡山"</f>
        <v>岡山</v>
      </c>
      <c r="G434" t="str">
        <f>"頻度不明"</f>
        <v>頻度不明</v>
      </c>
      <c r="H434" t="str">
        <f>"2002222288461"</f>
        <v>2002222288461</v>
      </c>
      <c r="I434" t="str">
        <f>HYPERLINK("#", "https://opac.libnet.pref.okayama.jp/licsxp-opac/WOpacMsgNewListToTifTilDetailAction.do?tilcod=2002222288461")</f>
        <v>https://opac.libnet.pref.okayama.jp/licsxp-opac/WOpacMsgNewListToTifTilDetailAction.do?tilcod=2002222288461</v>
      </c>
    </row>
    <row r="435" spans="1:9" x14ac:dyDescent="0.4">
      <c r="A435" t="str">
        <f>"岡大工化会誌"</f>
        <v>岡大工化会誌</v>
      </c>
      <c r="B435" s="1" t="str">
        <f t="shared" si="19"/>
        <v>岡大工化会誌</v>
      </c>
      <c r="C435" t="str">
        <f>"オカダイ コウカ カイシ"</f>
        <v>オカダイ コウカ カイシ</v>
      </c>
      <c r="D435" t="str">
        <f>"岡山大学工学部化学系同窓会"</f>
        <v>岡山大学工学部化学系同窓会</v>
      </c>
      <c r="E435" t="str">
        <f>"オカヤマ ダイガク　コウガクブ　カガクケイ　ドウソウカイ"</f>
        <v>オカヤマ ダイガク　コウガクブ　カガクケイ　ドウソウカイ</v>
      </c>
      <c r="F435" t="str">
        <f>""</f>
        <v/>
      </c>
      <c r="G435" t="str">
        <f>"頻度不明"</f>
        <v>頻度不明</v>
      </c>
      <c r="H435" t="str">
        <f>"2002222317146"</f>
        <v>2002222317146</v>
      </c>
      <c r="I435" t="str">
        <f>HYPERLINK("#", "https://opac.libnet.pref.okayama.jp/licsxp-opac/WOpacMsgNewListToTifTilDetailAction.do?tilcod=2002222317146")</f>
        <v>https://opac.libnet.pref.okayama.jp/licsxp-opac/WOpacMsgNewListToTifTilDetailAction.do?tilcod=2002222317146</v>
      </c>
    </row>
    <row r="436" spans="1:9" x14ac:dyDescent="0.4">
      <c r="A436" t="str">
        <f>"岡大広報"</f>
        <v>岡大広報</v>
      </c>
      <c r="B436" s="1" t="str">
        <f t="shared" si="19"/>
        <v>岡大広報</v>
      </c>
      <c r="C436" t="str">
        <f>"オカダイ　コウホウ"</f>
        <v>オカダイ　コウホウ</v>
      </c>
      <c r="D436" t="str">
        <f>"岡山大学広報委員会"</f>
        <v>岡山大学広報委員会</v>
      </c>
      <c r="E436" t="str">
        <f>"オカヤマダイガクコウホウイインカイ"</f>
        <v>オカヤマダイガクコウホウイインカイ</v>
      </c>
      <c r="F436" t="str">
        <f t="shared" ref="F436:F441" si="20">"岡山"</f>
        <v>岡山</v>
      </c>
      <c r="G436" t="str">
        <f>"年３回刊"</f>
        <v>年３回刊</v>
      </c>
      <c r="H436" t="str">
        <f>"2002222294671"</f>
        <v>2002222294671</v>
      </c>
      <c r="I436" t="str">
        <f>HYPERLINK("#", "https://opac.libnet.pref.okayama.jp/licsxp-opac/WOpacMsgNewListToTifTilDetailAction.do?tilcod=2002222294671")</f>
        <v>https://opac.libnet.pref.okayama.jp/licsxp-opac/WOpacMsgNewListToTifTilDetailAction.do?tilcod=2002222294671</v>
      </c>
    </row>
    <row r="437" spans="1:9" x14ac:dyDescent="0.4">
      <c r="A437" t="str">
        <f>"岡大国文論稿"</f>
        <v>岡大国文論稿</v>
      </c>
      <c r="B437" s="1" t="str">
        <f t="shared" si="19"/>
        <v>岡大国文論稿</v>
      </c>
      <c r="C437" t="str">
        <f>"オカダイ　コクブン　ロンコウ"</f>
        <v>オカダイ　コクブン　ロンコウ</v>
      </c>
      <c r="D437" t="str">
        <f>"岡山大学言語国語国文学会"</f>
        <v>岡山大学言語国語国文学会</v>
      </c>
      <c r="E437" t="str">
        <f>"オカヤマ ダイガク ゲンゴ コクゴ コクブン ガッカイ"</f>
        <v>オカヤマ ダイガク ゲンゴ コクゴ コクブン ガッカイ</v>
      </c>
      <c r="F437" t="str">
        <f t="shared" si="20"/>
        <v>岡山</v>
      </c>
      <c r="G437" t="str">
        <f>"年刊"</f>
        <v>年刊</v>
      </c>
      <c r="H437" t="str">
        <f>"2002222294231"</f>
        <v>2002222294231</v>
      </c>
      <c r="I437" t="str">
        <f>HYPERLINK("#", "https://opac.libnet.pref.okayama.jp/licsxp-opac/WOpacMsgNewListToTifTilDetailAction.do?tilcod=2002222294231")</f>
        <v>https://opac.libnet.pref.okayama.jp/licsxp-opac/WOpacMsgNewListToTifTilDetailAction.do?tilcod=2002222294231</v>
      </c>
    </row>
    <row r="438" spans="1:9" x14ac:dyDescent="0.4">
      <c r="A438" t="str">
        <f>"岡大ジャーナル"</f>
        <v>岡大ジャーナル</v>
      </c>
      <c r="B438" s="1" t="str">
        <f t="shared" si="19"/>
        <v>岡大ジャーナル</v>
      </c>
      <c r="C438" t="str">
        <f>"オカダイ ジャーナル"</f>
        <v>オカダイ ジャーナル</v>
      </c>
      <c r="D438" t="str">
        <f>"岡大ジャーナル新聞会"</f>
        <v>岡大ジャーナル新聞会</v>
      </c>
      <c r="E438" t="str">
        <f>"オカダイ ジャーナル シンブンカイ"</f>
        <v>オカダイ ジャーナル シンブンカイ</v>
      </c>
      <c r="F438" t="str">
        <f t="shared" si="20"/>
        <v>岡山</v>
      </c>
      <c r="G438" t="str">
        <f>"頻度不明"</f>
        <v>頻度不明</v>
      </c>
      <c r="H438" t="str">
        <f>"2002222331148"</f>
        <v>2002222331148</v>
      </c>
      <c r="I438" t="str">
        <f>HYPERLINK("#", "https://opac.libnet.pref.okayama.jp/licsxp-opac/WOpacMsgNewListToTifTilDetailAction.do?tilcod=2002222331148")</f>
        <v>https://opac.libnet.pref.okayama.jp/licsxp-opac/WOpacMsgNewListToTifTilDetailAction.do?tilcod=2002222331148</v>
      </c>
    </row>
    <row r="439" spans="1:9" x14ac:dyDescent="0.4">
      <c r="A439" t="str">
        <f>"岡大整形外科同窓会誌"</f>
        <v>岡大整形外科同窓会誌</v>
      </c>
      <c r="B439" s="1" t="str">
        <f t="shared" si="19"/>
        <v>岡大整形外科同窓会誌</v>
      </c>
      <c r="C439" t="str">
        <f>"オカダイ　セイケイ　ゲカ　ドウソウ　カイシ"</f>
        <v>オカダイ　セイケイ　ゲカ　ドウソウ　カイシ</v>
      </c>
      <c r="D439" t="str">
        <f>"岡山大学医学部整形外科桃整会"</f>
        <v>岡山大学医学部整形外科桃整会</v>
      </c>
      <c r="E439" t="str">
        <f>"オカヤマダイガクイガクブセイケイゲカトウセイカイ"</f>
        <v>オカヤマダイガクイガクブセイケイゲカトウセイカイ</v>
      </c>
      <c r="F439" t="str">
        <f t="shared" si="20"/>
        <v>岡山</v>
      </c>
      <c r="G439" t="str">
        <f>"年刊"</f>
        <v>年刊</v>
      </c>
      <c r="H439" t="str">
        <f>"2002222288471"</f>
        <v>2002222288471</v>
      </c>
      <c r="I439" t="str">
        <f>HYPERLINK("#", "https://opac.libnet.pref.okayama.jp/licsxp-opac/WOpacMsgNewListToTifTilDetailAction.do?tilcod=2002222288471")</f>
        <v>https://opac.libnet.pref.okayama.jp/licsxp-opac/WOpacMsgNewListToTifTilDetailAction.do?tilcod=2002222288471</v>
      </c>
    </row>
    <row r="440" spans="1:9" x14ac:dyDescent="0.4">
      <c r="A440" t="str">
        <f>"岡大通信教育"</f>
        <v>岡大通信教育</v>
      </c>
      <c r="B440" s="1" t="str">
        <f t="shared" si="19"/>
        <v>岡大通信教育</v>
      </c>
      <c r="C440" t="str">
        <f>"オカダイ ツウシン キョウイク"</f>
        <v>オカダイ ツウシン キョウイク</v>
      </c>
      <c r="D440" t="str">
        <f>"岡山大学教育学部通信教育講座"</f>
        <v>岡山大学教育学部通信教育講座</v>
      </c>
      <c r="E440" t="str">
        <f>"オカヤマダイガクキョウイクガクブツウシンキョウイクコウザ"</f>
        <v>オカヤマダイガクキョウイクガクブツウシンキョウイクコウザ</v>
      </c>
      <c r="F440" t="str">
        <f t="shared" si="20"/>
        <v>岡山</v>
      </c>
      <c r="G440" t="str">
        <f>"頻度不明"</f>
        <v>頻度不明</v>
      </c>
      <c r="H440" t="str">
        <f>"2002222288481"</f>
        <v>2002222288481</v>
      </c>
      <c r="I440" t="str">
        <f>HYPERLINK("#", "https://opac.libnet.pref.okayama.jp/licsxp-opac/WOpacMsgNewListToTifTilDetailAction.do?tilcod=2002222288481")</f>
        <v>https://opac.libnet.pref.okayama.jp/licsxp-opac/WOpacMsgNewListToTifTilDetailAction.do?tilcod=2002222288481</v>
      </c>
    </row>
    <row r="441" spans="1:9" x14ac:dyDescent="0.4">
      <c r="A441" t="str">
        <f>"岡大津島新聞"</f>
        <v>岡大津島新聞</v>
      </c>
      <c r="B441" s="1" t="str">
        <f t="shared" si="19"/>
        <v>岡大津島新聞</v>
      </c>
      <c r="C441" t="str">
        <f>"オカダイ ツシマ シンブン"</f>
        <v>オカダイ ツシマ シンブン</v>
      </c>
      <c r="D441" t="str">
        <f>"岡大津島新聞部"</f>
        <v>岡大津島新聞部</v>
      </c>
      <c r="E441" t="str">
        <f>"オカダイ ツシマ シンブンブ"</f>
        <v>オカダイ ツシマ シンブンブ</v>
      </c>
      <c r="F441" t="str">
        <f t="shared" si="20"/>
        <v>岡山</v>
      </c>
      <c r="G441" t="str">
        <f>"頻度不明"</f>
        <v>頻度不明</v>
      </c>
      <c r="H441" t="str">
        <f>"2002222340731"</f>
        <v>2002222340731</v>
      </c>
      <c r="I441" t="str">
        <f>HYPERLINK("#", "https://opac.libnet.pref.okayama.jp/licsxp-opac/WOpacMsgNewListToTifTilDetailAction.do?tilcod=2002222340731")</f>
        <v>https://opac.libnet.pref.okayama.jp/licsxp-opac/WOpacMsgNewListToTifTilDetailAction.do?tilcod=2002222340731</v>
      </c>
    </row>
    <row r="442" spans="1:9" x14ac:dyDescent="0.4">
      <c r="A442" t="str">
        <f>"岡大三朝分院研究報告"</f>
        <v>岡大三朝分院研究報告</v>
      </c>
      <c r="B442" s="1" t="str">
        <f t="shared" si="19"/>
        <v>岡大三朝分院研究報告</v>
      </c>
      <c r="C442" t="str">
        <f>"オカダイ　ミササ　ブンイン　ケンキュウ　ホウコク"</f>
        <v>オカダイ　ミササ　ブンイン　ケンキュウ　ホウコク</v>
      </c>
      <c r="D442" t="str">
        <f>"岡山大学医学部附属病院三朝分院"</f>
        <v>岡山大学医学部附属病院三朝分院</v>
      </c>
      <c r="E442" t="str">
        <f>"オカヤマダイガクイガクブフゾクビョウインミササブンイン"</f>
        <v>オカヤマダイガクイガクブフゾクビョウインミササブンイン</v>
      </c>
      <c r="F442" t="str">
        <f>"三朝町（鳥取県）"</f>
        <v>三朝町（鳥取県）</v>
      </c>
      <c r="G442" t="str">
        <f>"頻度不明"</f>
        <v>頻度不明</v>
      </c>
      <c r="H442" t="str">
        <f>"2002222281254"</f>
        <v>2002222281254</v>
      </c>
      <c r="I442" t="str">
        <f>HYPERLINK("#", "https://opac.libnet.pref.okayama.jp/licsxp-opac/WOpacMsgNewListToTifTilDetailAction.do?tilcod=2002222281254")</f>
        <v>https://opac.libnet.pref.okayama.jp/licsxp-opac/WOpacMsgNewListToTifTilDetailAction.do?tilcod=2002222281254</v>
      </c>
    </row>
    <row r="443" spans="1:9" x14ac:dyDescent="0.4">
      <c r="A443" t="str">
        <f>"岡鉄情報"</f>
        <v>岡鉄情報</v>
      </c>
      <c r="B443" s="1" t="str">
        <f t="shared" si="19"/>
        <v>岡鉄情報</v>
      </c>
      <c r="C443" t="str">
        <f>"オカテツ　ジョウホウ"</f>
        <v>オカテツ　ジョウホウ</v>
      </c>
      <c r="D443" t="str">
        <f>"岡山鉄道管理局"</f>
        <v>岡山鉄道管理局</v>
      </c>
      <c r="E443" t="str">
        <f>"オカヤマテツドウカンリキョク"</f>
        <v>オカヤマテツドウカンリキョク</v>
      </c>
      <c r="F443" t="str">
        <f>""</f>
        <v/>
      </c>
      <c r="G443" t="str">
        <f>"頻度不明"</f>
        <v>頻度不明</v>
      </c>
      <c r="H443" t="str">
        <f>"2002222287901"</f>
        <v>2002222287901</v>
      </c>
      <c r="I443" t="str">
        <f>HYPERLINK("#", "https://opac.libnet.pref.okayama.jp/licsxp-opac/WOpacMsgNewListToTifTilDetailAction.do?tilcod=2002222287901")</f>
        <v>https://opac.libnet.pref.okayama.jp/licsxp-opac/WOpacMsgNewListToTifTilDetailAction.do?tilcod=2002222287901</v>
      </c>
    </row>
    <row r="444" spans="1:9" x14ac:dyDescent="0.4">
      <c r="A444" t="str">
        <f>"おかてつだより"</f>
        <v>おかてつだより</v>
      </c>
      <c r="B444" s="1" t="str">
        <f t="shared" si="19"/>
        <v>おかてつだより</v>
      </c>
      <c r="C444" t="str">
        <f>"オカテツダヨリ"</f>
        <v>オカテツダヨリ</v>
      </c>
      <c r="D444" t="str">
        <f>"岡山鉄道管理局総務部文書課(広報室)"</f>
        <v>岡山鉄道管理局総務部文書課(広報室)</v>
      </c>
      <c r="E444" t="str">
        <f>"オカヤマテツドウカンリキョクソウムブブンショカコウホウシツ"</f>
        <v>オカヤマテツドウカンリキョクソウムブブンショカコウホウシツ</v>
      </c>
      <c r="F444" t="str">
        <f>"[岡山]"</f>
        <v>[岡山]</v>
      </c>
      <c r="G444" t="str">
        <f>"頻度不明"</f>
        <v>頻度不明</v>
      </c>
      <c r="H444" t="str">
        <f>"2002222324828"</f>
        <v>2002222324828</v>
      </c>
      <c r="I444" t="str">
        <f>HYPERLINK("#", "https://opac.libnet.pref.okayama.jp/licsxp-opac/WOpacMsgNewListToTifTilDetailAction.do?tilcod=2002222324828")</f>
        <v>https://opac.libnet.pref.okayama.jp/licsxp-opac/WOpacMsgNewListToTifTilDetailAction.do?tilcod=2002222324828</v>
      </c>
    </row>
    <row r="445" spans="1:9" x14ac:dyDescent="0.4">
      <c r="A445" t="str">
        <f>"オカニチレジャー情報"</f>
        <v>オカニチレジャー情報</v>
      </c>
      <c r="B445" s="1" t="str">
        <f t="shared" si="19"/>
        <v>オカニチレジャー情報</v>
      </c>
      <c r="C445" t="str">
        <f>"オカニチ　レジャー　ジョウホウ"</f>
        <v>オカニチ　レジャー　ジョウホウ</v>
      </c>
      <c r="D445" t="str">
        <f>"岡山日日新聞社"</f>
        <v>岡山日日新聞社</v>
      </c>
      <c r="E445" t="str">
        <f>"オカヤマニチニチシンブンシャ"</f>
        <v>オカヤマニチニチシンブンシャ</v>
      </c>
      <c r="F445" t="str">
        <f>"岡山"</f>
        <v>岡山</v>
      </c>
      <c r="G445" t="str">
        <f>"季刊"</f>
        <v>季刊</v>
      </c>
      <c r="H445" t="str">
        <f>"2002222302306"</f>
        <v>2002222302306</v>
      </c>
      <c r="I445" t="str">
        <f>HYPERLINK("#", "https://opac.libnet.pref.okayama.jp/licsxp-opac/WOpacMsgNewListToTifTilDetailAction.do?tilcod=2002222302306")</f>
        <v>https://opac.libnet.pref.okayama.jp/licsxp-opac/WOpacMsgNewListToTifTilDetailAction.do?tilcod=2002222302306</v>
      </c>
    </row>
    <row r="446" spans="1:9" x14ac:dyDescent="0.4">
      <c r="A446" t="str">
        <f>"OKAPITAL JOURNAL"</f>
        <v>OKAPITAL JOURNAL</v>
      </c>
      <c r="B446" s="1" t="str">
        <f t="shared" si="19"/>
        <v>OKAPITAL JOURNAL</v>
      </c>
      <c r="C446" t="str">
        <f>"オカピタル ジャーナル"</f>
        <v>オカピタル ジャーナル</v>
      </c>
      <c r="D446" t="str">
        <f>"KAPITAL"</f>
        <v>KAPITAL</v>
      </c>
      <c r="E446" t="str">
        <f>"キャピタル"</f>
        <v>キャピタル</v>
      </c>
      <c r="F446" t="str">
        <f>"倉敷"</f>
        <v>倉敷</v>
      </c>
      <c r="G446" t="str">
        <f>"頻度不明"</f>
        <v>頻度不明</v>
      </c>
      <c r="H446" t="str">
        <f>"2002222322148"</f>
        <v>2002222322148</v>
      </c>
      <c r="I446" t="str">
        <f>HYPERLINK("#", "https://opac.libnet.pref.okayama.jp/licsxp-opac/WOpacMsgNewListToTifTilDetailAction.do?tilcod=2002222322148")</f>
        <v>https://opac.libnet.pref.okayama.jp/licsxp-opac/WOpacMsgNewListToTifTilDetailAction.do?tilcod=2002222322148</v>
      </c>
    </row>
    <row r="447" spans="1:9" x14ac:dyDescent="0.4">
      <c r="A447" t="str">
        <f>"岡病だより"</f>
        <v>岡病だより</v>
      </c>
      <c r="B447" s="1" t="str">
        <f t="shared" si="19"/>
        <v>岡病だより</v>
      </c>
      <c r="C447" t="str">
        <f>"オカビョウ ダヨリ"</f>
        <v>オカビョウ ダヨリ</v>
      </c>
      <c r="D447" t="str">
        <f>"岡山鉄道病院"</f>
        <v>岡山鉄道病院</v>
      </c>
      <c r="E447" t="str">
        <f>"オカヤマ テツドウ ビョウイン"</f>
        <v>オカヤマ テツドウ ビョウイン</v>
      </c>
      <c r="F447" t="str">
        <f>""</f>
        <v/>
      </c>
      <c r="G447" t="str">
        <f>"月刊"</f>
        <v>月刊</v>
      </c>
      <c r="H447" t="str">
        <f>"2002222331427"</f>
        <v>2002222331427</v>
      </c>
      <c r="I447" t="str">
        <f>HYPERLINK("#", "https://opac.libnet.pref.okayama.jp/licsxp-opac/WOpacMsgNewListToTifTilDetailAction.do?tilcod=2002222331427")</f>
        <v>https://opac.libnet.pref.okayama.jp/licsxp-opac/WOpacMsgNewListToTifTilDetailAction.do?tilcod=2002222331427</v>
      </c>
    </row>
    <row r="448" spans="1:9" x14ac:dyDescent="0.4">
      <c r="A448" t="str">
        <f>"岡放技ニュース"</f>
        <v>岡放技ニュース</v>
      </c>
      <c r="B448" s="1" t="str">
        <f t="shared" si="19"/>
        <v>岡放技ニュース</v>
      </c>
      <c r="C448" t="str">
        <f>"オカホウギ ニュース"</f>
        <v>オカホウギ ニュース</v>
      </c>
      <c r="D448" t="str">
        <f>"岡山県診療放射線技師会"</f>
        <v>岡山県診療放射線技師会</v>
      </c>
      <c r="E448" t="str">
        <f>"オカヤマケン シンリョウ ホウシャセン ギシ カイ"</f>
        <v>オカヤマケン シンリョウ ホウシャセン ギシ カイ</v>
      </c>
      <c r="F448" t="str">
        <f>"岡山"</f>
        <v>岡山</v>
      </c>
      <c r="G448" t="str">
        <f>"月刊"</f>
        <v>月刊</v>
      </c>
      <c r="H448" t="str">
        <f>"2002222313827"</f>
        <v>2002222313827</v>
      </c>
      <c r="I448" t="str">
        <f>HYPERLINK("#", "https://opac.libnet.pref.okayama.jp/licsxp-opac/WOpacMsgNewListToTifTilDetailAction.do?tilcod=2002222313827")</f>
        <v>https://opac.libnet.pref.okayama.jp/licsxp-opac/WOpacMsgNewListToTifTilDetailAction.do?tilcod=2002222313827</v>
      </c>
    </row>
    <row r="449" spans="1:9" x14ac:dyDescent="0.4">
      <c r="A449" t="str">
        <f>"おかめ"</f>
        <v>おかめ</v>
      </c>
      <c r="B449" s="1" t="str">
        <f t="shared" si="19"/>
        <v>おかめ</v>
      </c>
      <c r="C449" t="str">
        <f>"オカメ"</f>
        <v>オカメ</v>
      </c>
      <c r="D449" t="str">
        <f>"オーエム工業"</f>
        <v>オーエム工業</v>
      </c>
      <c r="E449" t="str">
        <f>"オーエム コウギョウ"</f>
        <v>オーエム コウギョウ</v>
      </c>
      <c r="F449" t="str">
        <f>""</f>
        <v/>
      </c>
      <c r="G449" t="str">
        <f>"頻度不明"</f>
        <v>頻度不明</v>
      </c>
      <c r="H449" t="str">
        <f>"2002222287911"</f>
        <v>2002222287911</v>
      </c>
      <c r="I449" t="str">
        <f>HYPERLINK("#", "https://opac.libnet.pref.okayama.jp/licsxp-opac/WOpacMsgNewListToTifTilDetailAction.do?tilcod=2002222287911")</f>
        <v>https://opac.libnet.pref.okayama.jp/licsxp-opac/WOpacMsgNewListToTifTilDetailAction.do?tilcod=2002222287911</v>
      </c>
    </row>
    <row r="450" spans="1:9" x14ac:dyDescent="0.4">
      <c r="A450" t="str">
        <f>"岡夜中通信"</f>
        <v>岡夜中通信</v>
      </c>
      <c r="B450" s="1" t="str">
        <f t="shared" si="19"/>
        <v>岡夜中通信</v>
      </c>
      <c r="C450" t="str">
        <f>"オカヤチュウ ツウシン"</f>
        <v>オカヤチュウ ツウシン</v>
      </c>
      <c r="D450" t="str">
        <f>"岡山に夜間中学校をつくる会"</f>
        <v>岡山に夜間中学校をつくる会</v>
      </c>
      <c r="E450" t="str">
        <f>"オカヤマ ニ ヤカン チュウガッコウ オ ツクル カイ"</f>
        <v>オカヤマ ニ ヤカン チュウガッコウ オ ツクル カイ</v>
      </c>
      <c r="F450" t="str">
        <f>"岡山"</f>
        <v>岡山</v>
      </c>
      <c r="G450" t="str">
        <f>"年２回刊"</f>
        <v>年２回刊</v>
      </c>
      <c r="H450" t="str">
        <f>"2002222335587"</f>
        <v>2002222335587</v>
      </c>
      <c r="I450" t="str">
        <f>HYPERLINK("#", "https://opac.libnet.pref.okayama.jp/licsxp-opac/WOpacMsgNewListToTifTilDetailAction.do?tilcod=2002222335587")</f>
        <v>https://opac.libnet.pref.okayama.jp/licsxp-opac/WOpacMsgNewListToTifTilDetailAction.do?tilcod=2002222335587</v>
      </c>
    </row>
    <row r="451" spans="1:9" x14ac:dyDescent="0.4">
      <c r="A451" t="str">
        <f>"おかやま"</f>
        <v>おかやま</v>
      </c>
      <c r="B451" s="1" t="str">
        <f t="shared" si="19"/>
        <v>おかやま</v>
      </c>
      <c r="C451" t="str">
        <f>"オカヤマ"</f>
        <v>オカヤマ</v>
      </c>
      <c r="D451" t="str">
        <f>"岡山県広報協会"</f>
        <v>岡山県広報協会</v>
      </c>
      <c r="E451" t="str">
        <f>"オカヤマケン コウホウ キョウカイ"</f>
        <v>オカヤマケン コウホウ キョウカイ</v>
      </c>
      <c r="F451" t="str">
        <f>""</f>
        <v/>
      </c>
      <c r="G451" t="str">
        <f>"月刊"</f>
        <v>月刊</v>
      </c>
      <c r="H451" t="str">
        <f>"2002222287931"</f>
        <v>2002222287931</v>
      </c>
      <c r="I451" t="str">
        <f>HYPERLINK("#", "https://opac.libnet.pref.okayama.jp/licsxp-opac/WOpacMsgNewListToTifTilDetailAction.do?tilcod=2002222287931")</f>
        <v>https://opac.libnet.pref.okayama.jp/licsxp-opac/WOpacMsgNewListToTifTilDetailAction.do?tilcod=2002222287931</v>
      </c>
    </row>
    <row r="452" spans="1:9" x14ac:dyDescent="0.4">
      <c r="A452" t="str">
        <f>"をか山"</f>
        <v>をか山</v>
      </c>
      <c r="B452" s="1" t="str">
        <f t="shared" ref="B452:B515" si="21">HYPERLINK("#", A452)</f>
        <v>をか山</v>
      </c>
      <c r="C452" t="str">
        <f>"オカヤマ"</f>
        <v>オカヤマ</v>
      </c>
      <c r="D452" t="str">
        <f>"をか山詩社"</f>
        <v>をか山詩社</v>
      </c>
      <c r="E452" t="str">
        <f>"オカヤマシシャ"</f>
        <v>オカヤマシシャ</v>
      </c>
      <c r="F452" t="str">
        <f>""</f>
        <v/>
      </c>
      <c r="G452" t="str">
        <f>"頻度不明"</f>
        <v>頻度不明</v>
      </c>
      <c r="H452" t="str">
        <f>"2002222287941"</f>
        <v>2002222287941</v>
      </c>
      <c r="I452" t="str">
        <f>HYPERLINK("#", "https://opac.libnet.pref.okayama.jp/licsxp-opac/WOpacMsgNewListToTifTilDetailAction.do?tilcod=2002222287941")</f>
        <v>https://opac.libnet.pref.okayama.jp/licsxp-opac/WOpacMsgNewListToTifTilDetailAction.do?tilcod=2002222287941</v>
      </c>
    </row>
    <row r="453" spans="1:9" x14ac:dyDescent="0.4">
      <c r="A453" t="str">
        <f>"岡山"</f>
        <v>岡山</v>
      </c>
      <c r="B453" s="1" t="str">
        <f t="shared" si="21"/>
        <v>岡山</v>
      </c>
      <c r="C453" t="str">
        <f>"オカヤマ"</f>
        <v>オカヤマ</v>
      </c>
      <c r="D453" t="str">
        <f>"岡山社"</f>
        <v>岡山社</v>
      </c>
      <c r="E453" t="str">
        <f>"オカヤマシャ"</f>
        <v>オカヤマシャ</v>
      </c>
      <c r="F453" t="str">
        <f>"倉敷町（都窪郡）"</f>
        <v>倉敷町（都窪郡）</v>
      </c>
      <c r="G453" t="str">
        <f>"月刊"</f>
        <v>月刊</v>
      </c>
      <c r="H453" t="str">
        <f>"2002222301833"</f>
        <v>2002222301833</v>
      </c>
      <c r="I453" t="str">
        <f>HYPERLINK("#", "https://opac.libnet.pref.okayama.jp/licsxp-opac/WOpacMsgNewListToTifTilDetailAction.do?tilcod=2002222301833")</f>
        <v>https://opac.libnet.pref.okayama.jp/licsxp-opac/WOpacMsgNewListToTifTilDetailAction.do?tilcod=2002222301833</v>
      </c>
    </row>
    <row r="454" spans="1:9" x14ac:dyDescent="0.4">
      <c r="A454" t="str">
        <f>"おかやま"</f>
        <v>おかやま</v>
      </c>
      <c r="B454" s="1" t="str">
        <f t="shared" si="21"/>
        <v>おかやま</v>
      </c>
      <c r="C454" t="str">
        <f>"オカヤマ"</f>
        <v>オカヤマ</v>
      </c>
      <c r="D454" t="str">
        <f>"おかやま出版社"</f>
        <v>おかやま出版社</v>
      </c>
      <c r="E454" t="str">
        <f>"オカヤマシュッパンシャ"</f>
        <v>オカヤマシュッパンシャ</v>
      </c>
      <c r="F454" t="str">
        <f>""</f>
        <v/>
      </c>
      <c r="G454" t="str">
        <f>"頻度不明"</f>
        <v>頻度不明</v>
      </c>
      <c r="H454" t="str">
        <f>"2002222287921"</f>
        <v>2002222287921</v>
      </c>
      <c r="I454" t="str">
        <f>HYPERLINK("#", "https://opac.libnet.pref.okayama.jp/licsxp-opac/WOpacMsgNewListToTifTilDetailAction.do?tilcod=2002222287921")</f>
        <v>https://opac.libnet.pref.okayama.jp/licsxp-opac/WOpacMsgNewListToTifTilDetailAction.do?tilcod=2002222287921</v>
      </c>
    </row>
    <row r="455" spans="1:9" x14ac:dyDescent="0.4">
      <c r="A455" t="str">
        <f>"岡山東支援学校学校案内"</f>
        <v>岡山東支援学校学校案内</v>
      </c>
      <c r="B455" s="1" t="str">
        <f t="shared" si="21"/>
        <v>岡山東支援学校学校案内</v>
      </c>
      <c r="C455" t="str">
        <f>"オカヤマ　　ヒガシ　シエン　ガッコウ　ガッコウ　アンナイ"</f>
        <v>オカヤマ　　ヒガシ　シエン　ガッコウ　ガッコウ　アンナイ</v>
      </c>
      <c r="D455" t="str">
        <f>"岡山東支援学校"</f>
        <v>岡山東支援学校</v>
      </c>
      <c r="E455" t="str">
        <f>"オカヤマ ヒガシ シエン ガッコウ"</f>
        <v>オカヤマ ヒガシ シエン ガッコウ</v>
      </c>
      <c r="F455" t="str">
        <f t="shared" ref="F455:F464" si="22">"岡山"</f>
        <v>岡山</v>
      </c>
      <c r="G455" t="str">
        <f>"隔年刊"</f>
        <v>隔年刊</v>
      </c>
      <c r="H455" t="str">
        <f>"2002222307287"</f>
        <v>2002222307287</v>
      </c>
      <c r="I455" t="str">
        <f>HYPERLINK("#", "https://opac.libnet.pref.okayama.jp/licsxp-opac/WOpacMsgNewListToTifTilDetailAction.do?tilcod=2002222307287")</f>
        <v>https://opac.libnet.pref.okayama.jp/licsxp-opac/WOpacMsgNewListToTifTilDetailAction.do?tilcod=2002222307287</v>
      </c>
    </row>
    <row r="456" spans="1:9" x14ac:dyDescent="0.4">
      <c r="A456" t="str">
        <f>"おかやま愛護(複製)"</f>
        <v>おかやま愛護(複製)</v>
      </c>
      <c r="B456" s="1" t="str">
        <f t="shared" si="21"/>
        <v>おかやま愛護(複製)</v>
      </c>
      <c r="C456" t="str">
        <f>"オカヤマ アイゴ"</f>
        <v>オカヤマ アイゴ</v>
      </c>
      <c r="D456" t="str">
        <f>"岡山県精神薄弱者愛護協会"</f>
        <v>岡山県精神薄弱者愛護協会</v>
      </c>
      <c r="E456" t="str">
        <f>"オカヤマケンセイシンハクジャクシャアイゴキョウカイ"</f>
        <v>オカヤマケンセイシンハクジャクシャアイゴキョウカイ</v>
      </c>
      <c r="F456" t="str">
        <f t="shared" si="22"/>
        <v>岡山</v>
      </c>
      <c r="G456" t="str">
        <f>"年３回刊"</f>
        <v>年３回刊</v>
      </c>
      <c r="H456" t="str">
        <f>"2002222321168"</f>
        <v>2002222321168</v>
      </c>
      <c r="I456" t="str">
        <f>HYPERLINK("#", "https://opac.libnet.pref.okayama.jp/licsxp-opac/WOpacMsgNewListToTifTilDetailAction.do?tilcod=2002222321168")</f>
        <v>https://opac.libnet.pref.okayama.jp/licsxp-opac/WOpacMsgNewListToTifTilDetailAction.do?tilcod=2002222321168</v>
      </c>
    </row>
    <row r="457" spans="1:9" x14ac:dyDescent="0.4">
      <c r="A457" t="str">
        <f>"おかやま愛護"</f>
        <v>おかやま愛護</v>
      </c>
      <c r="B457" s="1" t="str">
        <f t="shared" si="21"/>
        <v>おかやま愛護</v>
      </c>
      <c r="C457" t="str">
        <f>"オカヤマ アイゴ"</f>
        <v>オカヤマ アイゴ</v>
      </c>
      <c r="D457" t="str">
        <f>"岡山県精神薄弱者愛護協会"</f>
        <v>岡山県精神薄弱者愛護協会</v>
      </c>
      <c r="E457" t="str">
        <f>"オカヤマケンセイシンハクジャクシャアイゴキョウカイ"</f>
        <v>オカヤマケンセイシンハクジャクシャアイゴキョウカイ</v>
      </c>
      <c r="F457" t="str">
        <f t="shared" si="22"/>
        <v>岡山</v>
      </c>
      <c r="G457" t="str">
        <f>"頻度不明"</f>
        <v>頻度不明</v>
      </c>
      <c r="H457" t="str">
        <f>"2002222287951"</f>
        <v>2002222287951</v>
      </c>
      <c r="I457" t="str">
        <f>HYPERLINK("#", "https://opac.libnet.pref.okayama.jp/licsxp-opac/WOpacMsgNewListToTifTilDetailAction.do?tilcod=2002222287951")</f>
        <v>https://opac.libnet.pref.okayama.jp/licsxp-opac/WOpacMsgNewListToTifTilDetailAction.do?tilcod=2002222287951</v>
      </c>
    </row>
    <row r="458" spans="1:9" x14ac:dyDescent="0.4">
      <c r="A458" t="str">
        <f>"岡山朝日研究紀要"</f>
        <v>岡山朝日研究紀要</v>
      </c>
      <c r="B458" s="1" t="str">
        <f t="shared" si="21"/>
        <v>岡山朝日研究紀要</v>
      </c>
      <c r="C458" t="str">
        <f>"オカヤマ　アサヒ　ケンキュウ　キヨウ"</f>
        <v>オカヤマ　アサヒ　ケンキュウ　キヨウ</v>
      </c>
      <c r="D458" t="str">
        <f>"岡山朝日高等学校"</f>
        <v>岡山朝日高等学校</v>
      </c>
      <c r="E458" t="str">
        <f>"オカヤマ アサヒ コウトウ ガッコウ"</f>
        <v>オカヤマ アサヒ コウトウ ガッコウ</v>
      </c>
      <c r="F458" t="str">
        <f t="shared" si="22"/>
        <v>岡山</v>
      </c>
      <c r="G458" t="str">
        <f>"年刊"</f>
        <v>年刊</v>
      </c>
      <c r="H458" t="str">
        <f>"2002222280061"</f>
        <v>2002222280061</v>
      </c>
      <c r="I458" t="str">
        <f>HYPERLINK("#", "https://opac.libnet.pref.okayama.jp/licsxp-opac/WOpacMsgNewListToTifTilDetailAction.do?tilcod=2002222280061")</f>
        <v>https://opac.libnet.pref.okayama.jp/licsxp-opac/WOpacMsgNewListToTifTilDetailAction.do?tilcod=2002222280061</v>
      </c>
    </row>
    <row r="459" spans="1:9" x14ac:dyDescent="0.4">
      <c r="A459" t="str">
        <f>"岡山朝日高校新聞"</f>
        <v>岡山朝日高校新聞</v>
      </c>
      <c r="B459" s="1" t="str">
        <f t="shared" si="21"/>
        <v>岡山朝日高校新聞</v>
      </c>
      <c r="C459" t="str">
        <f>"オカヤマ アサヒ コウコウ シンブン"</f>
        <v>オカヤマ アサヒ コウコウ シンブン</v>
      </c>
      <c r="D459" t="str">
        <f>"朝日高校新聞部"</f>
        <v>朝日高校新聞部</v>
      </c>
      <c r="E459" t="str">
        <f>"アサヒ コウコウ シンブンブ"</f>
        <v>アサヒ コウコウ シンブンブ</v>
      </c>
      <c r="F459" t="str">
        <f t="shared" si="22"/>
        <v>岡山</v>
      </c>
      <c r="G459" t="str">
        <f>"頻度不明"</f>
        <v>頻度不明</v>
      </c>
      <c r="H459" t="str">
        <f>"2002222301946"</f>
        <v>2002222301946</v>
      </c>
      <c r="I459" t="str">
        <f>HYPERLINK("#", "https://opac.libnet.pref.okayama.jp/licsxp-opac/WOpacMsgNewListToTifTilDetailAction.do?tilcod=2002222301946")</f>
        <v>https://opac.libnet.pref.okayama.jp/licsxp-opac/WOpacMsgNewListToTifTilDetailAction.do?tilcod=2002222301946</v>
      </c>
    </row>
    <row r="460" spans="1:9" x14ac:dyDescent="0.4">
      <c r="A460" t="str">
        <f>"岡山朝日高校同窓会会報 朝日"</f>
        <v>岡山朝日高校同窓会会報 朝日</v>
      </c>
      <c r="B460" s="1" t="str">
        <f t="shared" si="21"/>
        <v>岡山朝日高校同窓会会報 朝日</v>
      </c>
      <c r="C460" t="str">
        <f>"オカヤマ アサヒ コウコウ ドウソウカイ カイホウ アサヒ"</f>
        <v>オカヤマ アサヒ コウコウ ドウソウカイ カイホウ アサヒ</v>
      </c>
      <c r="D460" t="str">
        <f>"岡山朝日高校同窓会"</f>
        <v>岡山朝日高校同窓会</v>
      </c>
      <c r="E460" t="str">
        <f>"オカヤマアサヒコウコウドウソウカイ"</f>
        <v>オカヤマアサヒコウコウドウソウカイ</v>
      </c>
      <c r="F460" t="str">
        <f t="shared" si="22"/>
        <v>岡山</v>
      </c>
      <c r="G460" t="str">
        <f>"頻度不明"</f>
        <v>頻度不明</v>
      </c>
      <c r="H460" t="str">
        <f>"2002222319347"</f>
        <v>2002222319347</v>
      </c>
      <c r="I460" t="str">
        <f>HYPERLINK("#", "https://opac.libnet.pref.okayama.jp/licsxp-opac/WOpacMsgNewListToTifTilDetailAction.do?tilcod=2002222319347")</f>
        <v>https://opac.libnet.pref.okayama.jp/licsxp-opac/WOpacMsgNewListToTifTilDetailAction.do?tilcod=2002222319347</v>
      </c>
    </row>
    <row r="461" spans="1:9" x14ac:dyDescent="0.4">
      <c r="A461" t="str">
        <f>"岡山朝日高校図書館報"</f>
        <v>岡山朝日高校図書館報</v>
      </c>
      <c r="B461" s="1" t="str">
        <f t="shared" si="21"/>
        <v>岡山朝日高校図書館報</v>
      </c>
      <c r="C461" t="str">
        <f>"オカヤマ アサヒ コウコウ トショカンポウ"</f>
        <v>オカヤマ アサヒ コウコウ トショカンポウ</v>
      </c>
      <c r="D461" t="str">
        <f>"岡山朝日高等学校図書委員会広報班"</f>
        <v>岡山朝日高等学校図書委員会広報班</v>
      </c>
      <c r="E461" t="str">
        <f>"オカヤマアサヒコウトウガッコウトショイインカイコウホウハン"</f>
        <v>オカヤマアサヒコウトウガッコウトショイインカイコウホウハン</v>
      </c>
      <c r="F461" t="str">
        <f t="shared" si="22"/>
        <v>岡山</v>
      </c>
      <c r="G461" t="str">
        <f>"頻度不明"</f>
        <v>頻度不明</v>
      </c>
      <c r="H461" t="str">
        <f>"2002222301855"</f>
        <v>2002222301855</v>
      </c>
      <c r="I461" t="str">
        <f>HYPERLINK("#", "https://opac.libnet.pref.okayama.jp/licsxp-opac/WOpacMsgNewListToTifTilDetailAction.do?tilcod=2002222301855")</f>
        <v>https://opac.libnet.pref.okayama.jp/licsxp-opac/WOpacMsgNewListToTifTilDetailAction.do?tilcod=2002222301855</v>
      </c>
    </row>
    <row r="462" spans="1:9" x14ac:dyDescent="0.4">
      <c r="A462" t="str">
        <f>"[岡山朝日高等学校]朝日文学"</f>
        <v>[岡山朝日高等学校]朝日文学</v>
      </c>
      <c r="B462" s="1" t="str">
        <f t="shared" si="21"/>
        <v>[岡山朝日高等学校]朝日文学</v>
      </c>
      <c r="C462" t="str">
        <f>"オカヤマ アサヒ コウトウ ガッコウ アサヒ ブンガク"</f>
        <v>オカヤマ アサヒ コウトウ ガッコウ アサヒ ブンガク</v>
      </c>
      <c r="D462" t="str">
        <f>"岡山朝日高等学校文学部"</f>
        <v>岡山朝日高等学校文学部</v>
      </c>
      <c r="E462" t="str">
        <f>"オカヤマアサヒコウトウガッコウブンガクブ"</f>
        <v>オカヤマアサヒコウトウガッコウブンガクブ</v>
      </c>
      <c r="F462" t="str">
        <f t="shared" si="22"/>
        <v>岡山</v>
      </c>
      <c r="G462" t="str">
        <f>"年刊"</f>
        <v>年刊</v>
      </c>
      <c r="H462" t="str">
        <f>"2002222301643"</f>
        <v>2002222301643</v>
      </c>
      <c r="I462" t="str">
        <f>HYPERLINK("#", "https://opac.libnet.pref.okayama.jp/licsxp-opac/WOpacMsgNewListToTifTilDetailAction.do?tilcod=2002222301643")</f>
        <v>https://opac.libnet.pref.okayama.jp/licsxp-opac/WOpacMsgNewListToTifTilDetailAction.do?tilcod=2002222301643</v>
      </c>
    </row>
    <row r="463" spans="1:9" x14ac:dyDescent="0.4">
      <c r="A463" t="str">
        <f>"岡山朝日高等学校学校案内"</f>
        <v>岡山朝日高等学校学校案内</v>
      </c>
      <c r="B463" s="1" t="str">
        <f t="shared" si="21"/>
        <v>岡山朝日高等学校学校案内</v>
      </c>
      <c r="C463" t="str">
        <f>"オカヤマ　アサヒ　コウトウ　ガッコウ　ガッコウ　アンナイ"</f>
        <v>オカヤマ　アサヒ　コウトウ　ガッコウ　ガッコウ　アンナイ</v>
      </c>
      <c r="D463" t="str">
        <f>"岡山朝日高等学校"</f>
        <v>岡山朝日高等学校</v>
      </c>
      <c r="E463" t="str">
        <f>"オカヤマ アサヒ コウトウ ガッコウ"</f>
        <v>オカヤマ アサヒ コウトウ ガッコウ</v>
      </c>
      <c r="F463" t="str">
        <f t="shared" si="22"/>
        <v>岡山</v>
      </c>
      <c r="G463" t="str">
        <f>"年刊"</f>
        <v>年刊</v>
      </c>
      <c r="H463" t="str">
        <f>"2002222301170"</f>
        <v>2002222301170</v>
      </c>
      <c r="I463" t="str">
        <f>HYPERLINK("#", "https://opac.libnet.pref.okayama.jp/licsxp-opac/WOpacMsgNewListToTifTilDetailAction.do?tilcod=2002222301170")</f>
        <v>https://opac.libnet.pref.okayama.jp/licsxp-opac/WOpacMsgNewListToTifTilDetailAction.do?tilcod=2002222301170</v>
      </c>
    </row>
    <row r="464" spans="1:9" x14ac:dyDescent="0.4">
      <c r="A464" t="str">
        <f>"岡山朝日高等学校学校要覧"</f>
        <v>岡山朝日高等学校学校要覧</v>
      </c>
      <c r="B464" s="1" t="str">
        <f t="shared" si="21"/>
        <v>岡山朝日高等学校学校要覧</v>
      </c>
      <c r="C464" t="str">
        <f>"オカヤマ　アサヒ　コウトウ　ガッコウ　ガッコウ　ヨウラン"</f>
        <v>オカヤマ　アサヒ　コウトウ　ガッコウ　ガッコウ　ヨウラン</v>
      </c>
      <c r="D464" t="str">
        <f>"岡山朝日高等学校"</f>
        <v>岡山朝日高等学校</v>
      </c>
      <c r="E464" t="str">
        <f>"オカヤマ アサヒ コウトウ ガッコウ"</f>
        <v>オカヤマ アサヒ コウトウ ガッコウ</v>
      </c>
      <c r="F464" t="str">
        <f t="shared" si="22"/>
        <v>岡山</v>
      </c>
      <c r="G464" t="str">
        <f>"年刊"</f>
        <v>年刊</v>
      </c>
      <c r="H464" t="str">
        <f>"2002222300478"</f>
        <v>2002222300478</v>
      </c>
      <c r="I464" t="str">
        <f>HYPERLINK("#", "https://opac.libnet.pref.okayama.jp/licsxp-opac/WOpacMsgNewListToTifTilDetailAction.do?tilcod=2002222300478")</f>
        <v>https://opac.libnet.pref.okayama.jp/licsxp-opac/WOpacMsgNewListToTifTilDetailAction.do?tilcod=2002222300478</v>
      </c>
    </row>
    <row r="465" spans="1:9" x14ac:dyDescent="0.4">
      <c r="A465" t="str">
        <f>"岡山アララギ歌会"</f>
        <v>岡山アララギ歌会</v>
      </c>
      <c r="B465" s="1" t="str">
        <f t="shared" si="21"/>
        <v>岡山アララギ歌会</v>
      </c>
      <c r="C465" t="str">
        <f>"オカヤマ　アララギカカイ"</f>
        <v>オカヤマ　アララギカカイ</v>
      </c>
      <c r="D465" t="str">
        <f>"岡山アララギ歌会"</f>
        <v>岡山アララギ歌会</v>
      </c>
      <c r="E465" t="str">
        <f>"オカヤマアララギカカイ"</f>
        <v>オカヤマアララギカカイ</v>
      </c>
      <c r="F465" t="str">
        <f>""</f>
        <v/>
      </c>
      <c r="G465" t="str">
        <f>"頻度不明"</f>
        <v>頻度不明</v>
      </c>
      <c r="H465" t="str">
        <f>"2002222289141"</f>
        <v>2002222289141</v>
      </c>
      <c r="I465" t="str">
        <f>HYPERLINK("#", "https://opac.libnet.pref.okayama.jp/licsxp-opac/WOpacMsgNewListToTifTilDetailAction.do?tilcod=2002222289141")</f>
        <v>https://opac.libnet.pref.okayama.jp/licsxp-opac/WOpacMsgNewListToTifTilDetailAction.do?tilcod=2002222289141</v>
      </c>
    </row>
    <row r="466" spans="1:9" x14ac:dyDescent="0.4">
      <c r="A466" t="str">
        <f>"〔岡山医科大学附属医院〕常盤会誌"</f>
        <v>〔岡山医科大学附属医院〕常盤会誌</v>
      </c>
      <c r="B466" s="1" t="str">
        <f t="shared" si="21"/>
        <v>〔岡山医科大学附属医院〕常盤会誌</v>
      </c>
      <c r="C466" t="str">
        <f>"オカヤマ　イカ　ダイガク　フゾク　イイン＊トキワカイ　シ"</f>
        <v>オカヤマ　イカ　ダイガク　フゾク　イイン＊トキワカイ　シ</v>
      </c>
      <c r="D466" t="str">
        <f>"岡山医科大学附属医院常盤会"</f>
        <v>岡山医科大学附属医院常盤会</v>
      </c>
      <c r="E466" t="str">
        <f>"オカヤマ　イカ　ダイガク　フゾク　イイン　トキワカイ"</f>
        <v>オカヤマ　イカ　ダイガク　フゾク　イイン　トキワカイ</v>
      </c>
      <c r="F466" t="str">
        <f>""</f>
        <v/>
      </c>
      <c r="G466" t="str">
        <f>"頻度不明"</f>
        <v>頻度不明</v>
      </c>
      <c r="H466" t="str">
        <f>"2002222280894"</f>
        <v>2002222280894</v>
      </c>
      <c r="I466" t="str">
        <f>HYPERLINK("#", "https://opac.libnet.pref.okayama.jp/licsxp-opac/WOpacMsgNewListToTifTilDetailAction.do?tilcod=2002222280894")</f>
        <v>https://opac.libnet.pref.okayama.jp/licsxp-opac/WOpacMsgNewListToTifTilDetailAction.do?tilcod=2002222280894</v>
      </c>
    </row>
    <row r="467" spans="1:9" x14ac:dyDescent="0.4">
      <c r="A467" t="str">
        <f>"岡山医学会雑誌"</f>
        <v>岡山医学会雑誌</v>
      </c>
      <c r="B467" s="1" t="str">
        <f t="shared" si="21"/>
        <v>岡山医学会雑誌</v>
      </c>
      <c r="C467" t="str">
        <f>"オカヤマ　イガクカイ　ザッシ"</f>
        <v>オカヤマ　イガクカイ　ザッシ</v>
      </c>
      <c r="D467" t="str">
        <f>"岡山医学会"</f>
        <v>岡山医学会</v>
      </c>
      <c r="E467" t="str">
        <f>"オカヤマ イガクカイ"</f>
        <v>オカヤマ イガクカイ</v>
      </c>
      <c r="F467" t="str">
        <f>"岡山"</f>
        <v>岡山</v>
      </c>
      <c r="G467" t="str">
        <f>"その他"</f>
        <v>その他</v>
      </c>
      <c r="H467" t="str">
        <f>"2002222285001"</f>
        <v>2002222285001</v>
      </c>
      <c r="I467" t="str">
        <f>HYPERLINK("#", "https://opac.libnet.pref.okayama.jp/licsxp-opac/WOpacMsgNewListToTifTilDetailAction.do?tilcod=2002222285001")</f>
        <v>https://opac.libnet.pref.okayama.jp/licsxp-opac/WOpacMsgNewListToTifTilDetailAction.do?tilcod=2002222285001</v>
      </c>
    </row>
    <row r="468" spans="1:9" x14ac:dyDescent="0.4">
      <c r="A468" t="str">
        <f>"岡山磯連だより"</f>
        <v>岡山磯連だより</v>
      </c>
      <c r="B468" s="1" t="str">
        <f t="shared" si="21"/>
        <v>岡山磯連だより</v>
      </c>
      <c r="C468" t="str">
        <f>"オカヤマ　イソレン　ダヨリ"</f>
        <v>オカヤマ　イソレン　ダヨリ</v>
      </c>
      <c r="D468" t="str">
        <f>"岡山県磯釣連合会"</f>
        <v>岡山県磯釣連合会</v>
      </c>
      <c r="E468" t="str">
        <f>"オカヤマケンイソツリレンゴウカイ"</f>
        <v>オカヤマケンイソツリレンゴウカイ</v>
      </c>
      <c r="F468" t="str">
        <f>""</f>
        <v/>
      </c>
      <c r="G468" t="str">
        <f>"頻度不明"</f>
        <v>頻度不明</v>
      </c>
      <c r="H468" t="str">
        <f>"2002222287961"</f>
        <v>2002222287961</v>
      </c>
      <c r="I468" t="str">
        <f>HYPERLINK("#", "https://opac.libnet.pref.okayama.jp/licsxp-opac/WOpacMsgNewListToTifTilDetailAction.do?tilcod=2002222287961")</f>
        <v>https://opac.libnet.pref.okayama.jp/licsxp-opac/WOpacMsgNewListToTifTilDetailAction.do?tilcod=2002222287961</v>
      </c>
    </row>
    <row r="469" spans="1:9" x14ac:dyDescent="0.4">
      <c r="A469" t="str">
        <f>"岡山一宮高校図書館報"</f>
        <v>岡山一宮高校図書館報</v>
      </c>
      <c r="B469" s="1" t="str">
        <f t="shared" si="21"/>
        <v>岡山一宮高校図書館報</v>
      </c>
      <c r="C469" t="str">
        <f>"オカヤマ　イチノミヤ　コウコウ　トショカンポウ"</f>
        <v>オカヤマ　イチノミヤ　コウコウ　トショカンポウ</v>
      </c>
      <c r="D469" t="str">
        <f>"岡山一宮高等学校図書委員会"</f>
        <v>岡山一宮高等学校図書委員会</v>
      </c>
      <c r="E469" t="str">
        <f>"オカヤマイチノミヤコウトウガッコウトショイインカイ"</f>
        <v>オカヤマイチノミヤコウトウガッコウトショイインカイ</v>
      </c>
      <c r="F469" t="str">
        <f t="shared" ref="F469:F474" si="23">"岡山"</f>
        <v>岡山</v>
      </c>
      <c r="G469" t="str">
        <f>"年２回刊"</f>
        <v>年２回刊</v>
      </c>
      <c r="H469" t="str">
        <f>"2002222280081"</f>
        <v>2002222280081</v>
      </c>
      <c r="I469" t="str">
        <f>HYPERLINK("#", "https://opac.libnet.pref.okayama.jp/licsxp-opac/WOpacMsgNewListToTifTilDetailAction.do?tilcod=2002222280081")</f>
        <v>https://opac.libnet.pref.okayama.jp/licsxp-opac/WOpacMsgNewListToTifTilDetailAction.do?tilcod=2002222280081</v>
      </c>
    </row>
    <row r="470" spans="1:9" x14ac:dyDescent="0.4">
      <c r="A470" t="str">
        <f>"岡山一宮高等学校学校案内"</f>
        <v>岡山一宮高等学校学校案内</v>
      </c>
      <c r="B470" s="1" t="str">
        <f t="shared" si="21"/>
        <v>岡山一宮高等学校学校案内</v>
      </c>
      <c r="C470" t="str">
        <f>"オカヤマ　イチノミヤ　コウトウ　ガッコウ　ガッコウ　アンナイ"</f>
        <v>オカヤマ　イチノミヤ　コウトウ　ガッコウ　ガッコウ　アンナイ</v>
      </c>
      <c r="D470" t="str">
        <f>"岡山一宮高等学校"</f>
        <v>岡山一宮高等学校</v>
      </c>
      <c r="E470" t="str">
        <f>"オカヤマ イチノミヤ コウトウ ガッコウ"</f>
        <v>オカヤマ イチノミヤ コウトウ ガッコウ</v>
      </c>
      <c r="F470" t="str">
        <f t="shared" si="23"/>
        <v>岡山</v>
      </c>
      <c r="G470" t="str">
        <f>"年刊"</f>
        <v>年刊</v>
      </c>
      <c r="H470" t="str">
        <f>"2002222301171"</f>
        <v>2002222301171</v>
      </c>
      <c r="I470" t="str">
        <f>HYPERLINK("#", "https://opac.libnet.pref.okayama.jp/licsxp-opac/WOpacMsgNewListToTifTilDetailAction.do?tilcod=2002222301171")</f>
        <v>https://opac.libnet.pref.okayama.jp/licsxp-opac/WOpacMsgNewListToTifTilDetailAction.do?tilcod=2002222301171</v>
      </c>
    </row>
    <row r="471" spans="1:9" x14ac:dyDescent="0.4">
      <c r="A471" t="str">
        <f>"[岡山一宮高等学校] 学校要覧"</f>
        <v>[岡山一宮高等学校] 学校要覧</v>
      </c>
      <c r="B471" s="1" t="str">
        <f t="shared" si="21"/>
        <v>[岡山一宮高等学校] 学校要覧</v>
      </c>
      <c r="C471" t="str">
        <f>"オカヤマ　イチノミヤ　コウトウ　ガッコウ　ガッコウ　ヨウラン"</f>
        <v>オカヤマ　イチノミヤ　コウトウ　ガッコウ　ガッコウ　ヨウラン</v>
      </c>
      <c r="D471" t="str">
        <f>"岡山一宮高等学校"</f>
        <v>岡山一宮高等学校</v>
      </c>
      <c r="E471" t="str">
        <f>"オカヤマ イチノミヤ コウトウ ガッコウ"</f>
        <v>オカヤマ イチノミヤ コウトウ ガッコウ</v>
      </c>
      <c r="F471" t="str">
        <f t="shared" si="23"/>
        <v>岡山</v>
      </c>
      <c r="G471" t="str">
        <f>"年刊"</f>
        <v>年刊</v>
      </c>
      <c r="H471" t="str">
        <f>"2002222300484"</f>
        <v>2002222300484</v>
      </c>
      <c r="I471" t="str">
        <f>HYPERLINK("#", "https://opac.libnet.pref.okayama.jp/licsxp-opac/WOpacMsgNewListToTifTilDetailAction.do?tilcod=2002222300484")</f>
        <v>https://opac.libnet.pref.okayama.jp/licsxp-opac/WOpacMsgNewListToTifTilDetailAction.do?tilcod=2002222300484</v>
      </c>
    </row>
    <row r="472" spans="1:9" x14ac:dyDescent="0.4">
      <c r="A472" t="str">
        <f>"〔岡山一宮高等学校〕シラバス　"</f>
        <v>〔岡山一宮高等学校〕シラバス　</v>
      </c>
      <c r="B472" s="1" t="str">
        <f t="shared" si="21"/>
        <v>〔岡山一宮高等学校〕シラバス　</v>
      </c>
      <c r="C472" t="str">
        <f>"オカヤマ　イチノミヤ　コウトウ　ガッコウ＊シラバス　"</f>
        <v>オカヤマ　イチノミヤ　コウトウ　ガッコウ＊シラバス　</v>
      </c>
      <c r="D472" t="str">
        <f>"岡山一宮高等学校"</f>
        <v>岡山一宮高等学校</v>
      </c>
      <c r="E472" t="str">
        <f>"オカヤマ イチノミヤ コウトウ ガッコウ"</f>
        <v>オカヤマ イチノミヤ コウトウ ガッコウ</v>
      </c>
      <c r="F472" t="str">
        <f t="shared" si="23"/>
        <v>岡山</v>
      </c>
      <c r="G472" t="str">
        <f>"年刊"</f>
        <v>年刊</v>
      </c>
      <c r="H472" t="str">
        <f>"2002222301158"</f>
        <v>2002222301158</v>
      </c>
      <c r="I472" t="str">
        <f>HYPERLINK("#", "https://opac.libnet.pref.okayama.jp/licsxp-opac/WOpacMsgNewListToTifTilDetailAction.do?tilcod=2002222301158")</f>
        <v>https://opac.libnet.pref.okayama.jp/licsxp-opac/WOpacMsgNewListToTifTilDetailAction.do?tilcod=2002222301158</v>
      </c>
    </row>
    <row r="473" spans="1:9" x14ac:dyDescent="0.4">
      <c r="A473" t="str">
        <f>"岡山いちのみや；ＩＣＨＩＮＯＭＩＹＡ　ＮＥＷＳ（イチノミヤニュース）；ＪＡ岡山一宮だより"</f>
        <v>岡山いちのみや；ＩＣＨＩＮＯＭＩＹＡ　ＮＥＷＳ（イチノミヤニュース）；ＪＡ岡山一宮だより</v>
      </c>
      <c r="B473" s="1" t="str">
        <f t="shared" si="21"/>
        <v>岡山いちのみや；ＩＣＨＩＮＯＭＩＹＡ　ＮＥＷＳ（イチノミヤニュース）；ＪＡ岡山一宮だより</v>
      </c>
      <c r="C473" t="str">
        <f>"オカヤマ　イチノミヤ＊イチノミヤ　ニュース＊ジェーエー　オカヤマ　イチノミヤ　ダヨリ"</f>
        <v>オカヤマ　イチノミヤ＊イチノミヤ　ニュース＊ジェーエー　オカヤマ　イチノミヤ　ダヨリ</v>
      </c>
      <c r="D473" t="str">
        <f>"ＪＡ岡山一宮"</f>
        <v>ＪＡ岡山一宮</v>
      </c>
      <c r="E473" t="str">
        <f>"ジェイエーオカヤマイチノミヤ"</f>
        <v>ジェイエーオカヤマイチノミヤ</v>
      </c>
      <c r="F473" t="str">
        <f t="shared" si="23"/>
        <v>岡山</v>
      </c>
      <c r="G473" t="str">
        <f>"月刊"</f>
        <v>月刊</v>
      </c>
      <c r="H473" t="str">
        <f>"2002222291951"</f>
        <v>2002222291951</v>
      </c>
      <c r="I473" t="str">
        <f>HYPERLINK("#", "https://opac.libnet.pref.okayama.jp/licsxp-opac/WOpacMsgNewListToTifTilDetailAction.do?tilcod=2002222291951")</f>
        <v>https://opac.libnet.pref.okayama.jp/licsxp-opac/WOpacMsgNewListToTifTilDetailAction.do?tilcod=2002222291951</v>
      </c>
    </row>
    <row r="474" spans="1:9" x14ac:dyDescent="0.4">
      <c r="A474" t="str">
        <f>"おかやまいちのみや；ＪＡ　ＯＫＡＹＡＭＡ　ＩＣＨＩＮＯＭＩＹＡ　ＮＥＷＳ（ジェイエーオカヤマイチノミヤニュース）；ＪＡ岡山一宮だより"</f>
        <v>おかやまいちのみや；ＪＡ　ＯＫＡＹＡＭＡ　ＩＣＨＩＮＯＭＩＹＡ　ＮＥＷＳ（ジェイエーオカヤマイチノミヤニュース）；ＪＡ岡山一宮だより</v>
      </c>
      <c r="B474" s="1" t="str">
        <f t="shared" si="21"/>
        <v>おかやまいちのみや；ＪＡ　ＯＫＡＹＡＭＡ　ＩＣＨＩＮＯＭＩＹＡ　ＮＥＷＳ（ジェイエーオカヤマイチノミヤニュース）；ＪＡ岡山一宮だより</v>
      </c>
      <c r="C474" t="str">
        <f>"オカヤマ　イチノミヤ＊ジェイエー　オカヤマ　イチノミヤ　ニュース＊ジェイエー　オカヤマ　イチノミヤ　ダヨリ"</f>
        <v>オカヤマ　イチノミヤ＊ジェイエー　オカヤマ　イチノミヤ　ニュース＊ジェイエー　オカヤマ　イチノミヤ　ダヨリ</v>
      </c>
      <c r="D474" t="str">
        <f>"ＪＡ岡山一宮"</f>
        <v>ＪＡ岡山一宮</v>
      </c>
      <c r="E474" t="str">
        <f>"ジェイエーオカヤマイチノミヤ"</f>
        <v>ジェイエーオカヤマイチノミヤ</v>
      </c>
      <c r="F474" t="str">
        <f t="shared" si="23"/>
        <v>岡山</v>
      </c>
      <c r="G474" t="str">
        <f>"月刊"</f>
        <v>月刊</v>
      </c>
      <c r="H474" t="str">
        <f>"2002222280414"</f>
        <v>2002222280414</v>
      </c>
      <c r="I474" t="str">
        <f>HYPERLINK("#", "https://opac.libnet.pref.okayama.jp/licsxp-opac/WOpacMsgNewListToTifTilDetailAction.do?tilcod=2002222280414")</f>
        <v>https://opac.libnet.pref.okayama.jp/licsxp-opac/WOpacMsgNewListToTifTilDetailAction.do?tilcod=2002222280414</v>
      </c>
    </row>
    <row r="475" spans="1:9" x14ac:dyDescent="0.4">
      <c r="A475" t="str">
        <f>"岡山一番街-さんすて岡山FLOORGUIDE"</f>
        <v>岡山一番街-さんすて岡山FLOORGUIDE</v>
      </c>
      <c r="B475" s="1" t="str">
        <f t="shared" si="21"/>
        <v>岡山一番街-さんすて岡山FLOORGUIDE</v>
      </c>
      <c r="C475" t="str">
        <f>"オカヤマ イチバンガイ サンステ オカヤマ  フロア  ガイド"</f>
        <v>オカヤマ イチバンガイ サンステ オカヤマ  フロア  ガイド</v>
      </c>
      <c r="D475" t="str">
        <f>"サンステーションテラス岡山"</f>
        <v>サンステーションテラス岡山</v>
      </c>
      <c r="E475" t="str">
        <f>"サン ステーション テラス オカヤマ"</f>
        <v>サン ステーション テラス オカヤマ</v>
      </c>
      <c r="F475" t="str">
        <f>"〔岡山〕"</f>
        <v>〔岡山〕</v>
      </c>
      <c r="G475" t="str">
        <f>"不定期刊"</f>
        <v>不定期刊</v>
      </c>
      <c r="H475" t="str">
        <f>"2002222302282"</f>
        <v>2002222302282</v>
      </c>
      <c r="I475" t="str">
        <f>HYPERLINK("#", "https://opac.libnet.pref.okayama.jp/licsxp-opac/WOpacMsgNewListToTifTilDetailAction.do?tilcod=2002222302282")</f>
        <v>https://opac.libnet.pref.okayama.jp/licsxp-opac/WOpacMsgNewListToTifTilDetailAction.do?tilcod=2002222302282</v>
      </c>
    </row>
    <row r="476" spans="1:9" x14ac:dyDescent="0.4">
      <c r="A476" t="str">
        <f>"岡山一中科学班雑誌"</f>
        <v>岡山一中科学班雑誌</v>
      </c>
      <c r="B476" s="1" t="str">
        <f t="shared" si="21"/>
        <v>岡山一中科学班雑誌</v>
      </c>
      <c r="C476" t="str">
        <f>"オカヤマ イッチュウ カガク ハン ザッシ"</f>
        <v>オカヤマ イッチュウ カガク ハン ザッシ</v>
      </c>
      <c r="D476" t="str">
        <f>"岡山県第一岡山中学校"</f>
        <v>岡山県第一岡山中学校</v>
      </c>
      <c r="E476" t="str">
        <f>"オカヤマケン ダイイチ オカヤマ チュウガッコウ"</f>
        <v>オカヤマケン ダイイチ オカヤマ チュウガッコウ</v>
      </c>
      <c r="F476" t="str">
        <f>"岡山"</f>
        <v>岡山</v>
      </c>
      <c r="G476" t="str">
        <f>"頻度不明"</f>
        <v>頻度不明</v>
      </c>
      <c r="H476" t="str">
        <f>"2002222337048"</f>
        <v>2002222337048</v>
      </c>
      <c r="I476" t="str">
        <f>HYPERLINK("#", "https://opac.libnet.pref.okayama.jp/licsxp-opac/WOpacMsgNewListToTifTilDetailAction.do?tilcod=2002222337048")</f>
        <v>https://opac.libnet.pref.okayama.jp/licsxp-opac/WOpacMsgNewListToTifTilDetailAction.do?tilcod=2002222337048</v>
      </c>
    </row>
    <row r="477" spans="1:9" x14ac:dyDescent="0.4">
      <c r="A477" t="str">
        <f>"〔岡山一中京浜校友会〕会報"</f>
        <v>〔岡山一中京浜校友会〕会報</v>
      </c>
      <c r="B477" s="1" t="str">
        <f t="shared" si="21"/>
        <v>〔岡山一中京浜校友会〕会報</v>
      </c>
      <c r="C477" t="str">
        <f>"オカヤマ　イッチュウ　ケイヒン　コウユウカイ　カイホウ"</f>
        <v>オカヤマ　イッチュウ　ケイヒン　コウユウカイ　カイホウ</v>
      </c>
      <c r="D477" t="str">
        <f>"岡山一中京浜校友会"</f>
        <v>岡山一中京浜校友会</v>
      </c>
      <c r="E477" t="str">
        <f>"オカヤマイッチュウケイヒンコウユウカイ"</f>
        <v>オカヤマイッチュウケイヒンコウユウカイ</v>
      </c>
      <c r="F477" t="str">
        <f>""</f>
        <v/>
      </c>
      <c r="G477" t="str">
        <f>"頻度不明"</f>
        <v>頻度不明</v>
      </c>
      <c r="H477" t="str">
        <f>"2002222287971"</f>
        <v>2002222287971</v>
      </c>
      <c r="I477" t="str">
        <f>HYPERLINK("#", "https://opac.libnet.pref.okayama.jp/licsxp-opac/WOpacMsgNewListToTifTilDetailAction.do?tilcod=2002222287971")</f>
        <v>https://opac.libnet.pref.okayama.jp/licsxp-opac/WOpacMsgNewListToTifTilDetailAction.do?tilcod=2002222287971</v>
      </c>
    </row>
    <row r="478" spans="1:9" x14ac:dyDescent="0.4">
      <c r="A478" t="str">
        <f>"岡山いのちの電話"</f>
        <v>岡山いのちの電話</v>
      </c>
      <c r="B478" s="1" t="str">
        <f t="shared" si="21"/>
        <v>岡山いのちの電話</v>
      </c>
      <c r="C478" t="str">
        <f>"オカヤマ　イノチ　ノ　デンワ"</f>
        <v>オカヤマ　イノチ　ノ　デンワ</v>
      </c>
      <c r="D478" t="str">
        <f>"岡山いのちの電話協会"</f>
        <v>岡山いのちの電話協会</v>
      </c>
      <c r="E478" t="str">
        <f>"オカヤマ イノチ ノ デンワ キョウカイ"</f>
        <v>オカヤマ イノチ ノ デンワ キョウカイ</v>
      </c>
      <c r="F478" t="str">
        <f>"岡山"</f>
        <v>岡山</v>
      </c>
      <c r="G478" t="str">
        <f>"年２回刊"</f>
        <v>年２回刊</v>
      </c>
      <c r="H478" t="str">
        <f>"2002222300424"</f>
        <v>2002222300424</v>
      </c>
      <c r="I478" t="str">
        <f>HYPERLINK("#", "https://opac.libnet.pref.okayama.jp/licsxp-opac/WOpacMsgNewListToTifTilDetailAction.do?tilcod=2002222300424")</f>
        <v>https://opac.libnet.pref.okayama.jp/licsxp-opac/WOpacMsgNewListToTifTilDetailAction.do?tilcod=2002222300424</v>
      </c>
    </row>
    <row r="479" spans="1:9" x14ac:dyDescent="0.4">
      <c r="A479" t="str">
        <f>"Ｏｋａｙａｍａ　Ｉｎｓｉｄｅｒ"</f>
        <v>Ｏｋａｙａｍａ　Ｉｎｓｉｄｅｒ</v>
      </c>
      <c r="B479" s="1" t="str">
        <f t="shared" si="21"/>
        <v>Ｏｋａｙａｍａ　Ｉｎｓｉｄｅｒ</v>
      </c>
      <c r="C479" t="str">
        <f>"オカヤマ　インサイダー"</f>
        <v>オカヤマ　インサイダー</v>
      </c>
      <c r="D479" t="str">
        <f>"岡山県国際交流協会"</f>
        <v>岡山県国際交流協会</v>
      </c>
      <c r="E479" t="str">
        <f>"オカヤマケン コクサイ コウリュウ キョウカイ"</f>
        <v>オカヤマケン コクサイ コウリュウ キョウカイ</v>
      </c>
      <c r="F479" t="str">
        <f>"岡山"</f>
        <v>岡山</v>
      </c>
      <c r="G479" t="str">
        <f>"月刊"</f>
        <v>月刊</v>
      </c>
      <c r="H479" t="str">
        <f>"2002222290471"</f>
        <v>2002222290471</v>
      </c>
      <c r="I479" t="str">
        <f>HYPERLINK("#", "https://opac.libnet.pref.okayama.jp/licsxp-opac/WOpacMsgNewListToTifTilDetailAction.do?tilcod=2002222290471")</f>
        <v>https://opac.libnet.pref.okayama.jp/licsxp-opac/WOpacMsgNewListToTifTilDetailAction.do?tilcod=2002222290471</v>
      </c>
    </row>
    <row r="480" spans="1:9" x14ac:dyDescent="0.4">
      <c r="A480" t="str">
        <f>"岡山烏城ライオンズＣ会報"</f>
        <v>岡山烏城ライオンズＣ会報</v>
      </c>
      <c r="B480" s="1" t="str">
        <f t="shared" si="21"/>
        <v>岡山烏城ライオンズＣ会報</v>
      </c>
      <c r="C480" t="str">
        <f>"オカヤマ　ウジョウ　ライオンズ　クラブ　カイホウ"</f>
        <v>オカヤマ　ウジョウ　ライオンズ　クラブ　カイホウ</v>
      </c>
      <c r="D480" t="str">
        <f>"岡山烏城ライオンズクラブ"</f>
        <v>岡山烏城ライオンズクラブ</v>
      </c>
      <c r="E480" t="str">
        <f>"オカヤマ ウジョウ ライオンズ クラブ"</f>
        <v>オカヤマ ウジョウ ライオンズ クラブ</v>
      </c>
      <c r="F480" t="str">
        <f>""</f>
        <v/>
      </c>
      <c r="G480" t="str">
        <f>"頻度不明"</f>
        <v>頻度不明</v>
      </c>
      <c r="H480" t="str">
        <f>"2002222287991"</f>
        <v>2002222287991</v>
      </c>
      <c r="I480" t="str">
        <f>HYPERLINK("#", "https://opac.libnet.pref.okayama.jp/licsxp-opac/WOpacMsgNewListToTifTilDetailAction.do?tilcod=2002222287991")</f>
        <v>https://opac.libnet.pref.okayama.jp/licsxp-opac/WOpacMsgNewListToTifTilDetailAction.do?tilcod=2002222287991</v>
      </c>
    </row>
    <row r="481" spans="1:9" x14ac:dyDescent="0.4">
      <c r="A481" t="str">
        <f>"岡山映画の友；映画ニュース；シネオカヤマ"</f>
        <v>岡山映画の友；映画ニュース；シネオカヤマ</v>
      </c>
      <c r="B481" s="1" t="str">
        <f t="shared" si="21"/>
        <v>岡山映画の友；映画ニュース；シネオカヤマ</v>
      </c>
      <c r="C481" t="str">
        <f>"オカヤマ　エイガ　ノ　トモ＊エイガ　ニュース＊シネ　オカヤマ"</f>
        <v>オカヤマ　エイガ　ノ　トモ＊エイガ　ニュース＊シネ　オカヤマ</v>
      </c>
      <c r="D481" t="str">
        <f>"岡山映画サークル協議会"</f>
        <v>岡山映画サークル協議会</v>
      </c>
      <c r="E481" t="str">
        <f>"オカヤマエイガサークルキョウギカイ"</f>
        <v>オカヤマエイガサークルキョウギカイ</v>
      </c>
      <c r="F481" t="str">
        <f>"岡山"</f>
        <v>岡山</v>
      </c>
      <c r="G481" t="str">
        <f>"月刊"</f>
        <v>月刊</v>
      </c>
      <c r="H481" t="str">
        <f>"2002222301308"</f>
        <v>2002222301308</v>
      </c>
      <c r="I481" t="str">
        <f>HYPERLINK("#", "https://opac.libnet.pref.okayama.jp/licsxp-opac/WOpacMsgNewListToTifTilDetailAction.do?tilcod=2002222301308")</f>
        <v>https://opac.libnet.pref.okayama.jp/licsxp-opac/WOpacMsgNewListToTifTilDetailAction.do?tilcod=2002222301308</v>
      </c>
    </row>
    <row r="482" spans="1:9" x14ac:dyDescent="0.4">
      <c r="A482" t="str">
        <f>"おかやまエネルギー・環境情報"</f>
        <v>おかやまエネルギー・環境情報</v>
      </c>
      <c r="B482" s="1" t="str">
        <f t="shared" si="21"/>
        <v>おかやまエネルギー・環境情報</v>
      </c>
      <c r="C482" t="str">
        <f>"オカヤマ　エネルギー　カンキョウ　ジョウホウ"</f>
        <v>オカヤマ　エネルギー　カンキョウ　ジョウホウ</v>
      </c>
      <c r="D482" t="str">
        <f>"ＯＰＴＩＣ"</f>
        <v>ＯＰＴＩＣ</v>
      </c>
      <c r="E482" t="str">
        <f>"オプティック"</f>
        <v>オプティック</v>
      </c>
      <c r="F482" t="str">
        <f>""</f>
        <v/>
      </c>
      <c r="G482" t="str">
        <f>"頻度不明"</f>
        <v>頻度不明</v>
      </c>
      <c r="H482" t="str">
        <f>"2002222289011"</f>
        <v>2002222289011</v>
      </c>
      <c r="I482" t="str">
        <f>HYPERLINK("#", "https://opac.libnet.pref.okayama.jp/licsxp-opac/WOpacMsgNewListToTifTilDetailAction.do?tilcod=2002222289011")</f>
        <v>https://opac.libnet.pref.okayama.jp/licsxp-opac/WOpacMsgNewListToTifTilDetailAction.do?tilcod=2002222289011</v>
      </c>
    </row>
    <row r="483" spans="1:9" x14ac:dyDescent="0.4">
      <c r="A483" t="str">
        <f>"岡山音協コンサート情報"</f>
        <v>岡山音協コンサート情報</v>
      </c>
      <c r="B483" s="1" t="str">
        <f t="shared" si="21"/>
        <v>岡山音協コンサート情報</v>
      </c>
      <c r="C483" t="str">
        <f>"オカヤマ　オンキョウ　コンサート　ジョウホウ"</f>
        <v>オカヤマ　オンキョウ　コンサート　ジョウホウ</v>
      </c>
      <c r="D483" t="str">
        <f>"岡山県音楽文化協会"</f>
        <v>岡山県音楽文化協会</v>
      </c>
      <c r="E483" t="str">
        <f>"オカヤマケン オンガク ブンカ キョウカイ"</f>
        <v>オカヤマケン オンガク ブンカ キョウカイ</v>
      </c>
      <c r="F483" t="str">
        <f t="shared" ref="F483:F502" si="24">"岡山"</f>
        <v>岡山</v>
      </c>
      <c r="G483" t="str">
        <f>"月刊"</f>
        <v>月刊</v>
      </c>
      <c r="H483" t="str">
        <f>"2002222302434"</f>
        <v>2002222302434</v>
      </c>
      <c r="I483" t="str">
        <f>HYPERLINK("#", "https://opac.libnet.pref.okayama.jp/licsxp-opac/WOpacMsgNewListToTifTilDetailAction.do?tilcod=2002222302434")</f>
        <v>https://opac.libnet.pref.okayama.jp/licsxp-opac/WOpacMsgNewListToTifTilDetailAction.do?tilcod=2002222302434</v>
      </c>
    </row>
    <row r="484" spans="1:9" x14ac:dyDescent="0.4">
      <c r="A484" t="str">
        <f>"岡山会議所報"</f>
        <v>岡山会議所報</v>
      </c>
      <c r="B484" s="1" t="str">
        <f t="shared" si="21"/>
        <v>岡山会議所報</v>
      </c>
      <c r="C484" t="str">
        <f>"オカヤマ　カイギショホウ"</f>
        <v>オカヤマ　カイギショホウ</v>
      </c>
      <c r="D484" t="str">
        <f>"岡山商工会議所"</f>
        <v>岡山商工会議所</v>
      </c>
      <c r="E484" t="str">
        <f>"オカヤマショウコウカイギショ"</f>
        <v>オカヤマショウコウカイギショ</v>
      </c>
      <c r="F484" t="str">
        <f t="shared" si="24"/>
        <v>岡山</v>
      </c>
      <c r="G484" t="str">
        <f>"頻度不明"</f>
        <v>頻度不明</v>
      </c>
      <c r="H484" t="str">
        <f>"2002222285981"</f>
        <v>2002222285981</v>
      </c>
      <c r="I484" t="str">
        <f>HYPERLINK("#", "https://opac.libnet.pref.okayama.jp/licsxp-opac/WOpacMsgNewListToTifTilDetailAction.do?tilcod=2002222285981")</f>
        <v>https://opac.libnet.pref.okayama.jp/licsxp-opac/WOpacMsgNewListToTifTilDetailAction.do?tilcod=2002222285981</v>
      </c>
    </row>
    <row r="485" spans="1:9" x14ac:dyDescent="0.4">
      <c r="A485" t="str">
        <f>"岡山・香川環境資源懇話会会報"</f>
        <v>岡山・香川環境資源懇話会会報</v>
      </c>
      <c r="B485" s="1" t="str">
        <f t="shared" si="21"/>
        <v>岡山・香川環境資源懇話会会報</v>
      </c>
      <c r="C485" t="str">
        <f>"オカヤマ カガワ カンキョウ シゲン コンワカイ カイホウ"</f>
        <v>オカヤマ カガワ カンキョウ シゲン コンワカイ カイホウ</v>
      </c>
      <c r="D485" t="str">
        <f>"岡山大学環境管理センター"</f>
        <v>岡山大学環境管理センター</v>
      </c>
      <c r="E485" t="str">
        <f>"オカヤマ ダイガク カンキョウ カンリ センター"</f>
        <v>オカヤマ ダイガク カンキョウ カンリ センター</v>
      </c>
      <c r="F485" t="str">
        <f t="shared" si="24"/>
        <v>岡山</v>
      </c>
      <c r="G485" t="str">
        <f>"頻度不明"</f>
        <v>頻度不明</v>
      </c>
      <c r="H485" t="str">
        <f>"2002222284741"</f>
        <v>2002222284741</v>
      </c>
      <c r="I485" t="str">
        <f>HYPERLINK("#", "https://opac.libnet.pref.okayama.jp/licsxp-opac/WOpacMsgNewListToTifTilDetailAction.do?tilcod=2002222284741")</f>
        <v>https://opac.libnet.pref.okayama.jp/licsxp-opac/WOpacMsgNewListToTifTilDetailAction.do?tilcod=2002222284741</v>
      </c>
    </row>
    <row r="486" spans="1:9" x14ac:dyDescent="0.4">
      <c r="A486" t="str">
        <f>"岡山学院新聞"</f>
        <v>岡山学院新聞</v>
      </c>
      <c r="B486" s="1" t="str">
        <f t="shared" si="21"/>
        <v>岡山学院新聞</v>
      </c>
      <c r="C486" t="str">
        <f>"オカヤマ ガクイン シンブン"</f>
        <v>オカヤマ ガクイン シンブン</v>
      </c>
      <c r="D486" t="str">
        <f>"岡山学院"</f>
        <v>岡山学院</v>
      </c>
      <c r="E486" t="str">
        <f>"オカヤマ ガクイン"</f>
        <v>オカヤマ ガクイン</v>
      </c>
      <c r="F486" t="str">
        <f t="shared" si="24"/>
        <v>岡山</v>
      </c>
      <c r="G486" t="str">
        <f>"年３回刊"</f>
        <v>年３回刊</v>
      </c>
      <c r="H486" t="str">
        <f>"2002222333651"</f>
        <v>2002222333651</v>
      </c>
      <c r="I486" t="str">
        <f>HYPERLINK("#", "https://opac.libnet.pref.okayama.jp/licsxp-opac/WOpacMsgNewListToTifTilDetailAction.do?tilcod=2002222333651")</f>
        <v>https://opac.libnet.pref.okayama.jp/licsxp-opac/WOpacMsgNewListToTifTilDetailAction.do?tilcod=2002222333651</v>
      </c>
    </row>
    <row r="487" spans="1:9" x14ac:dyDescent="0.4">
      <c r="A487" t="str">
        <f>"〔岡山学院大学・岡山短期大学〕紀要"</f>
        <v>〔岡山学院大学・岡山短期大学〕紀要</v>
      </c>
      <c r="B487" s="1" t="str">
        <f t="shared" si="21"/>
        <v>〔岡山学院大学・岡山短期大学〕紀要</v>
      </c>
      <c r="C487" t="str">
        <f>"オカヤマ　ガクイン　ダイガク　オカヤマ　タンキ　ダイガク＊キヨウ"</f>
        <v>オカヤマ　ガクイン　ダイガク　オカヤマ　タンキ　ダイガク＊キヨウ</v>
      </c>
      <c r="D487" t="str">
        <f>"岡山学院大学・岡山短期大学"</f>
        <v>岡山学院大学・岡山短期大学</v>
      </c>
      <c r="E487" t="str">
        <f>"オカヤマガクインダイガクオカヤマタンキダイガク"</f>
        <v>オカヤマガクインダイガクオカヤマタンキダイガク</v>
      </c>
      <c r="F487" t="str">
        <f t="shared" si="24"/>
        <v>岡山</v>
      </c>
      <c r="G487" t="str">
        <f>"年刊"</f>
        <v>年刊</v>
      </c>
      <c r="H487" t="str">
        <f>"2002222289693"</f>
        <v>2002222289693</v>
      </c>
      <c r="I487" t="str">
        <f>HYPERLINK("#", "https://opac.libnet.pref.okayama.jp/licsxp-opac/WOpacMsgNewListToTifTilDetailAction.do?tilcod=2002222289693")</f>
        <v>https://opac.libnet.pref.okayama.jp/licsxp-opac/WOpacMsgNewListToTifTilDetailAction.do?tilcod=2002222289693</v>
      </c>
    </row>
    <row r="488" spans="1:9" x14ac:dyDescent="0.4">
      <c r="A488" t="str">
        <f>"岡山学芸館高等学校・岡山学芸館清秀中学校学校要覧"</f>
        <v>岡山学芸館高等学校・岡山学芸館清秀中学校学校要覧</v>
      </c>
      <c r="B488" s="1" t="str">
        <f t="shared" si="21"/>
        <v>岡山学芸館高等学校・岡山学芸館清秀中学校学校要覧</v>
      </c>
      <c r="C488" t="str">
        <f>"オカヤマ　ガクゲイカン　コウトウ　ガッコウ　オカヤマ　ガクゲイカン　セイシュウ　チュウガッコウ　ガッコウ　ヨウラン"</f>
        <v>オカヤマ　ガクゲイカン　コウトウ　ガッコウ　オカヤマ　ガクゲイカン　セイシュウ　チュウガッコウ　ガッコウ　ヨウラン</v>
      </c>
      <c r="D488" t="str">
        <f>"岡山学芸館高等学校・岡山学芸館清秀中学校"</f>
        <v>岡山学芸館高等学校・岡山学芸館清秀中学校</v>
      </c>
      <c r="E488" t="str">
        <f>"オカヤマガクゲイカンコウトウガッコウオカヤマガクゲイカンセイシュウチュウガッコウ"</f>
        <v>オカヤマガクゲイカンコウトウガッコウオカヤマガクゲイカンセイシュウチュウガッコウ</v>
      </c>
      <c r="F488" t="str">
        <f t="shared" si="24"/>
        <v>岡山</v>
      </c>
      <c r="G488" t="str">
        <f>"年刊"</f>
        <v>年刊</v>
      </c>
      <c r="H488" t="str">
        <f>"2002222323866"</f>
        <v>2002222323866</v>
      </c>
      <c r="I488" t="str">
        <f>HYPERLINK("#", "https://opac.libnet.pref.okayama.jp/licsxp-opac/WOpacMsgNewListToTifTilDetailAction.do?tilcod=2002222323866")</f>
        <v>https://opac.libnet.pref.okayama.jp/licsxp-opac/WOpacMsgNewListToTifTilDetailAction.do?tilcod=2002222323866</v>
      </c>
    </row>
    <row r="489" spans="1:9" x14ac:dyDescent="0.4">
      <c r="A489" t="str">
        <f>"[岡山学芸館高等学校]学芸館通信"</f>
        <v>[岡山学芸館高等学校]学芸館通信</v>
      </c>
      <c r="B489" s="1" t="str">
        <f t="shared" si="21"/>
        <v>[岡山学芸館高等学校]学芸館通信</v>
      </c>
      <c r="C489" t="str">
        <f>"オカヤマ ガクゲイカン コウトウ ガッコウ ガクゲイカン ツウシン"</f>
        <v>オカヤマ ガクゲイカン コウトウ ガッコウ ガクゲイカン ツウシン</v>
      </c>
      <c r="D489" t="str">
        <f>"岡山学芸館高等学校"</f>
        <v>岡山学芸館高等学校</v>
      </c>
      <c r="E489" t="str">
        <f>"オカヤマ ガクゲイカン コウトウ ガッコウ"</f>
        <v>オカヤマ ガクゲイカン コウトウ ガッコウ</v>
      </c>
      <c r="F489" t="str">
        <f t="shared" si="24"/>
        <v>岡山</v>
      </c>
      <c r="G489" t="str">
        <f>"隔月刊"</f>
        <v>隔月刊</v>
      </c>
      <c r="H489" t="str">
        <f>"2002222301924"</f>
        <v>2002222301924</v>
      </c>
      <c r="I489" t="str">
        <f>HYPERLINK("#", "https://opac.libnet.pref.okayama.jp/licsxp-opac/WOpacMsgNewListToTifTilDetailAction.do?tilcod=2002222301924")</f>
        <v>https://opac.libnet.pref.okayama.jp/licsxp-opac/WOpacMsgNewListToTifTilDetailAction.do?tilcod=2002222301924</v>
      </c>
    </row>
    <row r="490" spans="1:9" x14ac:dyDescent="0.4">
      <c r="A490" t="str">
        <f>"岡山学芸館高等学校学校案内"</f>
        <v>岡山学芸館高等学校学校案内</v>
      </c>
      <c r="B490" s="1" t="str">
        <f t="shared" si="21"/>
        <v>岡山学芸館高等学校学校案内</v>
      </c>
      <c r="C490" t="str">
        <f>"オカヤマ　ガクゲイカン　コウトウ　ガッコウ　ガッコウ　アンナイ"</f>
        <v>オカヤマ　ガクゲイカン　コウトウ　ガッコウ　ガッコウ　アンナイ</v>
      </c>
      <c r="D490" t="str">
        <f>"岡山学芸館高等学校"</f>
        <v>岡山学芸館高等学校</v>
      </c>
      <c r="E490" t="str">
        <f>"オカヤマ ガクゲイカン コウトウ ガッコウ"</f>
        <v>オカヤマ ガクゲイカン コウトウ ガッコウ</v>
      </c>
      <c r="F490" t="str">
        <f t="shared" si="24"/>
        <v>岡山</v>
      </c>
      <c r="G490" t="str">
        <f>"年刊"</f>
        <v>年刊</v>
      </c>
      <c r="H490" t="str">
        <f>"2002222301206"</f>
        <v>2002222301206</v>
      </c>
      <c r="I490" t="str">
        <f>HYPERLINK("#", "https://opac.libnet.pref.okayama.jp/licsxp-opac/WOpacMsgNewListToTifTilDetailAction.do?tilcod=2002222301206")</f>
        <v>https://opac.libnet.pref.okayama.jp/licsxp-opac/WOpacMsgNewListToTifTilDetailAction.do?tilcod=2002222301206</v>
      </c>
    </row>
    <row r="491" spans="1:9" x14ac:dyDescent="0.4">
      <c r="A491" t="str">
        <f>"岡山学芸館高等学校学校要覧"</f>
        <v>岡山学芸館高等学校学校要覧</v>
      </c>
      <c r="B491" s="1" t="str">
        <f t="shared" si="21"/>
        <v>岡山学芸館高等学校学校要覧</v>
      </c>
      <c r="C491" t="str">
        <f>"オカヤマ　ガクゲイカン　コウトウ　ガッコウ　ガッコウ　ヨウラン"</f>
        <v>オカヤマ　ガクゲイカン　コウトウ　ガッコウ　ガッコウ　ヨウラン</v>
      </c>
      <c r="D491" t="str">
        <f>"岡山学芸館高等学校"</f>
        <v>岡山学芸館高等学校</v>
      </c>
      <c r="E491" t="str">
        <f>"オカヤマ ガクゲイカン コウトウ ガッコウ"</f>
        <v>オカヤマ ガクゲイカン コウトウ ガッコウ</v>
      </c>
      <c r="F491" t="str">
        <f t="shared" si="24"/>
        <v>岡山</v>
      </c>
      <c r="G491" t="str">
        <f>"年刊"</f>
        <v>年刊</v>
      </c>
      <c r="H491" t="str">
        <f>"2002222300698"</f>
        <v>2002222300698</v>
      </c>
      <c r="I491" t="str">
        <f>HYPERLINK("#", "https://opac.libnet.pref.okayama.jp/licsxp-opac/WOpacMsgNewListToTifTilDetailAction.do?tilcod=2002222300698")</f>
        <v>https://opac.libnet.pref.okayama.jp/licsxp-opac/WOpacMsgNewListToTifTilDetailAction.do?tilcod=2002222300698</v>
      </c>
    </row>
    <row r="492" spans="1:9" x14ac:dyDescent="0.4">
      <c r="A492" t="str">
        <f>"岡山学芸館高等学校新聞"</f>
        <v>岡山学芸館高等学校新聞</v>
      </c>
      <c r="B492" s="1" t="str">
        <f t="shared" si="21"/>
        <v>岡山学芸館高等学校新聞</v>
      </c>
      <c r="C492" t="str">
        <f>"オカヤマ　ガクゲイカン　コウトウ　ガッコウ　シンブン"</f>
        <v>オカヤマ　ガクゲイカン　コウトウ　ガッコウ　シンブン</v>
      </c>
      <c r="D492" t="str">
        <f>"岡山学芸館高等学校"</f>
        <v>岡山学芸館高等学校</v>
      </c>
      <c r="E492" t="str">
        <f>"オカヤマ ガクゲイカン コウトウ ガッコウ"</f>
        <v>オカヤマ ガクゲイカン コウトウ ガッコウ</v>
      </c>
      <c r="F492" t="str">
        <f t="shared" si="24"/>
        <v>岡山</v>
      </c>
      <c r="G492" t="str">
        <f>"季刊"</f>
        <v>季刊</v>
      </c>
      <c r="H492" t="str">
        <f>"2002222301851"</f>
        <v>2002222301851</v>
      </c>
      <c r="I492" t="str">
        <f>HYPERLINK("#", "https://opac.libnet.pref.okayama.jp/licsxp-opac/WOpacMsgNewListToTifTilDetailAction.do?tilcod=2002222301851")</f>
        <v>https://opac.libnet.pref.okayama.jp/licsxp-opac/WOpacMsgNewListToTifTilDetailAction.do?tilcod=2002222301851</v>
      </c>
    </row>
    <row r="493" spans="1:9" x14ac:dyDescent="0.4">
      <c r="A493" t="str">
        <f>"〔岡山学芸館高等学校〕写真ばっかりの学芸館通信"</f>
        <v>〔岡山学芸館高等学校〕写真ばっかりの学芸館通信</v>
      </c>
      <c r="B493" s="1" t="str">
        <f t="shared" si="21"/>
        <v>〔岡山学芸館高等学校〕写真ばっかりの学芸館通信</v>
      </c>
      <c r="C493" t="str">
        <f>"オカヤマ　ガクゲイカン　コウトウ　ガッコウ＊シャシン　バッカリ　ノ　ガクゲイカン　ツウシン"</f>
        <v>オカヤマ　ガクゲイカン　コウトウ　ガッコウ＊シャシン　バッカリ　ノ　ガクゲイカン　ツウシン</v>
      </c>
      <c r="D493" t="str">
        <f>"岡山学芸館高等学校"</f>
        <v>岡山学芸館高等学校</v>
      </c>
      <c r="E493" t="str">
        <f>"オカヤマ ガクゲイカン コウトウ ガッコウ"</f>
        <v>オカヤマ ガクゲイカン コウトウ ガッコウ</v>
      </c>
      <c r="F493" t="str">
        <f t="shared" si="24"/>
        <v>岡山</v>
      </c>
      <c r="G493" t="str">
        <f>"頻度不明"</f>
        <v>頻度不明</v>
      </c>
      <c r="H493" t="str">
        <f>"2002222301923"</f>
        <v>2002222301923</v>
      </c>
      <c r="I493" t="str">
        <f>HYPERLINK("#", "https://opac.libnet.pref.okayama.jp/licsxp-opac/WOpacMsgNewListToTifTilDetailAction.do?tilcod=2002222301923")</f>
        <v>https://opac.libnet.pref.okayama.jp/licsxp-opac/WOpacMsgNewListToTifTilDetailAction.do?tilcod=2002222301923</v>
      </c>
    </row>
    <row r="494" spans="1:9" x14ac:dyDescent="0.4">
      <c r="A494" t="str">
        <f>"岡山学芸館清秀中学校･岡山学芸館高等学校学校要覧"</f>
        <v>岡山学芸館清秀中学校･岡山学芸館高等学校学校要覧</v>
      </c>
      <c r="B494" s="1" t="str">
        <f t="shared" si="21"/>
        <v>岡山学芸館清秀中学校･岡山学芸館高等学校学校要覧</v>
      </c>
      <c r="C494" t="str">
        <f>"オカヤマ ガクゲイカン セイシュウ チュウガッコウ オカヤマ ガクゲイカン コウトウ ガッコウ ガッコウ ヨウラン"</f>
        <v>オカヤマ ガクゲイカン セイシュウ チュウガッコウ オカヤマ ガクゲイカン コウトウ ガッコウ ガッコウ ヨウラン</v>
      </c>
      <c r="D494" t="str">
        <f>"岡山学芸館清秀中学校･岡山学芸館高等学校"</f>
        <v>岡山学芸館清秀中学校･岡山学芸館高等学校</v>
      </c>
      <c r="E494" t="str">
        <f>"オカヤマ ガクゲイカン セイシュウ チュウガッコウ オカヤマ ガクゲイカン コウトウ ガッコウ"</f>
        <v>オカヤマ ガクゲイカン セイシュウ チュウガッコウ オカヤマ ガクゲイカン コウトウ ガッコウ</v>
      </c>
      <c r="F494" t="str">
        <f t="shared" si="24"/>
        <v>岡山</v>
      </c>
      <c r="G494" t="str">
        <f>"年刊"</f>
        <v>年刊</v>
      </c>
      <c r="H494" t="str">
        <f>"2002222343190"</f>
        <v>2002222343190</v>
      </c>
      <c r="I494" t="str">
        <f>HYPERLINK("#", "https://opac.libnet.pref.okayama.jp/licsxp-opac/WOpacMsgNewListToTifTilDetailAction.do?tilcod=2002222343190")</f>
        <v>https://opac.libnet.pref.okayama.jp/licsxp-opac/WOpacMsgNewListToTifTilDetailAction.do?tilcod=2002222343190</v>
      </c>
    </row>
    <row r="495" spans="1:9" x14ac:dyDescent="0.4">
      <c r="A495" t="str">
        <f>"岡山学芸館清秀中学校･高等部　岡山学芸館高等学校学校要覧"</f>
        <v>岡山学芸館清秀中学校･高等部　岡山学芸館高等学校学校要覧</v>
      </c>
      <c r="B495" s="1" t="str">
        <f t="shared" si="21"/>
        <v>岡山学芸館清秀中学校･高等部　岡山学芸館高等学校学校要覧</v>
      </c>
      <c r="C495" t="str">
        <f>"オカヤマ ガクゲイカン セイシュウ チュウガッコウ コウトウブ オカヤマ ガクゲイカン コウトウ ガッコウ ガッコウ ヨウラン"</f>
        <v>オカヤマ ガクゲイカン セイシュウ チュウガッコウ コウトウブ オカヤマ ガクゲイカン コウトウ ガッコウ ガッコウ ヨウラン</v>
      </c>
      <c r="D495" t="str">
        <f>"岡山学芸館清秀中学校･高等部　岡山学芸館高等学校"</f>
        <v>岡山学芸館清秀中学校･高等部　岡山学芸館高等学校</v>
      </c>
      <c r="E495" t="str">
        <f>"オカヤマ ガクゲイカン セイシュウ チュウガッコウ コウトウブ オカヤマ ガクゲイカン コウトウ ガッコウ"</f>
        <v>オカヤマ ガクゲイカン セイシュウ チュウガッコウ コウトウブ オカヤマ ガクゲイカン コウトウ ガッコウ</v>
      </c>
      <c r="F495" t="str">
        <f t="shared" si="24"/>
        <v>岡山</v>
      </c>
      <c r="G495" t="str">
        <f>"年刊"</f>
        <v>年刊</v>
      </c>
      <c r="H495" t="str">
        <f>"2002222339250"</f>
        <v>2002222339250</v>
      </c>
      <c r="I495" t="str">
        <f>HYPERLINK("#", "https://opac.libnet.pref.okayama.jp/licsxp-opac/WOpacMsgNewListToTifTilDetailAction.do?tilcod=2002222339250")</f>
        <v>https://opac.libnet.pref.okayama.jp/licsxp-opac/WOpacMsgNewListToTifTilDetailAction.do?tilcod=2002222339250</v>
      </c>
    </row>
    <row r="496" spans="1:9" x14ac:dyDescent="0.4">
      <c r="A496" t="str">
        <f>"[岡山学芸館清秀中学校・高等部] 学校案内"</f>
        <v>[岡山学芸館清秀中学校・高等部] 学校案内</v>
      </c>
      <c r="B496" s="1" t="str">
        <f t="shared" si="21"/>
        <v>[岡山学芸館清秀中学校・高等部] 学校案内</v>
      </c>
      <c r="C496" t="str">
        <f>"オカヤマ ガクゲイカン セイシュウ チュウガッコウ コウトウブ ガッコウ アンナイ"</f>
        <v>オカヤマ ガクゲイカン セイシュウ チュウガッコウ コウトウブ ガッコウ アンナイ</v>
      </c>
      <c r="D496" t="str">
        <f>"岡山学芸館清秀中学校・高等部"</f>
        <v>岡山学芸館清秀中学校・高等部</v>
      </c>
      <c r="E496" t="str">
        <f>"オカヤマ ガクゲイカン セイシュウ チュウガッコウ コウトウブ"</f>
        <v>オカヤマ ガクゲイカン セイシュウ チュウガッコウ コウトウブ</v>
      </c>
      <c r="F496" t="str">
        <f t="shared" si="24"/>
        <v>岡山</v>
      </c>
      <c r="G496" t="str">
        <f>"年刊"</f>
        <v>年刊</v>
      </c>
      <c r="H496" t="str">
        <f>"2002222302068"</f>
        <v>2002222302068</v>
      </c>
      <c r="I496" t="str">
        <f>HYPERLINK("#", "https://opac.libnet.pref.okayama.jp/licsxp-opac/WOpacMsgNewListToTifTilDetailAction.do?tilcod=2002222302068")</f>
        <v>https://opac.libnet.pref.okayama.jp/licsxp-opac/WOpacMsgNewListToTifTilDetailAction.do?tilcod=2002222302068</v>
      </c>
    </row>
    <row r="497" spans="1:9" x14ac:dyDescent="0.4">
      <c r="A497" t="str">
        <f>"おかやま河川だより"</f>
        <v>おかやま河川だより</v>
      </c>
      <c r="B497" s="1" t="str">
        <f t="shared" si="21"/>
        <v>おかやま河川だより</v>
      </c>
      <c r="C497" t="str">
        <f>"オカヤマ　カセン　ダヨリ"</f>
        <v>オカヤマ　カセン　ダヨリ</v>
      </c>
      <c r="D497" t="str">
        <f>"国土交通省中国地方整備局岡山河川事務所"</f>
        <v>国土交通省中国地方整備局岡山河川事務所</v>
      </c>
      <c r="E497" t="str">
        <f>"コクド コウツウショウ チュウゴク チホウ セイビキョク オカヤマ カセン ジムショ"</f>
        <v>コクド コウツウショウ チュウゴク チホウ セイビキョク オカヤマ カセン ジムショ</v>
      </c>
      <c r="F497" t="str">
        <f t="shared" si="24"/>
        <v>岡山</v>
      </c>
      <c r="G497" t="str">
        <f>"季刊"</f>
        <v>季刊</v>
      </c>
      <c r="H497" t="str">
        <f>"2002222301014"</f>
        <v>2002222301014</v>
      </c>
      <c r="I497" t="str">
        <f>HYPERLINK("#", "https://opac.libnet.pref.okayama.jp/licsxp-opac/WOpacMsgNewListToTifTilDetailAction.do?tilcod=2002222301014")</f>
        <v>https://opac.libnet.pref.okayama.jp/licsxp-opac/WOpacMsgNewListToTifTilDetailAction.do?tilcod=2002222301014</v>
      </c>
    </row>
    <row r="498" spans="1:9" x14ac:dyDescent="0.4">
      <c r="A498" t="str">
        <f>"岡山学校図書館"</f>
        <v>岡山学校図書館</v>
      </c>
      <c r="B498" s="1" t="str">
        <f t="shared" si="21"/>
        <v>岡山学校図書館</v>
      </c>
      <c r="C498" t="str">
        <f>"オカヤマ　ガッコウ　トショカン"</f>
        <v>オカヤマ　ガッコウ　トショカン</v>
      </c>
      <c r="D498" t="str">
        <f>"岡山県学校図書館協議会"</f>
        <v>岡山県学校図書館協議会</v>
      </c>
      <c r="E498" t="str">
        <f>"オカヤマケン ガッコウ トショカン キョウギカイ"</f>
        <v>オカヤマケン ガッコウ トショカン キョウギカイ</v>
      </c>
      <c r="F498" t="str">
        <f t="shared" si="24"/>
        <v>岡山</v>
      </c>
      <c r="G498" t="str">
        <f>"頻度不明"</f>
        <v>頻度不明</v>
      </c>
      <c r="H498" t="str">
        <f>"2002222281454"</f>
        <v>2002222281454</v>
      </c>
      <c r="I498" t="str">
        <f>HYPERLINK("#", "https://opac.libnet.pref.okayama.jp/licsxp-opac/WOpacMsgNewListToTifTilDetailAction.do?tilcod=2002222281454")</f>
        <v>https://opac.libnet.pref.okayama.jp/licsxp-opac/WOpacMsgNewListToTifTilDetailAction.do?tilcod=2002222281454</v>
      </c>
    </row>
    <row r="499" spans="1:9" x14ac:dyDescent="0.4">
      <c r="A499" t="str">
        <f>"おかやま瓦版"</f>
        <v>おかやま瓦版</v>
      </c>
      <c r="B499" s="1" t="str">
        <f t="shared" si="21"/>
        <v>おかやま瓦版</v>
      </c>
      <c r="C499" t="str">
        <f>"オカヤマ　カワラバン"</f>
        <v>オカヤマ　カワラバン</v>
      </c>
      <c r="D499" t="str">
        <f>"岡山公論社"</f>
        <v>岡山公論社</v>
      </c>
      <c r="E499" t="str">
        <f>"オカヤマコウロンシャ"</f>
        <v>オカヤマコウロンシャ</v>
      </c>
      <c r="F499" t="str">
        <f t="shared" si="24"/>
        <v>岡山</v>
      </c>
      <c r="G499" t="str">
        <f>"旬刊"</f>
        <v>旬刊</v>
      </c>
      <c r="H499" t="str">
        <f>"2002222300802"</f>
        <v>2002222300802</v>
      </c>
      <c r="I499" t="str">
        <f>HYPERLINK("#", "https://opac.libnet.pref.okayama.jp/licsxp-opac/WOpacMsgNewListToTifTilDetailAction.do?tilcod=2002222300802")</f>
        <v>https://opac.libnet.pref.okayama.jp/licsxp-opac/WOpacMsgNewListToTifTilDetailAction.do?tilcod=2002222300802</v>
      </c>
    </row>
    <row r="500" spans="1:9" x14ac:dyDescent="0.4">
      <c r="A500" t="str">
        <f>"おかやま看護協会だより"</f>
        <v>おかやま看護協会だより</v>
      </c>
      <c r="B500" s="1" t="str">
        <f t="shared" si="21"/>
        <v>おかやま看護協会だより</v>
      </c>
      <c r="C500" t="str">
        <f>"オカヤマ カンゴ キョウカイ ダヨリ"</f>
        <v>オカヤマ カンゴ キョウカイ ダヨリ</v>
      </c>
      <c r="D500" t="str">
        <f>"岡山県看護協会"</f>
        <v>岡山県看護協会</v>
      </c>
      <c r="E500" t="str">
        <f>"オカヤマケン カンゴ キョウカイ"</f>
        <v>オカヤマケン カンゴ キョウカイ</v>
      </c>
      <c r="F500" t="str">
        <f t="shared" si="24"/>
        <v>岡山</v>
      </c>
      <c r="G500" t="str">
        <f>"季刊"</f>
        <v>季刊</v>
      </c>
      <c r="H500" t="str">
        <f>"2002222306824"</f>
        <v>2002222306824</v>
      </c>
      <c r="I500" t="str">
        <f>HYPERLINK("#", "https://opac.libnet.pref.okayama.jp/licsxp-opac/WOpacMsgNewListToTifTilDetailAction.do?tilcod=2002222306824")</f>
        <v>https://opac.libnet.pref.okayama.jp/licsxp-opac/WOpacMsgNewListToTifTilDetailAction.do?tilcod=2002222306824</v>
      </c>
    </row>
    <row r="501" spans="1:9" x14ac:dyDescent="0.4">
      <c r="A501" t="str">
        <f>"OKAYAMA看護協会だより"</f>
        <v>OKAYAMA看護協会だより</v>
      </c>
      <c r="B501" s="1" t="str">
        <f t="shared" si="21"/>
        <v>OKAYAMA看護協会だより</v>
      </c>
      <c r="C501" t="str">
        <f>"オカヤマ カンゴ キョウカイ ダヨリ"</f>
        <v>オカヤマ カンゴ キョウカイ ダヨリ</v>
      </c>
      <c r="D501" t="str">
        <f>"岡山県看護協会"</f>
        <v>岡山県看護協会</v>
      </c>
      <c r="E501" t="str">
        <f>"オカヤマケン カンゴ キョウカイ"</f>
        <v>オカヤマケン カンゴ キョウカイ</v>
      </c>
      <c r="F501" t="str">
        <f t="shared" si="24"/>
        <v>岡山</v>
      </c>
      <c r="G501" t="str">
        <f>"季刊"</f>
        <v>季刊</v>
      </c>
      <c r="H501" t="str">
        <f>"2002222306825"</f>
        <v>2002222306825</v>
      </c>
      <c r="I501" t="str">
        <f>HYPERLINK("#", "https://opac.libnet.pref.okayama.jp/licsxp-opac/WOpacMsgNewListToTifTilDetailAction.do?tilcod=2002222306825")</f>
        <v>https://opac.libnet.pref.okayama.jp/licsxp-opac/WOpacMsgNewListToTifTilDetailAction.do?tilcod=2002222306825</v>
      </c>
    </row>
    <row r="502" spans="1:9" x14ac:dyDescent="0.4">
      <c r="A502" t="str">
        <f>"おかやま観光イベント先取り情報版"</f>
        <v>おかやま観光イベント先取り情報版</v>
      </c>
      <c r="B502" s="1" t="str">
        <f t="shared" si="21"/>
        <v>おかやま観光イベント先取り情報版</v>
      </c>
      <c r="C502" t="str">
        <f>"オカヤマ　カンコウ　イベント　サキドリ　ジョウホウ　バン"</f>
        <v>オカヤマ　カンコウ　イベント　サキドリ　ジョウホウ　バン</v>
      </c>
      <c r="D502" t="str">
        <f>"岡山県観光連盟"</f>
        <v>岡山県観光連盟</v>
      </c>
      <c r="E502" t="str">
        <f>"オカヤマケン カンコウ レンメイ"</f>
        <v>オカヤマケン カンコウ レンメイ</v>
      </c>
      <c r="F502" t="str">
        <f t="shared" si="24"/>
        <v>岡山</v>
      </c>
      <c r="G502" t="str">
        <f>"季刊"</f>
        <v>季刊</v>
      </c>
      <c r="H502" t="str">
        <f>"2002222284871"</f>
        <v>2002222284871</v>
      </c>
      <c r="I502" t="str">
        <f>HYPERLINK("#", "https://opac.libnet.pref.okayama.jp/licsxp-opac/WOpacMsgNewListToTifTilDetailAction.do?tilcod=2002222284871")</f>
        <v>https://opac.libnet.pref.okayama.jp/licsxp-opac/WOpacMsgNewListToTifTilDetailAction.do?tilcod=2002222284871</v>
      </c>
    </row>
    <row r="503" spans="1:9" x14ac:dyDescent="0.4">
      <c r="A503" t="str">
        <f>"おかやま乾杯!Max night ; ナイトインフォメーションマガジン"</f>
        <v>おかやま乾杯!Max night ; ナイトインフォメーションマガジン</v>
      </c>
      <c r="B503" s="1" t="str">
        <f t="shared" si="21"/>
        <v>おかやま乾杯!Max night ; ナイトインフォメーションマガジン</v>
      </c>
      <c r="C503" t="str">
        <f>"オカヤマ カンパイ マックス ナイト ナイト インフォメーション マガジン"</f>
        <v>オカヤマ カンパイ マックス ナイト ナイト インフォメーション マガジン</v>
      </c>
      <c r="D503" t="str">
        <f>"Max night編集部"</f>
        <v>Max night編集部</v>
      </c>
      <c r="E503" t="str">
        <f>"マックス ナイト ヘンシュウブ"</f>
        <v>マックス ナイト ヘンシュウブ</v>
      </c>
      <c r="F503" t="str">
        <f>"[岡山]"</f>
        <v>[岡山]</v>
      </c>
      <c r="G503" t="str">
        <f>"隔月刊"</f>
        <v>隔月刊</v>
      </c>
      <c r="H503" t="str">
        <f>"2002222332466"</f>
        <v>2002222332466</v>
      </c>
      <c r="I503" t="str">
        <f>HYPERLINK("#", "https://opac.libnet.pref.okayama.jp/licsxp-opac/WOpacMsgNewListToTifTilDetailAction.do?tilcod=2002222332466")</f>
        <v>https://opac.libnet.pref.okayama.jp/licsxp-opac/WOpacMsgNewListToTifTilDetailAction.do?tilcod=2002222332466</v>
      </c>
    </row>
    <row r="504" spans="1:9" x14ac:dyDescent="0.4">
      <c r="A504" t="str">
        <f>"おかやま基金だより"</f>
        <v>おかやま基金だより</v>
      </c>
      <c r="B504" s="1" t="str">
        <f t="shared" si="21"/>
        <v>おかやま基金だより</v>
      </c>
      <c r="C504" t="str">
        <f>"オカヤマ　キキンダヨリ"</f>
        <v>オカヤマ　キキンダヨリ</v>
      </c>
      <c r="D504" t="str">
        <f>"岡山県社会保険診療報酬支払基金"</f>
        <v>岡山県社会保険診療報酬支払基金</v>
      </c>
      <c r="E504" t="str">
        <f>"オカヤマケン シャカイ ホケン シンリョウ ホウシュウ シハライ キキン"</f>
        <v>オカヤマケン シャカイ ホケン シンリョウ ホウシュウ シハライ キキン</v>
      </c>
      <c r="F504" t="str">
        <f>""</f>
        <v/>
      </c>
      <c r="G504" t="str">
        <f t="shared" ref="G504:G513" si="25">"頻度不明"</f>
        <v>頻度不明</v>
      </c>
      <c r="H504" t="str">
        <f>"2002222289021"</f>
        <v>2002222289021</v>
      </c>
      <c r="I504" t="str">
        <f>HYPERLINK("#", "https://opac.libnet.pref.okayama.jp/licsxp-opac/WOpacMsgNewListToTifTilDetailAction.do?tilcod=2002222289021")</f>
        <v>https://opac.libnet.pref.okayama.jp/licsxp-opac/WOpacMsgNewListToTifTilDetailAction.do?tilcod=2002222289021</v>
      </c>
    </row>
    <row r="505" spans="1:9" x14ac:dyDescent="0.4">
      <c r="A505" t="str">
        <f>"岡山北ロータリークラブ"</f>
        <v>岡山北ロータリークラブ</v>
      </c>
      <c r="B505" s="1" t="str">
        <f t="shared" si="21"/>
        <v>岡山北ロータリークラブ</v>
      </c>
      <c r="C505" t="str">
        <f>"オカヤマ キタ ロータリークラブ "</f>
        <v xml:space="preserve">オカヤマ キタ ロータリークラブ </v>
      </c>
      <c r="D505" t="str">
        <f>"岡山北ロータリークラブ"</f>
        <v>岡山北ロータリークラブ</v>
      </c>
      <c r="E505" t="str">
        <f>"オカヤマ キタ ロータリー クラブ"</f>
        <v>オカヤマ キタ ロータリー クラブ</v>
      </c>
      <c r="F505" t="str">
        <f>"岡山"</f>
        <v>岡山</v>
      </c>
      <c r="G505" t="str">
        <f t="shared" si="25"/>
        <v>頻度不明</v>
      </c>
      <c r="H505" t="str">
        <f>"2002222327926"</f>
        <v>2002222327926</v>
      </c>
      <c r="I505" t="str">
        <f>HYPERLINK("#", "https://opac.libnet.pref.okayama.jp/licsxp-opac/WOpacMsgNewListToTifTilDetailAction.do?tilcod=2002222327926")</f>
        <v>https://opac.libnet.pref.okayama.jp/licsxp-opac/WOpacMsgNewListToTifTilDetailAction.do?tilcod=2002222327926</v>
      </c>
    </row>
    <row r="506" spans="1:9" x14ac:dyDescent="0.4">
      <c r="A506" t="str">
        <f>"〔岡山吉備高等学校〕岡山県私学特報"</f>
        <v>〔岡山吉備高等学校〕岡山県私学特報</v>
      </c>
      <c r="B506" s="1" t="str">
        <f t="shared" si="21"/>
        <v>〔岡山吉備高等学校〕岡山県私学特報</v>
      </c>
      <c r="C506" t="str">
        <f>"オカヤマ　キビ　コウトウガッコウ＊オカヤマケン　シガク　トクホウ"</f>
        <v>オカヤマ　キビ　コウトウガッコウ＊オカヤマケン　シガク　トクホウ</v>
      </c>
      <c r="D506" t="str">
        <f>"吉備高等学校内岡山県私学協会"</f>
        <v>吉備高等学校内岡山県私学協会</v>
      </c>
      <c r="E506" t="str">
        <f>"キビ コウトウ ガッコウナイ オカヤマケン シガク キョウカイ"</f>
        <v>キビ コウトウ ガッコウナイ オカヤマケン シガク キョウカイ</v>
      </c>
      <c r="F506" t="str">
        <f>"岡山"</f>
        <v>岡山</v>
      </c>
      <c r="G506" t="str">
        <f t="shared" si="25"/>
        <v>頻度不明</v>
      </c>
      <c r="H506" t="str">
        <f>"2002222288191"</f>
        <v>2002222288191</v>
      </c>
      <c r="I506" t="str">
        <f>HYPERLINK("#", "https://opac.libnet.pref.okayama.jp/licsxp-opac/WOpacMsgNewListToTifTilDetailAction.do?tilcod=2002222288191")</f>
        <v>https://opac.libnet.pref.okayama.jp/licsxp-opac/WOpacMsgNewListToTifTilDetailAction.do?tilcod=2002222288191</v>
      </c>
    </row>
    <row r="507" spans="1:9" x14ac:dyDescent="0.4">
      <c r="A507" t="str">
        <f>"岡山教育新聞"</f>
        <v>岡山教育新聞</v>
      </c>
      <c r="B507" s="1" t="str">
        <f t="shared" si="21"/>
        <v>岡山教育新聞</v>
      </c>
      <c r="C507" t="str">
        <f>"オカヤマ キョウイク シンブン"</f>
        <v>オカヤマ キョウイク シンブン</v>
      </c>
      <c r="D507" t="str">
        <f>"岡山県教職員組合"</f>
        <v>岡山県教職員組合</v>
      </c>
      <c r="E507" t="str">
        <f>"オカヤマケン キョウショクイン クミアイ"</f>
        <v>オカヤマケン キョウショクイン クミアイ</v>
      </c>
      <c r="F507" t="str">
        <f>""</f>
        <v/>
      </c>
      <c r="G507" t="str">
        <f t="shared" si="25"/>
        <v>頻度不明</v>
      </c>
      <c r="H507" t="str">
        <f>"2002222331946"</f>
        <v>2002222331946</v>
      </c>
      <c r="I507" t="str">
        <f>HYPERLINK("#", "https://opac.libnet.pref.okayama.jp/licsxp-opac/WOpacMsgNewListToTifTilDetailAction.do?tilcod=2002222331946")</f>
        <v>https://opac.libnet.pref.okayama.jp/licsxp-opac/WOpacMsgNewListToTifTilDetailAction.do?tilcod=2002222331946</v>
      </c>
    </row>
    <row r="508" spans="1:9" x14ac:dyDescent="0.4">
      <c r="A508" t="str">
        <f>"岡山教弘友の会会報"</f>
        <v>岡山教弘友の会会報</v>
      </c>
      <c r="B508" s="1" t="str">
        <f t="shared" si="21"/>
        <v>岡山教弘友の会会報</v>
      </c>
      <c r="C508" t="str">
        <f>"オカヤマ キョウコウ トモ ノ カイ カイホウ"</f>
        <v>オカヤマ キョウコウ トモ ノ カイ カイホウ</v>
      </c>
      <c r="D508" t="str">
        <f>"岡山県教育弘済会"</f>
        <v>岡山県教育弘済会</v>
      </c>
      <c r="E508" t="str">
        <f>"オカヤマケン キョウイク コウサイカイ"</f>
        <v>オカヤマケン キョウイク コウサイカイ</v>
      </c>
      <c r="F508" t="str">
        <f>"岡山"</f>
        <v>岡山</v>
      </c>
      <c r="G508" t="str">
        <f t="shared" si="25"/>
        <v>頻度不明</v>
      </c>
      <c r="H508" t="str">
        <f>"2002222327946"</f>
        <v>2002222327946</v>
      </c>
      <c r="I508" t="str">
        <f>HYPERLINK("#", "https://opac.libnet.pref.okayama.jp/licsxp-opac/WOpacMsgNewListToTifTilDetailAction.do?tilcod=2002222327946")</f>
        <v>https://opac.libnet.pref.okayama.jp/licsxp-opac/WOpacMsgNewListToTifTilDetailAction.do?tilcod=2002222327946</v>
      </c>
    </row>
    <row r="509" spans="1:9" x14ac:dyDescent="0.4">
      <c r="A509" t="str">
        <f>"岡山教弘ニュース"</f>
        <v>岡山教弘ニュース</v>
      </c>
      <c r="B509" s="1" t="str">
        <f t="shared" si="21"/>
        <v>岡山教弘ニュース</v>
      </c>
      <c r="C509" t="str">
        <f>"オカヤマ　キョウコウ　ニュース"</f>
        <v>オカヤマ　キョウコウ　ニュース</v>
      </c>
      <c r="D509" t="str">
        <f>"岡山教弘"</f>
        <v>岡山教弘</v>
      </c>
      <c r="E509" t="str">
        <f>"オカヤマキョウコウ"</f>
        <v>オカヤマキョウコウ</v>
      </c>
      <c r="F509" t="str">
        <f>"岡山"</f>
        <v>岡山</v>
      </c>
      <c r="G509" t="str">
        <f t="shared" si="25"/>
        <v>頻度不明</v>
      </c>
      <c r="H509" t="str">
        <f>"2002222281901"</f>
        <v>2002222281901</v>
      </c>
      <c r="I509" t="str">
        <f>HYPERLINK("#", "https://opac.libnet.pref.okayama.jp/licsxp-opac/WOpacMsgNewListToTifTilDetailAction.do?tilcod=2002222281901")</f>
        <v>https://opac.libnet.pref.okayama.jp/licsxp-opac/WOpacMsgNewListToTifTilDetailAction.do?tilcod=2002222281901</v>
      </c>
    </row>
    <row r="510" spans="1:9" x14ac:dyDescent="0.4">
      <c r="A510" t="str">
        <f>"岡山教振だより"</f>
        <v>岡山教振だより</v>
      </c>
      <c r="B510" s="1" t="str">
        <f t="shared" si="21"/>
        <v>岡山教振だより</v>
      </c>
      <c r="C510" t="str">
        <f>"オカヤマ　キョウシン　ダヨリ"</f>
        <v>オカヤマ　キョウシン　ダヨリ</v>
      </c>
      <c r="D510" t="str">
        <f>"岡山県教育振興会"</f>
        <v>岡山県教育振興会</v>
      </c>
      <c r="E510" t="str">
        <f>"オカヤマケン キョウイク シンコウカイ"</f>
        <v>オカヤマケン キョウイク シンコウカイ</v>
      </c>
      <c r="F510" t="str">
        <f>"岡山"</f>
        <v>岡山</v>
      </c>
      <c r="G510" t="str">
        <f t="shared" si="25"/>
        <v>頻度不明</v>
      </c>
      <c r="H510" t="str">
        <f>"2002222300804"</f>
        <v>2002222300804</v>
      </c>
      <c r="I510" t="str">
        <f>HYPERLINK("#", "https://opac.libnet.pref.okayama.jp/licsxp-opac/WOpacMsgNewListToTifTilDetailAction.do?tilcod=2002222300804")</f>
        <v>https://opac.libnet.pref.okayama.jp/licsxp-opac/WOpacMsgNewListToTifTilDetailAction.do?tilcod=2002222300804</v>
      </c>
    </row>
    <row r="511" spans="1:9" x14ac:dyDescent="0.4">
      <c r="A511" t="str">
        <f>"岡山教組情報"</f>
        <v>岡山教組情報</v>
      </c>
      <c r="B511" s="1" t="str">
        <f t="shared" si="21"/>
        <v>岡山教組情報</v>
      </c>
      <c r="C511" t="str">
        <f>"オカヤマ　キョウソ　ジョウホウ"</f>
        <v>オカヤマ　キョウソ　ジョウホウ</v>
      </c>
      <c r="D511" t="str">
        <f>"岡山県教職員組合情報宣伝部"</f>
        <v>岡山県教職員組合情報宣伝部</v>
      </c>
      <c r="E511" t="str">
        <f>"オカヤマケン キョウショクイン クミアイ ジョウホウ センデンブ"</f>
        <v>オカヤマケン キョウショクイン クミアイ ジョウホウ センデンブ</v>
      </c>
      <c r="F511" t="str">
        <f>""</f>
        <v/>
      </c>
      <c r="G511" t="str">
        <f t="shared" si="25"/>
        <v>頻度不明</v>
      </c>
      <c r="H511" t="str">
        <f>"2002222289171"</f>
        <v>2002222289171</v>
      </c>
      <c r="I511" t="str">
        <f>HYPERLINK("#", "https://opac.libnet.pref.okayama.jp/licsxp-opac/WOpacMsgNewListToTifTilDetailAction.do?tilcod=2002222289171")</f>
        <v>https://opac.libnet.pref.okayama.jp/licsxp-opac/WOpacMsgNewListToTifTilDetailAction.do?tilcod=2002222289171</v>
      </c>
    </row>
    <row r="512" spans="1:9" x14ac:dyDescent="0.4">
      <c r="A512" t="str">
        <f>"岡山基督教"</f>
        <v>岡山基督教</v>
      </c>
      <c r="B512" s="1" t="str">
        <f t="shared" si="21"/>
        <v>岡山基督教</v>
      </c>
      <c r="C512" t="str">
        <f>"オカヤマ　キリストキョウ"</f>
        <v>オカヤマ　キリストキョウ</v>
      </c>
      <c r="D512" t="str">
        <f>"岡山基督教社"</f>
        <v>岡山基督教社</v>
      </c>
      <c r="E512" t="str">
        <f>"オカヤマキリストキョウシャ"</f>
        <v>オカヤマキリストキョウシャ</v>
      </c>
      <c r="F512" t="str">
        <f>""</f>
        <v/>
      </c>
      <c r="G512" t="str">
        <f t="shared" si="25"/>
        <v>頻度不明</v>
      </c>
      <c r="H512" t="str">
        <f>"2002222289181"</f>
        <v>2002222289181</v>
      </c>
      <c r="I512" t="str">
        <f>HYPERLINK("#", "https://opac.libnet.pref.okayama.jp/licsxp-opac/WOpacMsgNewListToTifTilDetailAction.do?tilcod=2002222289181")</f>
        <v>https://opac.libnet.pref.okayama.jp/licsxp-opac/WOpacMsgNewListToTifTilDetailAction.do?tilcod=2002222289181</v>
      </c>
    </row>
    <row r="513" spans="1:9" x14ac:dyDescent="0.4">
      <c r="A513" t="str">
        <f>"岡山禁煙ひろば"</f>
        <v>岡山禁煙ひろば</v>
      </c>
      <c r="B513" s="1" t="str">
        <f t="shared" si="21"/>
        <v>岡山禁煙ひろば</v>
      </c>
      <c r="C513" t="str">
        <f>"オカヤマ　キンエン　ヒロバ"</f>
        <v>オカヤマ　キンエン　ヒロバ</v>
      </c>
      <c r="D513" t="str">
        <f>"岡山県禁煙問題協議会事務局"</f>
        <v>岡山県禁煙問題協議会事務局</v>
      </c>
      <c r="E513" t="str">
        <f>"オカヤマケンキンエンモンダイキョウギカイジムキョク"</f>
        <v>オカヤマケンキンエンモンダイキョウギカイジムキョク</v>
      </c>
      <c r="F513" t="str">
        <f>""</f>
        <v/>
      </c>
      <c r="G513" t="str">
        <f t="shared" si="25"/>
        <v>頻度不明</v>
      </c>
      <c r="H513" t="str">
        <f>"2002222289191"</f>
        <v>2002222289191</v>
      </c>
      <c r="I513" t="str">
        <f>HYPERLINK("#", "https://opac.libnet.pref.okayama.jp/licsxp-opac/WOpacMsgNewListToTifTilDetailAction.do?tilcod=2002222289191")</f>
        <v>https://opac.libnet.pref.okayama.jp/licsxp-opac/WOpacMsgNewListToTifTilDetailAction.do?tilcod=2002222289191</v>
      </c>
    </row>
    <row r="514" spans="1:9" x14ac:dyDescent="0.4">
      <c r="A514" t="str">
        <f>"岡山近代史研究会　研究会誌"</f>
        <v>岡山近代史研究会　研究会誌</v>
      </c>
      <c r="B514" s="1" t="str">
        <f t="shared" si="21"/>
        <v>岡山近代史研究会　研究会誌</v>
      </c>
      <c r="C514" t="str">
        <f>"オカヤマ キンダイシ ケンキュウカイ　ケンキュウ カイシ"</f>
        <v>オカヤマ キンダイシ ケンキュウカイ　ケンキュウ カイシ</v>
      </c>
      <c r="D514" t="str">
        <f>"岡山近代史研究会"</f>
        <v>岡山近代史研究会</v>
      </c>
      <c r="E514" t="str">
        <f>"オカヤマ キンダイシ ケンキュウカイ"</f>
        <v>オカヤマ キンダイシ ケンキュウカイ</v>
      </c>
      <c r="F514" t="str">
        <f>"岡山"</f>
        <v>岡山</v>
      </c>
      <c r="G514" t="str">
        <f>"不定期刊"</f>
        <v>不定期刊</v>
      </c>
      <c r="H514" t="str">
        <f>"2002222328528"</f>
        <v>2002222328528</v>
      </c>
      <c r="I514" t="str">
        <f>HYPERLINK("#", "https://opac.libnet.pref.okayama.jp/licsxp-opac/WOpacMsgNewListToTifTilDetailAction.do?tilcod=2002222328528")</f>
        <v>https://opac.libnet.pref.okayama.jp/licsxp-opac/WOpacMsgNewListToTifTilDetailAction.do?tilcod=2002222328528</v>
      </c>
    </row>
    <row r="515" spans="1:9" x14ac:dyDescent="0.4">
      <c r="A515" t="str">
        <f>"岡山空港時刻表"</f>
        <v>岡山空港時刻表</v>
      </c>
      <c r="B515" s="1" t="str">
        <f t="shared" si="21"/>
        <v>岡山空港時刻表</v>
      </c>
      <c r="C515" t="str">
        <f>"オカヤマ　クウコウ　ジコクヒョウ"</f>
        <v>オカヤマ　クウコウ　ジコクヒョウ</v>
      </c>
      <c r="D515" t="str">
        <f>"空路利用を促進する会"</f>
        <v>空路利用を促進する会</v>
      </c>
      <c r="E515" t="str">
        <f>"クウロリヨウオソクシンスルカイ"</f>
        <v>クウロリヨウオソクシンスルカイ</v>
      </c>
      <c r="F515" t="str">
        <f>"岡山"</f>
        <v>岡山</v>
      </c>
      <c r="G515" t="str">
        <f>"不定期刊"</f>
        <v>不定期刊</v>
      </c>
      <c r="H515" t="str">
        <f>"2002222301138"</f>
        <v>2002222301138</v>
      </c>
      <c r="I515" t="str">
        <f>HYPERLINK("#", "https://opac.libnet.pref.okayama.jp/licsxp-opac/WOpacMsgNewListToTifTilDetailAction.do?tilcod=2002222301138")</f>
        <v>https://opac.libnet.pref.okayama.jp/licsxp-opac/WOpacMsgNewListToTifTilDetailAction.do?tilcod=2002222301138</v>
      </c>
    </row>
    <row r="516" spans="1:9" x14ac:dyDescent="0.4">
      <c r="A516" t="str">
        <f>"岡山空襲資料センターニュース"</f>
        <v>岡山空襲資料センターニュース</v>
      </c>
      <c r="B516" s="1" t="str">
        <f t="shared" ref="B516:B579" si="26">HYPERLINK("#", A516)</f>
        <v>岡山空襲資料センターニュース</v>
      </c>
      <c r="C516" t="str">
        <f>"オカヤマ　クウシュウ　シリョウ　センター　ニュース"</f>
        <v>オカヤマ　クウシュウ　シリョウ　センター　ニュース</v>
      </c>
      <c r="D516" t="str">
        <f>"岡山空襲資料センター"</f>
        <v>岡山空襲資料センター</v>
      </c>
      <c r="E516" t="str">
        <f>"オカヤマクウシュウシリョウセンター"</f>
        <v>オカヤマクウシュウシリョウセンター</v>
      </c>
      <c r="F516" t="str">
        <f>"岡山"</f>
        <v>岡山</v>
      </c>
      <c r="G516" t="str">
        <f>"不定期刊"</f>
        <v>不定期刊</v>
      </c>
      <c r="H516" t="str">
        <f>"2002222284641"</f>
        <v>2002222284641</v>
      </c>
      <c r="I516" t="str">
        <f>HYPERLINK("#", "https://opac.libnet.pref.okayama.jp/licsxp-opac/WOpacMsgNewListToTifTilDetailAction.do?tilcod=2002222284641")</f>
        <v>https://opac.libnet.pref.okayama.jp/licsxp-opac/WOpacMsgNewListToTifTilDetailAction.do?tilcod=2002222284641</v>
      </c>
    </row>
    <row r="517" spans="1:9" x14ac:dyDescent="0.4">
      <c r="A517" t="str">
        <f>"おかやま　くらしき　ふくやまステーションニュース"</f>
        <v>おかやま　くらしき　ふくやまステーションニュース</v>
      </c>
      <c r="B517" s="1" t="str">
        <f t="shared" si="26"/>
        <v>おかやま　くらしき　ふくやまステーションニュース</v>
      </c>
      <c r="C517" t="str">
        <f>"オカヤマ　クラシキ　フクヤマ　ステーション　ニュース"</f>
        <v>オカヤマ　クラシキ　フクヤマ　ステーション　ニュース</v>
      </c>
      <c r="D517" t="str">
        <f>"ＪＲ西日本・岡山支社"</f>
        <v>ＪＲ西日本・岡山支社</v>
      </c>
      <c r="E517" t="str">
        <f>"ジェーアール ニシニホン オカヤマ シシャ"</f>
        <v>ジェーアール ニシニホン オカヤマ シシャ</v>
      </c>
      <c r="F517" t="str">
        <f>""</f>
        <v/>
      </c>
      <c r="G517" t="str">
        <f>"頻度不明"</f>
        <v>頻度不明</v>
      </c>
      <c r="H517" t="str">
        <f>"2002222289201"</f>
        <v>2002222289201</v>
      </c>
      <c r="I517" t="str">
        <f>HYPERLINK("#", "https://opac.libnet.pref.okayama.jp/licsxp-opac/WOpacMsgNewListToTifTilDetailAction.do?tilcod=2002222289201")</f>
        <v>https://opac.libnet.pref.okayama.jp/licsxp-opac/WOpacMsgNewListToTifTilDetailAction.do?tilcod=2002222289201</v>
      </c>
    </row>
    <row r="518" spans="1:9" x14ac:dyDescent="0.4">
      <c r="A518" t="str">
        <f>"おかやま倶楽部"</f>
        <v>おかやま倶楽部</v>
      </c>
      <c r="B518" s="1" t="str">
        <f t="shared" si="26"/>
        <v>おかやま倶楽部</v>
      </c>
      <c r="C518" t="str">
        <f>"オカヤマ　クラブ"</f>
        <v>オカヤマ　クラブ</v>
      </c>
      <c r="D518" t="str">
        <f>"おかやま倶楽部事務局"</f>
        <v>おかやま倶楽部事務局</v>
      </c>
      <c r="E518" t="str">
        <f>"オカヤマクラブジムキョク"</f>
        <v>オカヤマクラブジムキョク</v>
      </c>
      <c r="F518" t="str">
        <f>"岡山"</f>
        <v>岡山</v>
      </c>
      <c r="G518" t="str">
        <f>"季刊"</f>
        <v>季刊</v>
      </c>
      <c r="H518" t="str">
        <f>"2002222300863"</f>
        <v>2002222300863</v>
      </c>
      <c r="I518" t="str">
        <f>HYPERLINK("#", "https://opac.libnet.pref.okayama.jp/licsxp-opac/WOpacMsgNewListToTifTilDetailAction.do?tilcod=2002222300863")</f>
        <v>https://opac.libnet.pref.okayama.jp/licsxp-opac/WOpacMsgNewListToTifTilDetailAction.do?tilcod=2002222300863</v>
      </c>
    </row>
    <row r="519" spans="1:9" x14ac:dyDescent="0.4">
      <c r="A519" t="str">
        <f>"OKAYAMA CLUB SNAP PIECE（オカヤマクラブスナップピース)"</f>
        <v>OKAYAMA CLUB SNAP PIECE（オカヤマクラブスナップピース)</v>
      </c>
      <c r="B519" s="1" t="str">
        <f t="shared" si="26"/>
        <v>OKAYAMA CLUB SNAP PIECE（オカヤマクラブスナップピース)</v>
      </c>
      <c r="C519" t="str">
        <f>"オカヤマ クラブ スナップ ピース  "</f>
        <v xml:space="preserve">オカヤマ クラブ スナップ ピース  </v>
      </c>
      <c r="D519" t="str">
        <f>"PIECE"</f>
        <v>PIECE</v>
      </c>
      <c r="E519" t="str">
        <f>"ピース"</f>
        <v>ピース</v>
      </c>
      <c r="F519" t="str">
        <f>""</f>
        <v/>
      </c>
      <c r="G519" t="str">
        <f>"季刊"</f>
        <v>季刊</v>
      </c>
      <c r="H519" t="str">
        <f>"2002222307816"</f>
        <v>2002222307816</v>
      </c>
      <c r="I519" t="str">
        <f>HYPERLINK("#", "https://opac.libnet.pref.okayama.jp/licsxp-opac/WOpacMsgNewListToTifTilDetailAction.do?tilcod=2002222307816")</f>
        <v>https://opac.libnet.pref.okayama.jp/licsxp-opac/WOpacMsgNewListToTifTilDetailAction.do?tilcod=2002222307816</v>
      </c>
    </row>
    <row r="520" spans="1:9" x14ac:dyDescent="0.4">
      <c r="A520" t="str">
        <f>"岡山経協ニュース；NEWS（ニュース）"</f>
        <v>岡山経協ニュース；NEWS（ニュース）</v>
      </c>
      <c r="B520" s="1" t="str">
        <f t="shared" si="26"/>
        <v>岡山経協ニュース；NEWS（ニュース）</v>
      </c>
      <c r="C520" t="str">
        <f>"オカヤマ　ケイキョウ　ニュース＊ニュース"</f>
        <v>オカヤマ　ケイキョウ　ニュース＊ニュース</v>
      </c>
      <c r="D520" t="str">
        <f>"岡山県経営者協会"</f>
        <v>岡山県経営者協会</v>
      </c>
      <c r="E520" t="str">
        <f>"オカヤマケン ケイエイシャ キョウカイ"</f>
        <v>オカヤマケン ケイエイシャ キョウカイ</v>
      </c>
      <c r="F520" t="str">
        <f>"岡山"</f>
        <v>岡山</v>
      </c>
      <c r="G520" t="str">
        <f>"月刊"</f>
        <v>月刊</v>
      </c>
      <c r="H520" t="str">
        <f>"2002222301929"</f>
        <v>2002222301929</v>
      </c>
      <c r="I520" t="str">
        <f>HYPERLINK("#", "https://opac.libnet.pref.okayama.jp/licsxp-opac/WOpacMsgNewListToTifTilDetailAction.do?tilcod=2002222301929")</f>
        <v>https://opac.libnet.pref.okayama.jp/licsxp-opac/WOpacMsgNewListToTifTilDetailAction.do?tilcod=2002222301929</v>
      </c>
    </row>
    <row r="521" spans="1:9" x14ac:dyDescent="0.4">
      <c r="A521" t="str">
        <f>"岡山経済"</f>
        <v>岡山経済</v>
      </c>
      <c r="B521" s="1" t="str">
        <f t="shared" si="26"/>
        <v>岡山経済</v>
      </c>
      <c r="C521" t="str">
        <f>"オカヤマ　ケイザイ"</f>
        <v>オカヤマ　ケイザイ</v>
      </c>
      <c r="D521" t="str">
        <f>"岡山経済研究所"</f>
        <v>岡山経済研究所</v>
      </c>
      <c r="E521" t="str">
        <f>"オカヤマケイザイケンキュウショ"</f>
        <v>オカヤマケイザイケンキュウショ</v>
      </c>
      <c r="F521" t="str">
        <f>"岡山"</f>
        <v>岡山</v>
      </c>
      <c r="G521" t="str">
        <f>"月刊"</f>
        <v>月刊</v>
      </c>
      <c r="H521" t="str">
        <f>"2002222291041"</f>
        <v>2002222291041</v>
      </c>
      <c r="I521" t="str">
        <f>HYPERLINK("#", "https://opac.libnet.pref.okayama.jp/licsxp-opac/WOpacMsgNewListToTifTilDetailAction.do?tilcod=2002222291041")</f>
        <v>https://opac.libnet.pref.okayama.jp/licsxp-opac/WOpacMsgNewListToTifTilDetailAction.do?tilcod=2002222291041</v>
      </c>
    </row>
    <row r="522" spans="1:9" x14ac:dyDescent="0.4">
      <c r="A522" t="str">
        <f>"岡山経済更生時報"</f>
        <v>岡山経済更生時報</v>
      </c>
      <c r="B522" s="1" t="str">
        <f t="shared" si="26"/>
        <v>岡山経済更生時報</v>
      </c>
      <c r="C522" t="str">
        <f>"オカヤマ ケイザイ コウセイ ジホウ"</f>
        <v>オカヤマ ケイザイ コウセイ ジホウ</v>
      </c>
      <c r="D522" t="str">
        <f>"岡山経済更生協会"</f>
        <v>岡山経済更生協会</v>
      </c>
      <c r="E522" t="str">
        <f>"オカヤマ ケイザイ コウセイ キョウカイ"</f>
        <v>オカヤマ ケイザイ コウセイ キョウカイ</v>
      </c>
      <c r="F522" t="str">
        <f>"岡山"</f>
        <v>岡山</v>
      </c>
      <c r="G522" t="str">
        <f>"月刊"</f>
        <v>月刊</v>
      </c>
      <c r="H522" t="str">
        <f>"2002222309826"</f>
        <v>2002222309826</v>
      </c>
      <c r="I522" t="str">
        <f>HYPERLINK("#", "https://opac.libnet.pref.okayama.jp/licsxp-opac/WOpacMsgNewListToTifTilDetailAction.do?tilcod=2002222309826")</f>
        <v>https://opac.libnet.pref.okayama.jp/licsxp-opac/WOpacMsgNewListToTifTilDetailAction.do?tilcod=2002222309826</v>
      </c>
    </row>
    <row r="523" spans="1:9" x14ac:dyDescent="0.4">
      <c r="A523" t="str">
        <f>"岡山経済増刊（東瀬戸内経済天気図）"</f>
        <v>岡山経済増刊（東瀬戸内経済天気図）</v>
      </c>
      <c r="B523" s="1" t="str">
        <f t="shared" si="26"/>
        <v>岡山経済増刊（東瀬戸内経済天気図）</v>
      </c>
      <c r="C523" t="str">
        <f>"オカヤマ　ケイザイ　ゾウカン＊ヒガシ　セトウチ　ケイザイ　テンキ　ズ"</f>
        <v>オカヤマ　ケイザイ　ゾウカン＊ヒガシ　セトウチ　ケイザイ　テンキ　ズ</v>
      </c>
      <c r="D523" t="str">
        <f>"岡山経済研究所"</f>
        <v>岡山経済研究所</v>
      </c>
      <c r="E523" t="str">
        <f>"オカヤマ ケイザイ ケンキュウジョ"</f>
        <v>オカヤマ ケイザイ ケンキュウジョ</v>
      </c>
      <c r="F523" t="str">
        <f>""</f>
        <v/>
      </c>
      <c r="G523" t="str">
        <f>"頻度不明"</f>
        <v>頻度不明</v>
      </c>
      <c r="H523" t="str">
        <f>"2002222289253"</f>
        <v>2002222289253</v>
      </c>
      <c r="I523" t="str">
        <f>HYPERLINK("#", "https://opac.libnet.pref.okayama.jp/licsxp-opac/WOpacMsgNewListToTifTilDetailAction.do?tilcod=2002222289253")</f>
        <v>https://opac.libnet.pref.okayama.jp/licsxp-opac/WOpacMsgNewListToTifTilDetailAction.do?tilcod=2002222289253</v>
      </c>
    </row>
    <row r="524" spans="1:9" x14ac:dyDescent="0.4">
      <c r="A524" t="str">
        <f>"おかやま経済同友"</f>
        <v>おかやま経済同友</v>
      </c>
      <c r="B524" s="1" t="str">
        <f t="shared" si="26"/>
        <v>おかやま経済同友</v>
      </c>
      <c r="C524" t="str">
        <f>"オカヤマ　ケイザイ　ドウユウ"</f>
        <v>オカヤマ　ケイザイ　ドウユウ</v>
      </c>
      <c r="D524" t="str">
        <f>"岡山経済同友会総務・広報委員会"</f>
        <v>岡山経済同友会総務・広報委員会</v>
      </c>
      <c r="E524" t="str">
        <f>"オカヤマ ケイザイ ドウユウカイ ソウム コウホウ イインカイ"</f>
        <v>オカヤマ ケイザイ ドウユウカイ ソウム コウホウ イインカイ</v>
      </c>
      <c r="F524" t="str">
        <f t="shared" ref="F524:F529" si="27">"岡山"</f>
        <v>岡山</v>
      </c>
      <c r="G524" t="str">
        <f>"隔月刊"</f>
        <v>隔月刊</v>
      </c>
      <c r="H524" t="str">
        <f>"2002222282691"</f>
        <v>2002222282691</v>
      </c>
      <c r="I524" t="str">
        <f>HYPERLINK("#", "https://opac.libnet.pref.okayama.jp/licsxp-opac/WOpacMsgNewListToTifTilDetailAction.do?tilcod=2002222282691")</f>
        <v>https://opac.libnet.pref.okayama.jp/licsxp-opac/WOpacMsgNewListToTifTilDetailAction.do?tilcod=2002222282691</v>
      </c>
    </row>
    <row r="525" spans="1:9" x14ac:dyDescent="0.4">
      <c r="A525" t="str">
        <f>"岡山経済同友"</f>
        <v>岡山経済同友</v>
      </c>
      <c r="B525" s="1" t="str">
        <f t="shared" si="26"/>
        <v>岡山経済同友</v>
      </c>
      <c r="C525" t="str">
        <f>"オカヤマ　ケイザイ　ドウユウ"</f>
        <v>オカヤマ　ケイザイ　ドウユウ</v>
      </c>
      <c r="D525" t="str">
        <f>"岡山経済同友会広報委員会"</f>
        <v>岡山経済同友会広報委員会</v>
      </c>
      <c r="E525" t="str">
        <f>"オカヤマ ケイザイ ドウユウカイ コウホウ イインカイ"</f>
        <v>オカヤマ ケイザイ ドウユウカイ コウホウ イインカイ</v>
      </c>
      <c r="F525" t="str">
        <f t="shared" si="27"/>
        <v>岡山</v>
      </c>
      <c r="G525" t="str">
        <f>"隔月刊"</f>
        <v>隔月刊</v>
      </c>
      <c r="H525" t="str">
        <f>"2002222291051"</f>
        <v>2002222291051</v>
      </c>
      <c r="I525" t="str">
        <f>HYPERLINK("#", "https://opac.libnet.pref.okayama.jp/licsxp-opac/WOpacMsgNewListToTifTilDetailAction.do?tilcod=2002222291051")</f>
        <v>https://opac.libnet.pref.okayama.jp/licsxp-opac/WOpacMsgNewListToTifTilDetailAction.do?tilcod=2002222291051</v>
      </c>
    </row>
    <row r="526" spans="1:9" x14ac:dyDescent="0.4">
      <c r="A526" t="str">
        <f>"岡山経済連情報"</f>
        <v>岡山経済連情報</v>
      </c>
      <c r="B526" s="1" t="str">
        <f t="shared" si="26"/>
        <v>岡山経済連情報</v>
      </c>
      <c r="C526" t="str">
        <f>"オカヤマ　ケイザイレン　ジョウホウ"</f>
        <v>オカヤマ　ケイザイレン　ジョウホウ</v>
      </c>
      <c r="D526" t="str">
        <f>"岡山県経済農業協同組合連合会"</f>
        <v>岡山県経済農業協同組合連合会</v>
      </c>
      <c r="E526" t="str">
        <f>"オカヤマケン ケイザイ ノウギョウ キョウドウ クミアイ レンゴウカイ"</f>
        <v>オカヤマケン ケイザイ ノウギョウ キョウドウ クミアイ レンゴウカイ</v>
      </c>
      <c r="F526" t="str">
        <f t="shared" si="27"/>
        <v>岡山</v>
      </c>
      <c r="G526" t="str">
        <f>"週刊"</f>
        <v>週刊</v>
      </c>
      <c r="H526" t="str">
        <f>"2002222300803"</f>
        <v>2002222300803</v>
      </c>
      <c r="I526" t="str">
        <f>HYPERLINK("#", "https://opac.libnet.pref.okayama.jp/licsxp-opac/WOpacMsgNewListToTifTilDetailAction.do?tilcod=2002222300803")</f>
        <v>https://opac.libnet.pref.okayama.jp/licsxp-opac/WOpacMsgNewListToTifTilDetailAction.do?tilcod=2002222300803</v>
      </c>
    </row>
    <row r="527" spans="1:9" x14ac:dyDescent="0.4">
      <c r="A527" t="str">
        <f>"岡山芸術創造劇場 ハレノワ EVENT CALENDAR（イベントカレンダー）"</f>
        <v>岡山芸術創造劇場 ハレノワ EVENT CALENDAR（イベントカレンダー）</v>
      </c>
      <c r="B527" s="1" t="str">
        <f t="shared" si="26"/>
        <v>岡山芸術創造劇場 ハレノワ EVENT CALENDAR（イベントカレンダー）</v>
      </c>
      <c r="C527" t="str">
        <f>"オカヤマ ゲイジュツ ソウゾウ ゲキジョウ ハレノワ イベント カレンダー"</f>
        <v>オカヤマ ゲイジュツ ソウゾウ ゲキジョウ ハレノワ イベント カレンダー</v>
      </c>
      <c r="D527" t="str">
        <f>"岡山芸術創造劇場"</f>
        <v>岡山芸術創造劇場</v>
      </c>
      <c r="E527" t="str">
        <f>"オカヤマ ゲイジュツ ソウゾウ ゲキジョウ"</f>
        <v>オカヤマ ゲイジュツ ソウゾウ ゲキジョウ</v>
      </c>
      <c r="F527" t="str">
        <f t="shared" si="27"/>
        <v>岡山</v>
      </c>
      <c r="G527" t="str">
        <f>"月刊"</f>
        <v>月刊</v>
      </c>
      <c r="H527" t="str">
        <f>"2002222343671"</f>
        <v>2002222343671</v>
      </c>
      <c r="I527" t="str">
        <f>HYPERLINK("#", "https://opac.libnet.pref.okayama.jp/licsxp-opac/WOpacMsgNewListToTifTilDetailAction.do?tilcod=2002222343671")</f>
        <v>https://opac.libnet.pref.okayama.jp/licsxp-opac/WOpacMsgNewListToTifTilDetailAction.do?tilcod=2002222343671</v>
      </c>
    </row>
    <row r="528" spans="1:9" x14ac:dyDescent="0.4">
      <c r="A528" t="str">
        <f>"をかやま芸能週報"</f>
        <v>をかやま芸能週報</v>
      </c>
      <c r="B528" s="1" t="str">
        <f t="shared" si="26"/>
        <v>をかやま芸能週報</v>
      </c>
      <c r="C528" t="str">
        <f>"オカヤマ　ゲイノウ　シュウホウ"</f>
        <v>オカヤマ　ゲイノウ　シュウホウ</v>
      </c>
      <c r="D528" t="str">
        <f>"岡山国際文化協会"</f>
        <v>岡山国際文化協会</v>
      </c>
      <c r="E528" t="str">
        <f>"オカヤマ コクサイ ブンカ キョウカイ"</f>
        <v>オカヤマ コクサイ ブンカ キョウカイ</v>
      </c>
      <c r="F528" t="str">
        <f t="shared" si="27"/>
        <v>岡山</v>
      </c>
      <c r="G528" t="str">
        <f>"週刊"</f>
        <v>週刊</v>
      </c>
      <c r="H528" t="str">
        <f>"2002222301834"</f>
        <v>2002222301834</v>
      </c>
      <c r="I528" t="str">
        <f>HYPERLINK("#", "https://opac.libnet.pref.okayama.jp/licsxp-opac/WOpacMsgNewListToTifTilDetailAction.do?tilcod=2002222301834")</f>
        <v>https://opac.libnet.pref.okayama.jp/licsxp-opac/WOpacMsgNewListToTifTilDetailAction.do?tilcod=2002222301834</v>
      </c>
    </row>
    <row r="529" spans="1:9" x14ac:dyDescent="0.4">
      <c r="A529" t="str">
        <f>"岡山県学校生協だより；ｅ　Ｈｕｍｍｉｎｇ（いーハミング）"</f>
        <v>岡山県学校生協だより；ｅ　Ｈｕｍｍｉｎｇ（いーハミング）</v>
      </c>
      <c r="B529" s="1" t="str">
        <f t="shared" si="26"/>
        <v>岡山県学校生協だより；ｅ　Ｈｕｍｍｉｎｇ（いーハミング）</v>
      </c>
      <c r="C529" t="str">
        <f>"オカヤマ　ケン　ガッコウ　セイキョウ　ダヨリ＊イー　ハミング"</f>
        <v>オカヤマ　ケン　ガッコウ　セイキョウ　ダヨリ＊イー　ハミング</v>
      </c>
      <c r="D529" t="str">
        <f>"岡山県学校生協共同組合"</f>
        <v>岡山県学校生協共同組合</v>
      </c>
      <c r="E529" t="str">
        <f>"オカヤマケンガッコウセイキョウキョウドウクミアイ"</f>
        <v>オカヤマケンガッコウセイキョウキョウドウクミアイ</v>
      </c>
      <c r="F529" t="str">
        <f t="shared" si="27"/>
        <v>岡山</v>
      </c>
      <c r="G529" t="str">
        <f>"季刊"</f>
        <v>季刊</v>
      </c>
      <c r="H529" t="str">
        <f>"2002222286151"</f>
        <v>2002222286151</v>
      </c>
      <c r="I529" t="str">
        <f>HYPERLINK("#", "https://opac.libnet.pref.okayama.jp/licsxp-opac/WOpacMsgNewListToTifTilDetailAction.do?tilcod=2002222286151")</f>
        <v>https://opac.libnet.pref.okayama.jp/licsxp-opac/WOpacMsgNewListToTifTilDetailAction.do?tilcod=2002222286151</v>
      </c>
    </row>
    <row r="530" spans="1:9" x14ac:dyDescent="0.4">
      <c r="A530" t="str">
        <f>"[奈義町立奈義中学校]学校要覧"</f>
        <v>[奈義町立奈義中学校]学校要覧</v>
      </c>
      <c r="B530" s="1" t="str">
        <f t="shared" si="26"/>
        <v>[奈義町立奈義中学校]学校要覧</v>
      </c>
      <c r="C530" t="str">
        <f>"オカヤマ ケン カツタ グン ナギ チョウリツ ナギ チュウガッコウ ガッコウ ヨウラン"</f>
        <v>オカヤマ ケン カツタ グン ナギ チョウリツ ナギ チュウガッコウ ガッコウ ヨウラン</v>
      </c>
      <c r="D530" t="str">
        <f>"奈義町立奈義中学校"</f>
        <v>奈義町立奈義中学校</v>
      </c>
      <c r="E530" t="str">
        <f>"ナギチョウリツ ナギ チュウガッコウ"</f>
        <v>ナギチョウリツ ナギ チュウガッコウ</v>
      </c>
      <c r="F530" t="str">
        <f>"出版地不明"</f>
        <v>出版地不明</v>
      </c>
      <c r="G530" t="str">
        <f>"年刊"</f>
        <v>年刊</v>
      </c>
      <c r="H530" t="str">
        <f>"2002222338114"</f>
        <v>2002222338114</v>
      </c>
      <c r="I530" t="str">
        <f>HYPERLINK("#", "https://opac.libnet.pref.okayama.jp/licsxp-opac/WOpacMsgNewListToTifTilDetailAction.do?tilcod=2002222338114")</f>
        <v>https://opac.libnet.pref.okayama.jp/licsxp-opac/WOpacMsgNewListToTifTilDetailAction.do?tilcod=2002222338114</v>
      </c>
    </row>
    <row r="531" spans="1:9" x14ac:dyDescent="0.4">
      <c r="A531" t="str">
        <f>"岡山県金鵄会報"</f>
        <v>岡山県金鵄会報</v>
      </c>
      <c r="B531" s="1" t="str">
        <f t="shared" si="26"/>
        <v>岡山県金鵄会報</v>
      </c>
      <c r="C531" t="str">
        <f>"オカヤマ ケン キンシ カイホウ"</f>
        <v>オカヤマ ケン キンシ カイホウ</v>
      </c>
      <c r="D531" t="str">
        <f>"岡山県金鵄会"</f>
        <v>岡山県金鵄会</v>
      </c>
      <c r="E531" t="str">
        <f>"オカヤマ ケン キンシ カイ"</f>
        <v>オカヤマ ケン キンシ カイ</v>
      </c>
      <c r="F531" t="str">
        <f>""</f>
        <v/>
      </c>
      <c r="G531" t="str">
        <f>"頻度不明"</f>
        <v>頻度不明</v>
      </c>
      <c r="H531" t="str">
        <f>"2002222338073"</f>
        <v>2002222338073</v>
      </c>
      <c r="I531" t="str">
        <f>HYPERLINK("#", "https://opac.libnet.pref.okayama.jp/licsxp-opac/WOpacMsgNewListToTifTilDetailAction.do?tilcod=2002222338073")</f>
        <v>https://opac.libnet.pref.okayama.jp/licsxp-opac/WOpacMsgNewListToTifTilDetailAction.do?tilcod=2002222338073</v>
      </c>
    </row>
    <row r="532" spans="1:9" x14ac:dyDescent="0.4">
      <c r="A532" t="str">
        <f>"〔岡山県原子科学技術教育研究会〕会誌"</f>
        <v>〔岡山県原子科学技術教育研究会〕会誌</v>
      </c>
      <c r="B532" s="1" t="str">
        <f t="shared" si="26"/>
        <v>〔岡山県原子科学技術教育研究会〕会誌</v>
      </c>
      <c r="C532" t="str">
        <f>"オカヤマ ケン ゲンシ カガク ギジュツ キョウイク ケンキュウ カイ カイシ"</f>
        <v>オカヤマ ケン ゲンシ カガク ギジュツ キョウイク ケンキュウ カイ カイシ</v>
      </c>
      <c r="D532" t="str">
        <f>"岡山県原子科学技術教育研究会"</f>
        <v>岡山県原子科学技術教育研究会</v>
      </c>
      <c r="E532" t="str">
        <f>"ミマサカチョウブンカキョウカイ"</f>
        <v>ミマサカチョウブンカキョウカイ</v>
      </c>
      <c r="F532" t="str">
        <f>"倉敷"</f>
        <v>倉敷</v>
      </c>
      <c r="G532" t="str">
        <f>"頻度不明"</f>
        <v>頻度不明</v>
      </c>
      <c r="H532" t="str">
        <f>"2002222338071"</f>
        <v>2002222338071</v>
      </c>
      <c r="I532" t="str">
        <f>HYPERLINK("#", "https://opac.libnet.pref.okayama.jp/licsxp-opac/WOpacMsgNewListToTifTilDetailAction.do?tilcod=2002222338071")</f>
        <v>https://opac.libnet.pref.okayama.jp/licsxp-opac/WOpacMsgNewListToTifTilDetailAction.do?tilcod=2002222338071</v>
      </c>
    </row>
    <row r="533" spans="1:9" x14ac:dyDescent="0.4">
      <c r="A533" t="str">
        <f>"〔岡山県情報教育センター〕研究紀要"</f>
        <v>〔岡山県情報教育センター〕研究紀要</v>
      </c>
      <c r="B533" s="1" t="str">
        <f t="shared" si="26"/>
        <v>〔岡山県情報教育センター〕研究紀要</v>
      </c>
      <c r="C533" t="str">
        <f>"オカヤマ　ケン　ジョウホウ　キョウイク　センター　ケンキュウ　キヨウ"</f>
        <v>オカヤマ　ケン　ジョウホウ　キョウイク　センター　ケンキュウ　キヨウ</v>
      </c>
      <c r="D533" t="str">
        <f>"岡山県情報教育センター"</f>
        <v>岡山県情報教育センター</v>
      </c>
      <c r="E533" t="str">
        <f>"オカヤマケンジョウホウキョウイクセンター"</f>
        <v>オカヤマケンジョウホウキョウイクセンター</v>
      </c>
      <c r="F533" t="str">
        <f t="shared" ref="F533:F540" si="28">"岡山"</f>
        <v>岡山</v>
      </c>
      <c r="G533" t="str">
        <f>"年刊"</f>
        <v>年刊</v>
      </c>
      <c r="H533" t="str">
        <f>"2002222284991"</f>
        <v>2002222284991</v>
      </c>
      <c r="I533" t="str">
        <f>HYPERLINK("#", "https://opac.libnet.pref.okayama.jp/licsxp-opac/WOpacMsgNewListToTifTilDetailAction.do?tilcod=2002222284991")</f>
        <v>https://opac.libnet.pref.okayama.jp/licsxp-opac/WOpacMsgNewListToTifTilDetailAction.do?tilcod=2002222284991</v>
      </c>
    </row>
    <row r="534" spans="1:9" x14ac:dyDescent="0.4">
      <c r="A534" t="str">
        <f>"おかやま元気！集落通信"</f>
        <v>おかやま元気！集落通信</v>
      </c>
      <c r="B534" s="1" t="str">
        <f t="shared" si="26"/>
        <v>おかやま元気！集落通信</v>
      </c>
      <c r="C534" t="str">
        <f>"オカヤマ　ゲンキ　シュウラク　ツウシン"</f>
        <v>オカヤマ　ゲンキ　シュウラク　ツウシン</v>
      </c>
      <c r="D534" t="str">
        <f>"岡山県中山間地域協働支援センター"</f>
        <v>岡山県中山間地域協働支援センター</v>
      </c>
      <c r="E534" t="str">
        <f>"オカヤマケン チュウサンカン チイキ キョウドウ シエン センター"</f>
        <v>オカヤマケン チュウサンカン チイキ キョウドウ シエン センター</v>
      </c>
      <c r="F534" t="str">
        <f t="shared" si="28"/>
        <v>岡山</v>
      </c>
      <c r="G534" t="str">
        <f>"頻度不明"</f>
        <v>頻度不明</v>
      </c>
      <c r="H534" t="str">
        <f>"2002222326987"</f>
        <v>2002222326987</v>
      </c>
      <c r="I534" t="str">
        <f>HYPERLINK("#", "https://opac.libnet.pref.okayama.jp/licsxp-opac/WOpacMsgNewListToTifTilDetailAction.do?tilcod=2002222326987")</f>
        <v>https://opac.libnet.pref.okayama.jp/licsxp-opac/WOpacMsgNewListToTifTilDetailAction.do?tilcod=2002222326987</v>
      </c>
    </row>
    <row r="535" spans="1:9" x14ac:dyDescent="0.4">
      <c r="A535" t="str">
        <f>"おかやま県議会だより；岡山県議会広報紙"</f>
        <v>おかやま県議会だより；岡山県議会広報紙</v>
      </c>
      <c r="B535" s="1" t="str">
        <f t="shared" si="26"/>
        <v>おかやま県議会だより；岡山県議会広報紙</v>
      </c>
      <c r="C535" t="str">
        <f>"オカヤマ　ケンギカイ　ダヨリ＊オカヤマ　ケンギカイ　コウホウシ"</f>
        <v>オカヤマ　ケンギカイ　ダヨリ＊オカヤマ　ケンギカイ　コウホウシ</v>
      </c>
      <c r="D535" t="str">
        <f>"岡山県議会事務局"</f>
        <v>岡山県議会事務局</v>
      </c>
      <c r="E535" t="str">
        <f>"オカヤマケンギカイ ジムキョク"</f>
        <v>オカヤマケンギカイ ジムキョク</v>
      </c>
      <c r="F535" t="str">
        <f t="shared" si="28"/>
        <v>岡山</v>
      </c>
      <c r="G535" t="str">
        <f>"年２回刊"</f>
        <v>年２回刊</v>
      </c>
      <c r="H535" t="str">
        <f>"2002222301537"</f>
        <v>2002222301537</v>
      </c>
      <c r="I535" t="str">
        <f>HYPERLINK("#", "https://opac.libnet.pref.okayama.jp/licsxp-opac/WOpacMsgNewListToTifTilDetailAction.do?tilcod=2002222301537")</f>
        <v>https://opac.libnet.pref.okayama.jp/licsxp-opac/WOpacMsgNewListToTifTilDetailAction.do?tilcod=2002222301537</v>
      </c>
    </row>
    <row r="536" spans="1:9" x14ac:dyDescent="0.4">
      <c r="A536" t="str">
        <f>"岡山県史研究"</f>
        <v>岡山県史研究</v>
      </c>
      <c r="B536" s="1" t="str">
        <f t="shared" si="26"/>
        <v>岡山県史研究</v>
      </c>
      <c r="C536" t="str">
        <f>"オカヤマ ケンシ ケンキュウ"</f>
        <v>オカヤマ ケンシ ケンキュウ</v>
      </c>
      <c r="D536" t="str">
        <f>"岡山県"</f>
        <v>岡山県</v>
      </c>
      <c r="E536" t="str">
        <f>"オカヤマケン"</f>
        <v>オカヤマケン</v>
      </c>
      <c r="F536" t="str">
        <f t="shared" si="28"/>
        <v>岡山</v>
      </c>
      <c r="G536" t="str">
        <f>"頻度不明"</f>
        <v>頻度不明</v>
      </c>
      <c r="H536" t="str">
        <f>"2002222284751"</f>
        <v>2002222284751</v>
      </c>
      <c r="I536" t="str">
        <f>HYPERLINK("#", "https://opac.libnet.pref.okayama.jp/licsxp-opac/WOpacMsgNewListToTifTilDetailAction.do?tilcod=2002222284751")</f>
        <v>https://opac.libnet.pref.okayama.jp/licsxp-opac/WOpacMsgNewListToTifTilDetailAction.do?tilcod=2002222284751</v>
      </c>
    </row>
    <row r="537" spans="1:9" x14ac:dyDescent="0.4">
      <c r="A537" t="str">
        <f>"おかやま県職ＯＢだより"</f>
        <v>おかやま県職ＯＢだより</v>
      </c>
      <c r="B537" s="1" t="str">
        <f t="shared" si="26"/>
        <v>おかやま県職ＯＢだより</v>
      </c>
      <c r="C537" t="str">
        <f>"オカヤマ　ケンショク　オービー　ダヨリ"</f>
        <v>オカヤマ　ケンショク　オービー　ダヨリ</v>
      </c>
      <c r="D537" t="str">
        <f>"岡山県職員退職者会"</f>
        <v>岡山県職員退職者会</v>
      </c>
      <c r="E537" t="str">
        <f>"オカヤマケン ショクイン タイショクシャカイ"</f>
        <v>オカヤマケン ショクイン タイショクシャカイ</v>
      </c>
      <c r="F537" t="str">
        <f t="shared" si="28"/>
        <v>岡山</v>
      </c>
      <c r="G537" t="str">
        <f>"季刊"</f>
        <v>季刊</v>
      </c>
      <c r="H537" t="str">
        <f>"2002222330147"</f>
        <v>2002222330147</v>
      </c>
      <c r="I537" t="str">
        <f>HYPERLINK("#", "https://opac.libnet.pref.okayama.jp/licsxp-opac/WOpacMsgNewListToTifTilDetailAction.do?tilcod=2002222330147")</f>
        <v>https://opac.libnet.pref.okayama.jp/licsxp-opac/WOpacMsgNewListToTifTilDetailAction.do?tilcod=2002222330147</v>
      </c>
    </row>
    <row r="538" spans="1:9" x14ac:dyDescent="0.4">
      <c r="A538" t="str">
        <f>"岡山県職連合"</f>
        <v>岡山県職連合</v>
      </c>
      <c r="B538" s="1" t="str">
        <f t="shared" si="26"/>
        <v>岡山県職連合</v>
      </c>
      <c r="C538" t="str">
        <f>"オカヤマ ケンショク レンゴウ"</f>
        <v>オカヤマ ケンショク レンゴウ</v>
      </c>
      <c r="D538" t="str">
        <f>"岡山県関係職員労働組合連合"</f>
        <v>岡山県関係職員労働組合連合</v>
      </c>
      <c r="E538" t="str">
        <f>"オカヤマケン カンケイ ショクイン ロウドウ クミアイ レンゴウ"</f>
        <v>オカヤマケン カンケイ ショクイン ロウドウ クミアイ レンゴウ</v>
      </c>
      <c r="F538" t="str">
        <f t="shared" si="28"/>
        <v>岡山</v>
      </c>
      <c r="G538" t="str">
        <f>"その他"</f>
        <v>その他</v>
      </c>
      <c r="H538" t="str">
        <f>"2002222336307"</f>
        <v>2002222336307</v>
      </c>
      <c r="I538" t="str">
        <f>HYPERLINK("#", "https://opac.libnet.pref.okayama.jp/licsxp-opac/WOpacMsgNewListToTifTilDetailAction.do?tilcod=2002222336307")</f>
        <v>https://opac.libnet.pref.okayama.jp/licsxp-opac/WOpacMsgNewListToTifTilDetailAction.do?tilcod=2002222336307</v>
      </c>
    </row>
    <row r="539" spans="1:9" x14ac:dyDescent="0.4">
      <c r="A539" t="str">
        <f>"岡山検審"</f>
        <v>岡山検審</v>
      </c>
      <c r="B539" s="1" t="str">
        <f t="shared" si="26"/>
        <v>岡山検審</v>
      </c>
      <c r="C539" t="str">
        <f>"オカヤマ　ケンシン"</f>
        <v>オカヤマ　ケンシン</v>
      </c>
      <c r="D539" t="str">
        <f>"検察審査協会岡山県連合会"</f>
        <v>検察審査協会岡山県連合会</v>
      </c>
      <c r="E539" t="str">
        <f>"ケンサツシンサキョウカイオカヤマケンレンゴウカイ"</f>
        <v>ケンサツシンサキョウカイオカヤマケンレンゴウカイ</v>
      </c>
      <c r="F539" t="str">
        <f t="shared" si="28"/>
        <v>岡山</v>
      </c>
      <c r="G539" t="str">
        <f>"年刊"</f>
        <v>年刊</v>
      </c>
      <c r="H539" t="str">
        <f>"2002222281651"</f>
        <v>2002222281651</v>
      </c>
      <c r="I539" t="str">
        <f>HYPERLINK("#", "https://opac.libnet.pref.okayama.jp/licsxp-opac/WOpacMsgNewListToTifTilDetailAction.do?tilcod=2002222281651")</f>
        <v>https://opac.libnet.pref.okayama.jp/licsxp-opac/WOpacMsgNewListToTifTilDetailAction.do?tilcod=2002222281651</v>
      </c>
    </row>
    <row r="540" spans="1:9" x14ac:dyDescent="0.4">
      <c r="A540" t="str">
        <f>"おかやま検審"</f>
        <v>おかやま検審</v>
      </c>
      <c r="B540" s="1" t="str">
        <f t="shared" si="26"/>
        <v>おかやま検審</v>
      </c>
      <c r="C540" t="str">
        <f>"オカヤマ　ケンシン"</f>
        <v>オカヤマ　ケンシン</v>
      </c>
      <c r="D540" t="str">
        <f>"岡山検察審査協会"</f>
        <v>岡山検察審査協会</v>
      </c>
      <c r="E540" t="str">
        <f>"オカヤマケンサツシンサキョウカイ"</f>
        <v>オカヤマケンサツシンサキョウカイ</v>
      </c>
      <c r="F540" t="str">
        <f t="shared" si="28"/>
        <v>岡山</v>
      </c>
      <c r="G540" t="str">
        <f>"年刊"</f>
        <v>年刊</v>
      </c>
      <c r="H540" t="str">
        <f>"2002222292021"</f>
        <v>2002222292021</v>
      </c>
      <c r="I540" t="str">
        <f>HYPERLINK("#", "https://opac.libnet.pref.okayama.jp/licsxp-opac/WOpacMsgNewListToTifTilDetailAction.do?tilcod=2002222292021")</f>
        <v>https://opac.libnet.pref.okayama.jp/licsxp-opac/WOpacMsgNewListToTifTilDetailAction.do?tilcod=2002222292021</v>
      </c>
    </row>
    <row r="541" spans="1:9" x14ac:dyDescent="0.4">
      <c r="A541" t="str">
        <f>"岡山県人"</f>
        <v>岡山県人</v>
      </c>
      <c r="B541" s="1" t="str">
        <f t="shared" si="26"/>
        <v>岡山県人</v>
      </c>
      <c r="C541" t="str">
        <f>"オカヤマ　ケンジン"</f>
        <v>オカヤマ　ケンジン</v>
      </c>
      <c r="D541" t="str">
        <f>"東京岡山県人社"</f>
        <v>東京岡山県人社</v>
      </c>
      <c r="E541" t="str">
        <f>"トウキョウオカヤマケンジンシャ"</f>
        <v>トウキョウオカヤマケンジンシャ</v>
      </c>
      <c r="F541" t="str">
        <f>""</f>
        <v/>
      </c>
      <c r="G541" t="str">
        <f>"頻度不明"</f>
        <v>頻度不明</v>
      </c>
      <c r="H541" t="str">
        <f>"2002222286721"</f>
        <v>2002222286721</v>
      </c>
      <c r="I541" t="str">
        <f>HYPERLINK("#", "https://opac.libnet.pref.okayama.jp/licsxp-opac/WOpacMsgNewListToTifTilDetailAction.do?tilcod=2002222286721")</f>
        <v>https://opac.libnet.pref.okayama.jp/licsxp-opac/WOpacMsgNewListToTifTilDetailAction.do?tilcod=2002222286721</v>
      </c>
    </row>
    <row r="542" spans="1:9" x14ac:dyDescent="0.4">
      <c r="A542" t="str">
        <f>"岡山県人"</f>
        <v>岡山県人</v>
      </c>
      <c r="B542" s="1" t="str">
        <f t="shared" si="26"/>
        <v>岡山県人</v>
      </c>
      <c r="C542" t="str">
        <f>"オカヤマ　ケンジン"</f>
        <v>オカヤマ　ケンジン</v>
      </c>
      <c r="D542" t="str">
        <f>"岡山県人社"</f>
        <v>岡山県人社</v>
      </c>
      <c r="E542" t="str">
        <f>"オカヤマ ケンジンシャ"</f>
        <v>オカヤマ ケンジンシャ</v>
      </c>
      <c r="F542" t="str">
        <f>""</f>
        <v/>
      </c>
      <c r="G542" t="str">
        <f>"頻度不明"</f>
        <v>頻度不明</v>
      </c>
      <c r="H542" t="str">
        <f>"2002222286701"</f>
        <v>2002222286701</v>
      </c>
      <c r="I542" t="str">
        <f>HYPERLINK("#", "https://opac.libnet.pref.okayama.jp/licsxp-opac/WOpacMsgNewListToTifTilDetailAction.do?tilcod=2002222286701")</f>
        <v>https://opac.libnet.pref.okayama.jp/licsxp-opac/WOpacMsgNewListToTifTilDetailAction.do?tilcod=2002222286701</v>
      </c>
    </row>
    <row r="543" spans="1:9" x14ac:dyDescent="0.4">
      <c r="A543" t="str">
        <f>"岡山県人会誌"</f>
        <v>岡山県人会誌</v>
      </c>
      <c r="B543" s="1" t="str">
        <f t="shared" si="26"/>
        <v>岡山県人会誌</v>
      </c>
      <c r="C543" t="str">
        <f>"オカヤマ　ケンジンカイシ"</f>
        <v>オカヤマ　ケンジンカイシ</v>
      </c>
      <c r="D543" t="str">
        <f>"二松岡山県人会"</f>
        <v>二松岡山県人会</v>
      </c>
      <c r="E543" t="str">
        <f>"ニショウオカヤマケンジンカイ"</f>
        <v>ニショウオカヤマケンジンカイ</v>
      </c>
      <c r="F543" t="str">
        <f>"東京"</f>
        <v>東京</v>
      </c>
      <c r="G543" t="str">
        <f>"頻度不明"</f>
        <v>頻度不明</v>
      </c>
      <c r="H543" t="str">
        <f>"2002222302066"</f>
        <v>2002222302066</v>
      </c>
      <c r="I543" t="str">
        <f>HYPERLINK("#", "https://opac.libnet.pref.okayama.jp/licsxp-opac/WOpacMsgNewListToTifTilDetailAction.do?tilcod=2002222302066")</f>
        <v>https://opac.libnet.pref.okayama.jp/licsxp-opac/WOpacMsgNewListToTifTilDetailAction.do?tilcod=2002222302066</v>
      </c>
    </row>
    <row r="544" spans="1:9" x14ac:dyDescent="0.4">
      <c r="A544" t="str">
        <f>"岡山県政時報"</f>
        <v>岡山県政時報</v>
      </c>
      <c r="B544" s="1" t="str">
        <f t="shared" si="26"/>
        <v>岡山県政時報</v>
      </c>
      <c r="C544" t="str">
        <f>"オカヤマ　ケンセイ　ジホウ"</f>
        <v>オカヤマ　ケンセイ　ジホウ</v>
      </c>
      <c r="D544" t="str">
        <f>"岡山県政時報協会"</f>
        <v>岡山県政時報協会</v>
      </c>
      <c r="E544" t="str">
        <f>"オカヤマケンセイジホウキョウカイ"</f>
        <v>オカヤマケンセイジホウキョウカイ</v>
      </c>
      <c r="F544" t="str">
        <f>"岡山"</f>
        <v>岡山</v>
      </c>
      <c r="G544" t="str">
        <f>"月刊"</f>
        <v>月刊</v>
      </c>
      <c r="H544" t="str">
        <f>"2002222301519"</f>
        <v>2002222301519</v>
      </c>
      <c r="I544" t="str">
        <f>HYPERLINK("#", "https://opac.libnet.pref.okayama.jp/licsxp-opac/WOpacMsgNewListToTifTilDetailAction.do?tilcod=2002222301519")</f>
        <v>https://opac.libnet.pref.okayama.jp/licsxp-opac/WOpacMsgNewListToTifTilDetailAction.do?tilcod=2002222301519</v>
      </c>
    </row>
    <row r="545" spans="1:9" x14ac:dyDescent="0.4">
      <c r="A545" t="str">
        <f>"岡山県政情報"</f>
        <v>岡山県政情報</v>
      </c>
      <c r="B545" s="1" t="str">
        <f t="shared" si="26"/>
        <v>岡山県政情報</v>
      </c>
      <c r="C545" t="str">
        <f>"オカヤマ　ケンセイ　ジョウホウ"</f>
        <v>オカヤマ　ケンセイ　ジョウホウ</v>
      </c>
      <c r="D545" t="str">
        <f>"岡山県政情報社"</f>
        <v>岡山県政情報社</v>
      </c>
      <c r="E545" t="str">
        <f>"オカヤマ ケンセイ ジョウホウシャ"</f>
        <v>オカヤマ ケンセイ ジョウホウシャ</v>
      </c>
      <c r="F545" t="str">
        <f>"岡山"</f>
        <v>岡山</v>
      </c>
      <c r="G545" t="str">
        <f>"旬刊"</f>
        <v>旬刊</v>
      </c>
      <c r="H545" t="str">
        <f>"2002222300814"</f>
        <v>2002222300814</v>
      </c>
      <c r="I545" t="str">
        <f>HYPERLINK("#", "https://opac.libnet.pref.okayama.jp/licsxp-opac/WOpacMsgNewListToTifTilDetailAction.do?tilcod=2002222300814")</f>
        <v>https://opac.libnet.pref.okayama.jp/licsxp-opac/WOpacMsgNewListToTifTilDetailAction.do?tilcod=2002222300814</v>
      </c>
    </row>
    <row r="546" spans="1:9" x14ac:dyDescent="0.4">
      <c r="A546" t="str">
        <f>"岡山県政新聞〔高梁版〕"</f>
        <v>岡山県政新聞〔高梁版〕</v>
      </c>
      <c r="B546" s="1" t="str">
        <f t="shared" si="26"/>
        <v>岡山県政新聞〔高梁版〕</v>
      </c>
      <c r="C546" t="str">
        <f>"オカヤマ　ケンセイ　シンブン"</f>
        <v>オカヤマ　ケンセイ　シンブン</v>
      </c>
      <c r="D546" t="str">
        <f>"岡山県政新聞社"</f>
        <v>岡山県政新聞社</v>
      </c>
      <c r="E546" t="str">
        <f>"オカヤマケンセイシンブンシャ"</f>
        <v>オカヤマケンセイシンブンシャ</v>
      </c>
      <c r="F546" t="str">
        <f>"高梁"</f>
        <v>高梁</v>
      </c>
      <c r="G546" t="str">
        <f>"旬刊"</f>
        <v>旬刊</v>
      </c>
      <c r="H546" t="str">
        <f>"2002222300815"</f>
        <v>2002222300815</v>
      </c>
      <c r="I546" t="str">
        <f>HYPERLINK("#", "https://opac.libnet.pref.okayama.jp/licsxp-opac/WOpacMsgNewListToTifTilDetailAction.do?tilcod=2002222300815")</f>
        <v>https://opac.libnet.pref.okayama.jp/licsxp-opac/WOpacMsgNewListToTifTilDetailAction.do?tilcod=2002222300815</v>
      </c>
    </row>
    <row r="547" spans="1:9" x14ac:dyDescent="0.4">
      <c r="A547" t="str">
        <f>"岡山県政新聞〔岡山版〕"</f>
        <v>岡山県政新聞〔岡山版〕</v>
      </c>
      <c r="B547" s="1" t="str">
        <f t="shared" si="26"/>
        <v>岡山県政新聞〔岡山版〕</v>
      </c>
      <c r="C547" t="str">
        <f>"オカヤマ　ケンセイ　シンブン"</f>
        <v>オカヤマ　ケンセイ　シンブン</v>
      </c>
      <c r="D547" t="str">
        <f>"岡山県政新聞社"</f>
        <v>岡山県政新聞社</v>
      </c>
      <c r="E547" t="str">
        <f>"オカヤマケンセイシンブンシャ"</f>
        <v>オカヤマケンセイシンブンシャ</v>
      </c>
      <c r="F547" t="str">
        <f t="shared" ref="F547:F552" si="29">"岡山"</f>
        <v>岡山</v>
      </c>
      <c r="G547" t="str">
        <f>"旬刊"</f>
        <v>旬刊</v>
      </c>
      <c r="H547" t="str">
        <f>"2002222300816"</f>
        <v>2002222300816</v>
      </c>
      <c r="I547" t="str">
        <f>HYPERLINK("#", "https://opac.libnet.pref.okayama.jp/licsxp-opac/WOpacMsgNewListToTifTilDetailAction.do?tilcod=2002222300816")</f>
        <v>https://opac.libnet.pref.okayama.jp/licsxp-opac/WOpacMsgNewListToTifTilDetailAction.do?tilcod=2002222300816</v>
      </c>
    </row>
    <row r="548" spans="1:9" x14ac:dyDescent="0.4">
      <c r="A548" t="str">
        <f>"岡山建築士"</f>
        <v>岡山建築士</v>
      </c>
      <c r="B548" s="1" t="str">
        <f t="shared" si="26"/>
        <v>岡山建築士</v>
      </c>
      <c r="C548" t="str">
        <f>"オカヤマ　ケンチクシ"</f>
        <v>オカヤマ　ケンチクシ</v>
      </c>
      <c r="D548" t="str">
        <f>"岡山県建築士会"</f>
        <v>岡山県建築士会</v>
      </c>
      <c r="E548" t="str">
        <f>"オカヤマケン ケンチクシカイ"</f>
        <v>オカヤマケン ケンチクシカイ</v>
      </c>
      <c r="F548" t="str">
        <f t="shared" si="29"/>
        <v>岡山</v>
      </c>
      <c r="G548" t="str">
        <f>"月刊"</f>
        <v>月刊</v>
      </c>
      <c r="H548" t="str">
        <f>"2002222292071"</f>
        <v>2002222292071</v>
      </c>
      <c r="I548" t="str">
        <f>HYPERLINK("#", "https://opac.libnet.pref.okayama.jp/licsxp-opac/WOpacMsgNewListToTifTilDetailAction.do?tilcod=2002222292071")</f>
        <v>https://opac.libnet.pref.okayama.jp/licsxp-opac/WOpacMsgNewListToTifTilDetailAction.do?tilcod=2002222292071</v>
      </c>
    </row>
    <row r="549" spans="1:9" x14ac:dyDescent="0.4">
      <c r="A549" t="str">
        <f>"岡山県庁セキュリティ情報"</f>
        <v>岡山県庁セキュリティ情報</v>
      </c>
      <c r="B549" s="1" t="str">
        <f t="shared" si="26"/>
        <v>岡山県庁セキュリティ情報</v>
      </c>
      <c r="C549" t="str">
        <f>"オカヤマ　ケンチョウ　セキュリティ　ジョウホウ"</f>
        <v>オカヤマ　ケンチョウ　セキュリティ　ジョウホウ</v>
      </c>
      <c r="D549" t="str">
        <f>"岡山県情報セキュリティ委員会"</f>
        <v>岡山県情報セキュリティ委員会</v>
      </c>
      <c r="E549" t="str">
        <f>"オカヤマケンジョウホウセキュリティイインカイ"</f>
        <v>オカヤマケンジョウホウセキュリティイインカイ</v>
      </c>
      <c r="F549" t="str">
        <f t="shared" si="29"/>
        <v>岡山</v>
      </c>
      <c r="G549" t="str">
        <f>"不定期刊"</f>
        <v>不定期刊</v>
      </c>
      <c r="H549" t="str">
        <f>"2002222301053"</f>
        <v>2002222301053</v>
      </c>
      <c r="I549" t="str">
        <f>HYPERLINK("#", "https://opac.libnet.pref.okayama.jp/licsxp-opac/WOpacMsgNewListToTifTilDetailAction.do?tilcod=2002222301053")</f>
        <v>https://opac.libnet.pref.okayama.jp/licsxp-opac/WOpacMsgNewListToTifTilDetailAction.do?tilcod=2002222301053</v>
      </c>
    </row>
    <row r="550" spans="1:9" x14ac:dyDescent="0.4">
      <c r="A550" t="str">
        <f>"岡山県南政令市構想（岡山市・建部町・瀬戸町）合併協議会だより"</f>
        <v>岡山県南政令市構想（岡山市・建部町・瀬戸町）合併協議会だより</v>
      </c>
      <c r="B550" s="1" t="str">
        <f t="shared" si="26"/>
        <v>岡山県南政令市構想（岡山市・建部町・瀬戸町）合併協議会だより</v>
      </c>
      <c r="C550" t="str">
        <f>"オカヤマ　ケンナン　セイレイシ　コウソウ　オカヤマシ　タケベチョウ　セトチョウ　ガッペイ　キョウギカイ　ダヨリ"</f>
        <v>オカヤマ　ケンナン　セイレイシ　コウソウ　オカヤマシ　タケベチョウ　セトチョウ　ガッペイ　キョウギカイ　ダヨリ</v>
      </c>
      <c r="D550" t="str">
        <f>"岡山県南政令市構想（岡山市・建部町・瀬戸町）合併協議会事務局"</f>
        <v>岡山県南政令市構想（岡山市・建部町・瀬戸町）合併協議会事務局</v>
      </c>
      <c r="E550" t="str">
        <f>"オカヤマケンナンセイレイシコウソウオカヤマシタケベチョウセトチョウガッペイキョウギカイジムキョク"</f>
        <v>オカヤマケンナンセイレイシコウソウオカヤマシタケベチョウセトチョウガッペイキョウギカイジムキョク</v>
      </c>
      <c r="F550" t="str">
        <f t="shared" si="29"/>
        <v>岡山</v>
      </c>
      <c r="G550" t="str">
        <f>"頻度不明"</f>
        <v>頻度不明</v>
      </c>
      <c r="H550" t="str">
        <f>"2002222301023"</f>
        <v>2002222301023</v>
      </c>
      <c r="I550" t="str">
        <f>HYPERLINK("#", "https://opac.libnet.pref.okayama.jp/licsxp-opac/WOpacMsgNewListToTifTilDetailAction.do?tilcod=2002222301023")</f>
        <v>https://opac.libnet.pref.okayama.jp/licsxp-opac/WOpacMsgNewListToTifTilDetailAction.do?tilcod=2002222301023</v>
      </c>
    </row>
    <row r="551" spans="1:9" x14ac:dyDescent="0.4">
      <c r="A551" t="str">
        <f>"岡山県南政令市構想（岡山市・御津町・灘崎町）合併協議会だより"</f>
        <v>岡山県南政令市構想（岡山市・御津町・灘崎町）合併協議会だより</v>
      </c>
      <c r="B551" s="1" t="str">
        <f t="shared" si="26"/>
        <v>岡山県南政令市構想（岡山市・御津町・灘崎町）合併協議会だより</v>
      </c>
      <c r="C551" t="str">
        <f>"オカヤマ　ケンナン　セイレイシ　コウソウ　オカヤマシ　ミツチョウ　ナダサキチョウ　ガッペイ　キョウギカイ　ダヨリ"</f>
        <v>オカヤマ　ケンナン　セイレイシ　コウソウ　オカヤマシ　ミツチョウ　ナダサキチョウ　ガッペイ　キョウギカイ　ダヨリ</v>
      </c>
      <c r="D551" t="str">
        <f>"岡山県南政令市構想（岡山市・御津町・灘崎町）合併協議会事務局"</f>
        <v>岡山県南政令市構想（岡山市・御津町・灘崎町）合併協議会事務局</v>
      </c>
      <c r="E551" t="str">
        <f>"オカヤマケンナンセイレイシコウソウオカヤマシミツチョウナダサキチョウガッペイキョウギカイジムキョク"</f>
        <v>オカヤマケンナンセイレイシコウソウオカヤマシミツチョウナダサキチョウガッペイキョウギカイジムキョク</v>
      </c>
      <c r="F551" t="str">
        <f t="shared" si="29"/>
        <v>岡山</v>
      </c>
      <c r="G551" t="str">
        <f>"頻度不明"</f>
        <v>頻度不明</v>
      </c>
      <c r="H551" t="str">
        <f>"2002222300192"</f>
        <v>2002222300192</v>
      </c>
      <c r="I551" t="str">
        <f>HYPERLINK("#", "https://opac.libnet.pref.okayama.jp/licsxp-opac/WOpacMsgNewListToTifTilDetailAction.do?tilcod=2002222300192")</f>
        <v>https://opac.libnet.pref.okayama.jp/licsxp-opac/WOpacMsgNewListToTifTilDetailAction.do?tilcod=2002222300192</v>
      </c>
    </row>
    <row r="552" spans="1:9" x14ac:dyDescent="0.4">
      <c r="A552" t="str">
        <f>"岡山県南政令市構想合併協議会だより"</f>
        <v>岡山県南政令市構想合併協議会だより</v>
      </c>
      <c r="B552" s="1" t="str">
        <f t="shared" si="26"/>
        <v>岡山県南政令市構想合併協議会だより</v>
      </c>
      <c r="C552" t="str">
        <f>"オカヤマ　ケンナン　セイレイシ　コウソウ　ガッペイ　キョウギカイ　ダヨリ"</f>
        <v>オカヤマ　ケンナン　セイレイシ　コウソウ　ガッペイ　キョウギカイ　ダヨリ</v>
      </c>
      <c r="D552" t="str">
        <f>"岡山県南政令市構想合併協議会事務局"</f>
        <v>岡山県南政令市構想合併協議会事務局</v>
      </c>
      <c r="E552" t="str">
        <f>"オカヤマケンナンセイレイシコウソウガッペイキョウギカイジムキョク"</f>
        <v>オカヤマケンナンセイレイシコウソウガッペイキョウギカイジムキョク</v>
      </c>
      <c r="F552" t="str">
        <f t="shared" si="29"/>
        <v>岡山</v>
      </c>
      <c r="G552" t="str">
        <f>"頻度不明"</f>
        <v>頻度不明</v>
      </c>
      <c r="H552" t="str">
        <f>"2002222281804"</f>
        <v>2002222281804</v>
      </c>
      <c r="I552" t="str">
        <f>HYPERLINK("#", "https://opac.libnet.pref.okayama.jp/licsxp-opac/WOpacMsgNewListToTifTilDetailAction.do?tilcod=2002222281804")</f>
        <v>https://opac.libnet.pref.okayama.jp/licsxp-opac/WOpacMsgNewListToTifTilDetailAction.do?tilcod=2002222281804</v>
      </c>
    </row>
    <row r="553" spans="1:9" x14ac:dyDescent="0.4">
      <c r="A553" t="str">
        <f>"岡山「原爆の図」をみる会ニュース"</f>
        <v>岡山「原爆の図」をみる会ニュース</v>
      </c>
      <c r="B553" s="1" t="str">
        <f t="shared" si="26"/>
        <v>岡山「原爆の図」をみる会ニュース</v>
      </c>
      <c r="C553" t="str">
        <f>"オカヤマ　ゲンバク　ノ　ズ　オ　ミル　カイ　ニュース"</f>
        <v>オカヤマ　ゲンバク　ノ　ズ　オ　ミル　カイ　ニュース</v>
      </c>
      <c r="D553" t="str">
        <f>"おかやま「原爆の図」をみる会"</f>
        <v>おかやま「原爆の図」をみる会</v>
      </c>
      <c r="E553" t="str">
        <f>"オカヤマゲンバクノズオミルカイ"</f>
        <v>オカヤマゲンバクノズオミルカイ</v>
      </c>
      <c r="F553" t="str">
        <f>""</f>
        <v/>
      </c>
      <c r="G553" t="str">
        <f>"頻度不明"</f>
        <v>頻度不明</v>
      </c>
      <c r="H553" t="str">
        <f>"2002222286991"</f>
        <v>2002222286991</v>
      </c>
      <c r="I553" t="str">
        <f>HYPERLINK("#", "https://opac.libnet.pref.okayama.jp/licsxp-opac/WOpacMsgNewListToTifTilDetailAction.do?tilcod=2002222286991")</f>
        <v>https://opac.libnet.pref.okayama.jp/licsxp-opac/WOpacMsgNewListToTifTilDetailAction.do?tilcod=2002222286991</v>
      </c>
    </row>
    <row r="554" spans="1:9" x14ac:dyDescent="0.4">
      <c r="A554" t="str">
        <f>"岡山県北政経情報"</f>
        <v>岡山県北政経情報</v>
      </c>
      <c r="B554" s="1" t="str">
        <f t="shared" si="26"/>
        <v>岡山県北政経情報</v>
      </c>
      <c r="C554" t="str">
        <f>"オカヤマ　ケンホク　セイケイ　ジョウホウ"</f>
        <v>オカヤマ　ケンホク　セイケイ　ジョウホウ</v>
      </c>
      <c r="D554" t="str">
        <f>"津山政経情報センター"</f>
        <v>津山政経情報センター</v>
      </c>
      <c r="E554" t="str">
        <f>"ツヤマ　セイケイ　ジョウホウ　センター"</f>
        <v>ツヤマ　セイケイ　ジョウホウ　センター</v>
      </c>
      <c r="F554" t="str">
        <f>"〔津山〕"</f>
        <v>〔津山〕</v>
      </c>
      <c r="G554" t="str">
        <f>"頻度不明"</f>
        <v>頻度不明</v>
      </c>
      <c r="H554" t="str">
        <f>"2002222281023"</f>
        <v>2002222281023</v>
      </c>
      <c r="I554" t="str">
        <f>HYPERLINK("#", "https://opac.libnet.pref.okayama.jp/licsxp-opac/WOpacMsgNewListToTifTilDetailAction.do?tilcod=2002222281023")</f>
        <v>https://opac.libnet.pref.okayama.jp/licsxp-opac/WOpacMsgNewListToTifTilDetailAction.do?tilcod=2002222281023</v>
      </c>
    </row>
    <row r="555" spans="1:9" x14ac:dyDescent="0.4">
      <c r="A555" t="str">
        <f>"おかやま県民だより"</f>
        <v>おかやま県民だより</v>
      </c>
      <c r="B555" s="1" t="str">
        <f t="shared" si="26"/>
        <v>おかやま県民だより</v>
      </c>
      <c r="C555" t="str">
        <f>"オカヤマ　ケンミン　ダヨリ"</f>
        <v>オカヤマ　ケンミン　ダヨリ</v>
      </c>
      <c r="D555" t="str">
        <f>"岡山県知事室広聴広報課"</f>
        <v>岡山県知事室広聴広報課</v>
      </c>
      <c r="E555" t="str">
        <f>"オカヤマケン チジシツ コウチョウ コウホウカ"</f>
        <v>オカヤマケン チジシツ コウチョウ コウホウカ</v>
      </c>
      <c r="F555" t="str">
        <f>"岡山"</f>
        <v>岡山</v>
      </c>
      <c r="G555" t="str">
        <f>"不定期刊"</f>
        <v>不定期刊</v>
      </c>
      <c r="H555" t="str">
        <f>"2002222300820"</f>
        <v>2002222300820</v>
      </c>
      <c r="I555" t="str">
        <f>HYPERLINK("#", "https://opac.libnet.pref.okayama.jp/licsxp-opac/WOpacMsgNewListToTifTilDetailAction.do?tilcod=2002222300820")</f>
        <v>https://opac.libnet.pref.okayama.jp/licsxp-opac/WOpacMsgNewListToTifTilDetailAction.do?tilcod=2002222300820</v>
      </c>
    </row>
    <row r="556" spans="1:9" x14ac:dyDescent="0.4">
      <c r="A556" t="str">
        <f>"〔岡山県立井原高等学校〕井高新聞"</f>
        <v>〔岡山県立井原高等学校〕井高新聞</v>
      </c>
      <c r="B556" s="1" t="str">
        <f t="shared" si="26"/>
        <v>〔岡山県立井原高等学校〕井高新聞</v>
      </c>
      <c r="C556" t="str">
        <f>"オカヤマ　ケンリツ　イバラ　コウトウ　ガッコウ＊イコウ　シンブン"</f>
        <v>オカヤマ　ケンリツ　イバラ　コウトウ　ガッコウ＊イコウ　シンブン</v>
      </c>
      <c r="D556" t="str">
        <f>"井原高等学校報道部"</f>
        <v>井原高等学校報道部</v>
      </c>
      <c r="E556" t="str">
        <f>"イバラコウトウガッコウホウドウブ"</f>
        <v>イバラコウトウガッコウホウドウブ</v>
      </c>
      <c r="F556" t="str">
        <f>"井原"</f>
        <v>井原</v>
      </c>
      <c r="G556" t="str">
        <f>"頻度不明"</f>
        <v>頻度不明</v>
      </c>
      <c r="H556" t="str">
        <f>"2002222301879"</f>
        <v>2002222301879</v>
      </c>
      <c r="I556" t="str">
        <f>HYPERLINK("#", "https://opac.libnet.pref.okayama.jp/licsxp-opac/WOpacMsgNewListToTifTilDetailAction.do?tilcod=2002222301879")</f>
        <v>https://opac.libnet.pref.okayama.jp/licsxp-opac/WOpacMsgNewListToTifTilDetailAction.do?tilcod=2002222301879</v>
      </c>
    </row>
    <row r="557" spans="1:9" x14ac:dyDescent="0.4">
      <c r="A557" t="str">
        <f>"〔岡山県立井原高等学校〕井原"</f>
        <v>〔岡山県立井原高等学校〕井原</v>
      </c>
      <c r="B557" s="1" t="str">
        <f t="shared" si="26"/>
        <v>〔岡山県立井原高等学校〕井原</v>
      </c>
      <c r="C557" t="str">
        <f>"オカヤマ ケンリツ イバラ コウトウ ガッコウ＊イバラ"</f>
        <v>オカヤマ ケンリツ イバラ コウトウ ガッコウ＊イバラ</v>
      </c>
      <c r="D557" t="str">
        <f>"井原高等学校"</f>
        <v>井原高等学校</v>
      </c>
      <c r="E557" t="str">
        <f>"イバラ コウトウ ガッコウ"</f>
        <v>イバラ コウトウ ガッコウ</v>
      </c>
      <c r="F557" t="str">
        <f>"井原"</f>
        <v>井原</v>
      </c>
      <c r="G557" t="str">
        <f>"年刊"</f>
        <v>年刊</v>
      </c>
      <c r="H557" t="str">
        <f>"2002222313087"</f>
        <v>2002222313087</v>
      </c>
      <c r="I557" t="str">
        <f>HYPERLINK("#", "https://opac.libnet.pref.okayama.jp/licsxp-opac/WOpacMsgNewListToTifTilDetailAction.do?tilcod=2002222313087")</f>
        <v>https://opac.libnet.pref.okayama.jp/licsxp-opac/WOpacMsgNewListToTifTilDetailAction.do?tilcod=2002222313087</v>
      </c>
    </row>
    <row r="558" spans="1:9" x14ac:dyDescent="0.4">
      <c r="A558" t="str">
        <f>"〔岡山県立井原高等学校〕舞鶴"</f>
        <v>〔岡山県立井原高等学校〕舞鶴</v>
      </c>
      <c r="B558" s="1" t="str">
        <f t="shared" si="26"/>
        <v>〔岡山県立井原高等学校〕舞鶴</v>
      </c>
      <c r="C558" t="str">
        <f>"オカヤマ　ケンリツ　イバラ　コウトウ　ガッコウ＊マイズル"</f>
        <v>オカヤマ　ケンリツ　イバラ　コウトウ　ガッコウ＊マイズル</v>
      </c>
      <c r="D558" t="str">
        <f>"井原高等学校"</f>
        <v>井原高等学校</v>
      </c>
      <c r="E558" t="str">
        <f>"イバラ コウトウ ガッコウ"</f>
        <v>イバラ コウトウ ガッコウ</v>
      </c>
      <c r="F558" t="str">
        <f>"井原"</f>
        <v>井原</v>
      </c>
      <c r="G558" t="str">
        <f>"年刊"</f>
        <v>年刊</v>
      </c>
      <c r="H558" t="str">
        <f>"2002222288313"</f>
        <v>2002222288313</v>
      </c>
      <c r="I558" t="str">
        <f>HYPERLINK("#", "https://opac.libnet.pref.okayama.jp/licsxp-opac/WOpacMsgNewListToTifTilDetailAction.do?tilcod=2002222288313")</f>
        <v>https://opac.libnet.pref.okayama.jp/licsxp-opac/WOpacMsgNewListToTifTilDetailAction.do?tilcod=2002222288313</v>
      </c>
    </row>
    <row r="559" spans="1:9" x14ac:dyDescent="0.4">
      <c r="A559" t="str">
        <f>"〔岡山県立岡山一宮高等学校〕理数科だより"</f>
        <v>〔岡山県立岡山一宮高等学校〕理数科だより</v>
      </c>
      <c r="B559" s="1" t="str">
        <f t="shared" si="26"/>
        <v>〔岡山県立岡山一宮高等学校〕理数科だより</v>
      </c>
      <c r="C559" t="str">
        <f>"オカヤマ　ケンリツ　オカヤマ　イチノミヤ　コウトウ　ガッコウ＊リスウカ　ダヨリ"</f>
        <v>オカヤマ　ケンリツ　オカヤマ　イチノミヤ　コウトウ　ガッコウ＊リスウカ　ダヨリ</v>
      </c>
      <c r="D559" t="str">
        <f>"岡山一宮高等学校理数科"</f>
        <v>岡山一宮高等学校理数科</v>
      </c>
      <c r="E559" t="str">
        <f>"オカヤマ イチノミヤ コウトウ ガッコウ リスウカ"</f>
        <v>オカヤマ イチノミヤ コウトウ ガッコウ リスウカ</v>
      </c>
      <c r="F559" t="str">
        <f>"岡山"</f>
        <v>岡山</v>
      </c>
      <c r="G559" t="str">
        <f>"月刊"</f>
        <v>月刊</v>
      </c>
      <c r="H559" t="str">
        <f>"2002222329689"</f>
        <v>2002222329689</v>
      </c>
      <c r="I559" t="str">
        <f>HYPERLINK("#", "https://opac.libnet.pref.okayama.jp/licsxp-opac/WOpacMsgNewListToTifTilDetailAction.do?tilcod=2002222329689")</f>
        <v>https://opac.libnet.pref.okayama.jp/licsxp-opac/WOpacMsgNewListToTifTilDetailAction.do?tilcod=2002222329689</v>
      </c>
    </row>
    <row r="560" spans="1:9" x14ac:dyDescent="0.4">
      <c r="A560" t="str">
        <f>"[岡山県立岡山工業高等学校JRC機関誌]　はぐるま"</f>
        <v>[岡山県立岡山工業高等学校JRC機関誌]　はぐるま</v>
      </c>
      <c r="B560" s="1" t="str">
        <f t="shared" si="26"/>
        <v>[岡山県立岡山工業高等学校JRC機関誌]　はぐるま</v>
      </c>
      <c r="C560" t="str">
        <f>"オカヤマ ケンリツ オカヤマ コウギョウ コウトウ ガッコウ ジェイアールシーキカンシ ハグルマ"</f>
        <v>オカヤマ ケンリツ オカヤマ コウギョウ コウトウ ガッコウ ジェイアールシーキカンシ ハグルマ</v>
      </c>
      <c r="D560" t="str">
        <f>"岡山工業高等学校JRC（青少年赤十字団）"</f>
        <v>岡山工業高等学校JRC（青少年赤十字団）</v>
      </c>
      <c r="E560" t="str">
        <f>"オカヤマ コウギョウ コウトウ ガッコウ ジェイ アール シー セイショウネン セキジュウジダン"</f>
        <v>オカヤマ コウギョウ コウトウ ガッコウ ジェイ アール シー セイショウネン セキジュウジダン</v>
      </c>
      <c r="F560" t="str">
        <f>""</f>
        <v/>
      </c>
      <c r="G560" t="str">
        <f>"年２回刊"</f>
        <v>年２回刊</v>
      </c>
      <c r="H560" t="str">
        <f>"2002222328512"</f>
        <v>2002222328512</v>
      </c>
      <c r="I560" t="str">
        <f>HYPERLINK("#", "https://opac.libnet.pref.okayama.jp/licsxp-opac/WOpacMsgNewListToTifTilDetailAction.do?tilcod=2002222328512")</f>
        <v>https://opac.libnet.pref.okayama.jp/licsxp-opac/WOpacMsgNewListToTifTilDetailAction.do?tilcod=2002222328512</v>
      </c>
    </row>
    <row r="561" spans="1:9" x14ac:dyDescent="0.4">
      <c r="A561" t="str">
        <f>"[岡山県立岡山工業高等学校]入学案内"</f>
        <v>[岡山県立岡山工業高等学校]入学案内</v>
      </c>
      <c r="B561" s="1" t="str">
        <f t="shared" si="26"/>
        <v>[岡山県立岡山工業高等学校]入学案内</v>
      </c>
      <c r="C561" t="str">
        <f>"オカヤマ ケンリツ オカヤマ コウギョウ コウトウ ガッコウ ニュウガク アンナイ"</f>
        <v>オカヤマ ケンリツ オカヤマ コウギョウ コウトウ ガッコウ ニュウガク アンナイ</v>
      </c>
      <c r="D561" t="str">
        <f>"岡山工業高等学校"</f>
        <v>岡山工業高等学校</v>
      </c>
      <c r="E561" t="str">
        <f>"オカヤマ コウギョウ コウトウ ガッコウ"</f>
        <v>オカヤマ コウギョウ コウトウ ガッコウ</v>
      </c>
      <c r="F561" t="str">
        <f>"岡山"</f>
        <v>岡山</v>
      </c>
      <c r="G561" t="str">
        <f>"年刊"</f>
        <v>年刊</v>
      </c>
      <c r="H561" t="str">
        <f>"2002222336673"</f>
        <v>2002222336673</v>
      </c>
      <c r="I561" t="str">
        <f>HYPERLINK("#", "https://opac.libnet.pref.okayama.jp/licsxp-opac/WOpacMsgNewListToTifTilDetailAction.do?tilcod=2002222336673")</f>
        <v>https://opac.libnet.pref.okayama.jp/licsxp-opac/WOpacMsgNewListToTifTilDetailAction.do?tilcod=2002222336673</v>
      </c>
    </row>
    <row r="562" spans="1:9" x14ac:dyDescent="0.4">
      <c r="A562" t="str">
        <f>"[岡山県立岡山操山高等学校JRC機関誌]　松柏"</f>
        <v>[岡山県立岡山操山高等学校JRC機関誌]　松柏</v>
      </c>
      <c r="B562" s="1" t="str">
        <f t="shared" si="26"/>
        <v>[岡山県立岡山操山高等学校JRC機関誌]　松柏</v>
      </c>
      <c r="C562" t="str">
        <f>"オカヤマ ケンリツ オカヤマ ソウザン コウトウ ガッコウ ジェイ アール シー キカンシ ショウハク"</f>
        <v>オカヤマ ケンリツ オカヤマ ソウザン コウトウ ガッコウ ジェイ アール シー キカンシ ショウハク</v>
      </c>
      <c r="D562" t="str">
        <f>"岡山操山高等学校JRC（青少年赤十字団）"</f>
        <v>岡山操山高等学校JRC（青少年赤十字団）</v>
      </c>
      <c r="E562" t="str">
        <f>"オカヤマ ソウザン コウトウ ガッコウ ジェイ アール シー セイショウネン セキジュウジ ダン"</f>
        <v>オカヤマ ソウザン コウトウ ガッコウ ジェイ アール シー セイショウネン セキジュウジ ダン</v>
      </c>
      <c r="F562" t="str">
        <f>""</f>
        <v/>
      </c>
      <c r="G562" t="str">
        <f>"年２回刊"</f>
        <v>年２回刊</v>
      </c>
      <c r="H562" t="str">
        <f>"2002222328459"</f>
        <v>2002222328459</v>
      </c>
      <c r="I562" t="str">
        <f>HYPERLINK("#", "https://opac.libnet.pref.okayama.jp/licsxp-opac/WOpacMsgNewListToTifTilDetailAction.do?tilcod=2002222328459")</f>
        <v>https://opac.libnet.pref.okayama.jp/licsxp-opac/WOpacMsgNewListToTifTilDetailAction.do?tilcod=2002222328459</v>
      </c>
    </row>
    <row r="563" spans="1:9" x14ac:dyDescent="0.4">
      <c r="A563" t="str">
        <f>"[岡山県立岡山大安寺高等学校・岡山県立岡山大安寺中等教育学校]紀要"</f>
        <v>[岡山県立岡山大安寺高等学校・岡山県立岡山大安寺中等教育学校]紀要</v>
      </c>
      <c r="B563" s="1" t="str">
        <f t="shared" si="26"/>
        <v>[岡山県立岡山大安寺高等学校・岡山県立岡山大安寺中等教育学校]紀要</v>
      </c>
      <c r="C563" t="str">
        <f>"オカヤマ ケンリツ オカヤマ ダイアンジ コウトウ ガッコウ オカヤマ ケンリツ オカヤマ ダイアンジ チュウトウ キョウイク ガッコウ＊キヨウ"</f>
        <v>オカヤマ ケンリツ オカヤマ ダイアンジ コウトウ ガッコウ オカヤマ ケンリツ オカヤマ ダイアンジ チュウトウ キョウイク ガッコウ＊キヨウ</v>
      </c>
      <c r="D563" t="str">
        <f>"岡山大安寺高等学校"</f>
        <v>岡山大安寺高等学校</v>
      </c>
      <c r="E563" t="str">
        <f>"オカヤマ ダイアンジ コウトウ ガッコウ"</f>
        <v>オカヤマ ダイアンジ コウトウ ガッコウ</v>
      </c>
      <c r="F563" t="str">
        <f>"岡山"</f>
        <v>岡山</v>
      </c>
      <c r="G563" t="str">
        <f>"年刊"</f>
        <v>年刊</v>
      </c>
      <c r="H563" t="str">
        <f>"2002222313330"</f>
        <v>2002222313330</v>
      </c>
      <c r="I563" t="str">
        <f>HYPERLINK("#", "https://opac.libnet.pref.okayama.jp/licsxp-opac/WOpacMsgNewListToTifTilDetailAction.do?tilcod=2002222313330")</f>
        <v>https://opac.libnet.pref.okayama.jp/licsxp-opac/WOpacMsgNewListToTifTilDetailAction.do?tilcod=2002222313330</v>
      </c>
    </row>
    <row r="564" spans="1:9" x14ac:dyDescent="0.4">
      <c r="A564" t="str">
        <f>"[岡山県立岡山大安寺高等学校]　研究誌"</f>
        <v>[岡山県立岡山大安寺高等学校]　研究誌</v>
      </c>
      <c r="B564" s="1" t="str">
        <f t="shared" si="26"/>
        <v>[岡山県立岡山大安寺高等学校]　研究誌</v>
      </c>
      <c r="C564" t="str">
        <f>"オカヤマ ケンリツ オカヤマ ダイアンジ コウトウ ガッコウ ケンキュウシ"</f>
        <v>オカヤマ ケンリツ オカヤマ ダイアンジ コウトウ ガッコウ ケンキュウシ</v>
      </c>
      <c r="D564" t="str">
        <f>"岡山大安寺高等学校JRC同好会"</f>
        <v>岡山大安寺高等学校JRC同好会</v>
      </c>
      <c r="E564" t="str">
        <f>"オカヤマ ダイアンジ コウトウ ガッコウ ジェイアールシー ドウコウカイ"</f>
        <v>オカヤマ ダイアンジ コウトウ ガッコウ ジェイアールシー ドウコウカイ</v>
      </c>
      <c r="F564" t="str">
        <f>""</f>
        <v/>
      </c>
      <c r="G564" t="str">
        <f>"頻度不明"</f>
        <v>頻度不明</v>
      </c>
      <c r="H564" t="str">
        <f>"2002222328511"</f>
        <v>2002222328511</v>
      </c>
      <c r="I564" t="str">
        <f>HYPERLINK("#", "https://opac.libnet.pref.okayama.jp/licsxp-opac/WOpacMsgNewListToTifTilDetailAction.do?tilcod=2002222328511")</f>
        <v>https://opac.libnet.pref.okayama.jp/licsxp-opac/WOpacMsgNewListToTifTilDetailAction.do?tilcod=2002222328511</v>
      </c>
    </row>
    <row r="565" spans="1:9" x14ac:dyDescent="0.4">
      <c r="A565" t="str">
        <f>"[岡山県立岡山大安寺高等学校JRC機関誌]　しゃぼん玉"</f>
        <v>[岡山県立岡山大安寺高等学校JRC機関誌]　しゃぼん玉</v>
      </c>
      <c r="B565" s="1" t="str">
        <f t="shared" si="26"/>
        <v>[岡山県立岡山大安寺高等学校JRC機関誌]　しゃぼん玉</v>
      </c>
      <c r="C565" t="str">
        <f>"オカヤマ ケンリツ オカヤマ ダイアンジ コウトウ ガッコウ ジェイ アール シー キカンシ シャボンダマ"</f>
        <v>オカヤマ ケンリツ オカヤマ ダイアンジ コウトウ ガッコウ ジェイ アール シー キカンシ シャボンダマ</v>
      </c>
      <c r="D565" t="str">
        <f>"岡山大安寺高等学校JRC（青少年赤十字団）"</f>
        <v>岡山大安寺高等学校JRC（青少年赤十字団）</v>
      </c>
      <c r="E565" t="str">
        <f>"オカヤマ ダイアンジ コウトウ ガッコウ ジェイアールシー セイショウネン セキジュウジダン"</f>
        <v>オカヤマ ダイアンジ コウトウ ガッコウ ジェイアールシー セイショウネン セキジュウジダン</v>
      </c>
      <c r="F565" t="str">
        <f>""</f>
        <v/>
      </c>
      <c r="G565" t="str">
        <f>"頻度不明"</f>
        <v>頻度不明</v>
      </c>
      <c r="H565" t="str">
        <f>"2002222328510"</f>
        <v>2002222328510</v>
      </c>
      <c r="I565" t="str">
        <f>HYPERLINK("#", "https://opac.libnet.pref.okayama.jp/licsxp-opac/WOpacMsgNewListToTifTilDetailAction.do?tilcod=2002222328510")</f>
        <v>https://opac.libnet.pref.okayama.jp/licsxp-opac/WOpacMsgNewListToTifTilDetailAction.do?tilcod=2002222328510</v>
      </c>
    </row>
    <row r="566" spans="1:9" x14ac:dyDescent="0.4">
      <c r="A566" t="str">
        <f>"〔岡山県立岡山大安寺中等教育学校〕しこん"</f>
        <v>〔岡山県立岡山大安寺中等教育学校〕しこん</v>
      </c>
      <c r="B566" s="1" t="str">
        <f t="shared" si="26"/>
        <v>〔岡山県立岡山大安寺中等教育学校〕しこん</v>
      </c>
      <c r="C566" t="str">
        <f>"オカヤマ　ケンリツ　オカヤマ　ダイアンジ　チュウトウ　キョウイク　ガッコウ＊シコン"</f>
        <v>オカヤマ　ケンリツ　オカヤマ　ダイアンジ　チュウトウ　キョウイク　ガッコウ＊シコン</v>
      </c>
      <c r="D566" t="str">
        <f>"岡山大安寺中等教育学校"</f>
        <v>岡山大安寺中等教育学校</v>
      </c>
      <c r="E566" t="str">
        <f>"オカヤマ　ダイアンジ　チュウトウ　キョウイク　ガッコウ"</f>
        <v>オカヤマ　ダイアンジ　チュウトウ　キョウイク　ガッコウ</v>
      </c>
      <c r="F566" t="str">
        <f>"岡山"</f>
        <v>岡山</v>
      </c>
      <c r="G566" t="str">
        <f>"年刊"</f>
        <v>年刊</v>
      </c>
      <c r="H566" t="str">
        <f>"2002222311866"</f>
        <v>2002222311866</v>
      </c>
      <c r="I566" t="str">
        <f>HYPERLINK("#", "https://opac.libnet.pref.okayama.jp/licsxp-opac/WOpacMsgNewListToTifTilDetailAction.do?tilcod=2002222311866")</f>
        <v>https://opac.libnet.pref.okayama.jp/licsxp-opac/WOpacMsgNewListToTifTilDetailAction.do?tilcod=2002222311866</v>
      </c>
    </row>
    <row r="567" spans="1:9" x14ac:dyDescent="0.4">
      <c r="A567" t="str">
        <f>"[岡山県立岡山東商業高等学校JRC機関誌]　東"</f>
        <v>[岡山県立岡山東商業高等学校JRC機関誌]　東</v>
      </c>
      <c r="B567" s="1" t="str">
        <f t="shared" si="26"/>
        <v>[岡山県立岡山東商業高等学校JRC機関誌]　東</v>
      </c>
      <c r="C567" t="str">
        <f>"オカヤマ ケンリツ オカヤマ ヒガシ ショウギョウ コウトウ ガッコウ ジェイ アール シー キカンシ アズマ"</f>
        <v>オカヤマ ケンリツ オカヤマ ヒガシ ショウギョウ コウトウ ガッコウ ジェイ アール シー キカンシ アズマ</v>
      </c>
      <c r="D567" t="str">
        <f>"岡山東商業高等学校JRC（青少年赤十字団）"</f>
        <v>岡山東商業高等学校JRC（青少年赤十字団）</v>
      </c>
      <c r="E567" t="str">
        <f>"オカヤマ ヒガシ ショウギョウ コウトウ ガッコウ ジェイ アール シー セイショウネン セキジュウジダン"</f>
        <v>オカヤマ ヒガシ ショウギョウ コウトウ ガッコウ ジェイ アール シー セイショウネン セキジュウジダン</v>
      </c>
      <c r="F567" t="str">
        <f>""</f>
        <v/>
      </c>
      <c r="G567" t="str">
        <f>"頻度不明"</f>
        <v>頻度不明</v>
      </c>
      <c r="H567" t="str">
        <f>"2002222328513"</f>
        <v>2002222328513</v>
      </c>
      <c r="I567" t="str">
        <f>HYPERLINK("#", "https://opac.libnet.pref.okayama.jp/licsxp-opac/WOpacMsgNewListToTifTilDetailAction.do?tilcod=2002222328513")</f>
        <v>https://opac.libnet.pref.okayama.jp/licsxp-opac/WOpacMsgNewListToTifTilDetailAction.do?tilcod=2002222328513</v>
      </c>
    </row>
    <row r="568" spans="1:9" x14ac:dyDescent="0.4">
      <c r="A568" t="str">
        <f>"[岡山県立岡山南高等学校JRC機関誌]　たけのこ"</f>
        <v>[岡山県立岡山南高等学校JRC機関誌]　たけのこ</v>
      </c>
      <c r="B568" s="1" t="str">
        <f t="shared" si="26"/>
        <v>[岡山県立岡山南高等学校JRC機関誌]　たけのこ</v>
      </c>
      <c r="C568" t="str">
        <f>"オカヤマ ケンリツ オカヤマ ミナミ コウトウ ガッコウ ジェイ アール シー キカンシ タケノコ"</f>
        <v>オカヤマ ケンリツ オカヤマ ミナミ コウトウ ガッコウ ジェイ アール シー キカンシ タケノコ</v>
      </c>
      <c r="D568" t="str">
        <f>"岡山南高等学校JRC（青少年赤十字団）"</f>
        <v>岡山南高等学校JRC（青少年赤十字団）</v>
      </c>
      <c r="E568" t="str">
        <f>"オカヤマ ミナミ コウトウ ガッコウ ジェイ アール シー セイショウネン セキジュウジダン"</f>
        <v>オカヤマ ミナミ コウトウ ガッコウ ジェイ アール シー セイショウネン セキジュウジダン</v>
      </c>
      <c r="F568" t="str">
        <f>""</f>
        <v/>
      </c>
      <c r="G568" t="str">
        <f>"年２回刊"</f>
        <v>年２回刊</v>
      </c>
      <c r="H568" t="str">
        <f>"2002222328514"</f>
        <v>2002222328514</v>
      </c>
      <c r="I568" t="str">
        <f>HYPERLINK("#", "https://opac.libnet.pref.okayama.jp/licsxp-opac/WOpacMsgNewListToTifTilDetailAction.do?tilcod=2002222328514")</f>
        <v>https://opac.libnet.pref.okayama.jp/licsxp-opac/WOpacMsgNewListToTifTilDetailAction.do?tilcod=2002222328514</v>
      </c>
    </row>
    <row r="569" spans="1:9" x14ac:dyDescent="0.4">
      <c r="A569" t="str">
        <f>"[岡山県立岡山南高等学校JRC機関誌]　ふうせん"</f>
        <v>[岡山県立岡山南高等学校JRC機関誌]　ふうせん</v>
      </c>
      <c r="B569" s="1" t="str">
        <f t="shared" si="26"/>
        <v>[岡山県立岡山南高等学校JRC機関誌]　ふうせん</v>
      </c>
      <c r="C569" t="str">
        <f>"オカヤマ ケンリツ オカヤマ ミナミ コウトウ ガッコウ ジェイ アール シー キカンシ フウセン"</f>
        <v>オカヤマ ケンリツ オカヤマ ミナミ コウトウ ガッコウ ジェイ アール シー キカンシ フウセン</v>
      </c>
      <c r="D569" t="str">
        <f>"岡山南高等学校JRC（青少年赤十字団）"</f>
        <v>岡山南高等学校JRC（青少年赤十字団）</v>
      </c>
      <c r="E569" t="str">
        <f>"オカヤマ ミナミ コウトウ ガッコウ ジェイ アール シー セイショウネン セキジュウジダン"</f>
        <v>オカヤマ ミナミ コウトウ ガッコウ ジェイ アール シー セイショウネン セキジュウジダン</v>
      </c>
      <c r="F569" t="str">
        <f>""</f>
        <v/>
      </c>
      <c r="G569" t="str">
        <f>"頻度不明"</f>
        <v>頻度不明</v>
      </c>
      <c r="H569" t="str">
        <f>"2002222328515"</f>
        <v>2002222328515</v>
      </c>
      <c r="I569" t="str">
        <f>HYPERLINK("#", "https://opac.libnet.pref.okayama.jp/licsxp-opac/WOpacMsgNewListToTifTilDetailAction.do?tilcod=2002222328515")</f>
        <v>https://opac.libnet.pref.okayama.jp/licsxp-opac/WOpacMsgNewListToTifTilDetailAction.do?tilcod=2002222328515</v>
      </c>
    </row>
    <row r="570" spans="1:9" x14ac:dyDescent="0.4">
      <c r="A570" t="str">
        <f>"〔岡山県立岡山盲学校〕研究紀要"</f>
        <v>〔岡山県立岡山盲学校〕研究紀要</v>
      </c>
      <c r="B570" s="1" t="str">
        <f t="shared" si="26"/>
        <v>〔岡山県立岡山盲学校〕研究紀要</v>
      </c>
      <c r="C570" t="str">
        <f>"オカヤマ　ケンリツ　オカヤマ　モウガッコウ＊ケンキュウ　キヨウ"</f>
        <v>オカヤマ　ケンリツ　オカヤマ　モウガッコウ＊ケンキュウ　キヨウ</v>
      </c>
      <c r="D570" t="str">
        <f>"岡山県立岡山盲学校"</f>
        <v>岡山県立岡山盲学校</v>
      </c>
      <c r="E570" t="str">
        <f>"オカヤマケンリツ オカヤマ モウガッコウ"</f>
        <v>オカヤマケンリツ オカヤマ モウガッコウ</v>
      </c>
      <c r="F570" t="str">
        <f>"岡山"</f>
        <v>岡山</v>
      </c>
      <c r="G570" t="str">
        <f>"隔年刊"</f>
        <v>隔年刊</v>
      </c>
      <c r="H570" t="str">
        <f>"2002222280151"</f>
        <v>2002222280151</v>
      </c>
      <c r="I570" t="str">
        <f>HYPERLINK("#", "https://opac.libnet.pref.okayama.jp/licsxp-opac/WOpacMsgNewListToTifTilDetailAction.do?tilcod=2002222280151")</f>
        <v>https://opac.libnet.pref.okayama.jp/licsxp-opac/WOpacMsgNewListToTifTilDetailAction.do?tilcod=2002222280151</v>
      </c>
    </row>
    <row r="571" spans="1:9" x14ac:dyDescent="0.4">
      <c r="A571" t="str">
        <f>"〔岡山養護学校〕実践研究のあゆみ"</f>
        <v>〔岡山養護学校〕実践研究のあゆみ</v>
      </c>
      <c r="B571" s="1" t="str">
        <f t="shared" si="26"/>
        <v>〔岡山養護学校〕実践研究のあゆみ</v>
      </c>
      <c r="C571" t="str">
        <f>"オカヤマ　ケンリツ　オカヤマ　ヨウゴ　ガッコウ＊ジッセン　ケンキュウ　ノ　アユミ"</f>
        <v>オカヤマ　ケンリツ　オカヤマ　ヨウゴ　ガッコウ＊ジッセン　ケンキュウ　ノ　アユミ</v>
      </c>
      <c r="D571" t="str">
        <f>"岡山養護学校"</f>
        <v>岡山養護学校</v>
      </c>
      <c r="E571" t="str">
        <f>"オカヤマ ヨウゴ ガッコウ"</f>
        <v>オカヤマ ヨウゴ ガッコウ</v>
      </c>
      <c r="F571" t="str">
        <f>"岡山"</f>
        <v>岡山</v>
      </c>
      <c r="G571" t="str">
        <f>"年刊"</f>
        <v>年刊</v>
      </c>
      <c r="H571" t="str">
        <f>"2002222280161"</f>
        <v>2002222280161</v>
      </c>
      <c r="I571" t="str">
        <f>HYPERLINK("#", "https://opac.libnet.pref.okayama.jp/licsxp-opac/WOpacMsgNewListToTifTilDetailAction.do?tilcod=2002222280161")</f>
        <v>https://opac.libnet.pref.okayama.jp/licsxp-opac/WOpacMsgNewListToTifTilDetailAction.do?tilcod=2002222280161</v>
      </c>
    </row>
    <row r="572" spans="1:9" x14ac:dyDescent="0.4">
      <c r="A572" t="str">
        <f>"[岡山県立邑久高等学校JRC機関誌]　ひまわり"</f>
        <v>[岡山県立邑久高等学校JRC機関誌]　ひまわり</v>
      </c>
      <c r="B572" s="1" t="str">
        <f t="shared" si="26"/>
        <v>[岡山県立邑久高等学校JRC機関誌]　ひまわり</v>
      </c>
      <c r="C572" t="str">
        <f>"オカヤマ ケンリツ オク コウトウ ガッコウ ジェイ アール シー キカンシ ヒマワリ"</f>
        <v>オカヤマ ケンリツ オク コウトウ ガッコウ ジェイ アール シー キカンシ ヒマワリ</v>
      </c>
      <c r="D572" t="str">
        <f>"岡山県立邑久高等学校JRC（青少年赤十字団）"</f>
        <v>岡山県立邑久高等学校JRC（青少年赤十字団）</v>
      </c>
      <c r="E572" t="str">
        <f>"オカヤマ ケンリツ オク コウトウ ガッコウ ジェイ アール シー セイショウネン セキジュウジダン"</f>
        <v>オカヤマ ケンリツ オク コウトウ ガッコウ ジェイ アール シー セイショウネン セキジュウジダン</v>
      </c>
      <c r="F572" t="str">
        <f>"瀬戸内"</f>
        <v>瀬戸内</v>
      </c>
      <c r="G572" t="str">
        <f>"頻度不明"</f>
        <v>頻度不明</v>
      </c>
      <c r="H572" t="str">
        <f>"2002222328522"</f>
        <v>2002222328522</v>
      </c>
      <c r="I572" t="str">
        <f>HYPERLINK("#", "https://opac.libnet.pref.okayama.jp/licsxp-opac/WOpacMsgNewListToTifTilDetailAction.do?tilcod=2002222328522")</f>
        <v>https://opac.libnet.pref.okayama.jp/licsxp-opac/WOpacMsgNewListToTifTilDetailAction.do?tilcod=2002222328522</v>
      </c>
    </row>
    <row r="573" spans="1:9" x14ac:dyDescent="0.4">
      <c r="A573" t="str">
        <f>"[岡山県立落合高等学校]スクールライフ"</f>
        <v>[岡山県立落合高等学校]スクールライフ</v>
      </c>
      <c r="B573" s="1" t="str">
        <f t="shared" si="26"/>
        <v>[岡山県立落合高等学校]スクールライフ</v>
      </c>
      <c r="C573" t="str">
        <f>"オカヤマ ケンリツ オチアイ コウトウ ガッコウ スクール ライフ "</f>
        <v xml:space="preserve">オカヤマ ケンリツ オチアイ コウトウ ガッコウ スクール ライフ </v>
      </c>
      <c r="D573" t="str">
        <f>"落合高等学校"</f>
        <v>落合高等学校</v>
      </c>
      <c r="E573" t="str">
        <f>"オチアイ コウトウ ガッコウ"</f>
        <v>オチアイ コウトウ ガッコウ</v>
      </c>
      <c r="F573" t="str">
        <f>"真庭"</f>
        <v>真庭</v>
      </c>
      <c r="G573" t="str">
        <f>"年刊"</f>
        <v>年刊</v>
      </c>
      <c r="H573" t="str">
        <f>"2002222307286"</f>
        <v>2002222307286</v>
      </c>
      <c r="I573" t="str">
        <f>HYPERLINK("#", "https://opac.libnet.pref.okayama.jp/licsxp-opac/WOpacMsgNewListToTifTilDetailAction.do?tilcod=2002222307286")</f>
        <v>https://opac.libnet.pref.okayama.jp/licsxp-opac/WOpacMsgNewListToTifTilDetailAction.do?tilcod=2002222307286</v>
      </c>
    </row>
    <row r="574" spans="1:9" x14ac:dyDescent="0.4">
      <c r="A574" t="str">
        <f>"〔岡山県立勝山高等学校〕勝高だより"</f>
        <v>〔岡山県立勝山高等学校〕勝高だより</v>
      </c>
      <c r="B574" s="1" t="str">
        <f t="shared" si="26"/>
        <v>〔岡山県立勝山高等学校〕勝高だより</v>
      </c>
      <c r="C574" t="str">
        <f>"オカヤマ　ケンリツ　カツヤマ　コウトウ　ガッコウ＊カツコウ　ダヨリ"</f>
        <v>オカヤマ　ケンリツ　カツヤマ　コウトウ　ガッコウ＊カツコウ　ダヨリ</v>
      </c>
      <c r="D574" t="str">
        <f>"勝山高等学校"</f>
        <v>勝山高等学校</v>
      </c>
      <c r="E574" t="str">
        <f>"カツヤマ コウトウ ガッコウ"</f>
        <v>カツヤマ コウトウ ガッコウ</v>
      </c>
      <c r="F574" t="str">
        <f>"真庭"</f>
        <v>真庭</v>
      </c>
      <c r="G574" t="str">
        <f>"頻度不明"</f>
        <v>頻度不明</v>
      </c>
      <c r="H574" t="str">
        <f>"2002222328007"</f>
        <v>2002222328007</v>
      </c>
      <c r="I574" t="str">
        <f>HYPERLINK("#", "https://opac.libnet.pref.okayama.jp/licsxp-opac/WOpacMsgNewListToTifTilDetailAction.do?tilcod=2002222328007")</f>
        <v>https://opac.libnet.pref.okayama.jp/licsxp-opac/WOpacMsgNewListToTifTilDetailAction.do?tilcod=2002222328007</v>
      </c>
    </row>
    <row r="575" spans="1:9" x14ac:dyDescent="0.4">
      <c r="A575" t="str">
        <f>"〔岡山県立勝山高等学校〕勝高Ｖｏｉｃｅ"</f>
        <v>〔岡山県立勝山高等学校〕勝高Ｖｏｉｃｅ</v>
      </c>
      <c r="B575" s="1" t="str">
        <f t="shared" si="26"/>
        <v>〔岡山県立勝山高等学校〕勝高Ｖｏｉｃｅ</v>
      </c>
      <c r="C575" t="str">
        <f>"オカヤマ　ケンリツ　カツヤマ　コウトウ　ガッコウ＊カツコウ　ボイス"</f>
        <v>オカヤマ　ケンリツ　カツヤマ　コウトウ　ガッコウ＊カツコウ　ボイス</v>
      </c>
      <c r="D575" t="str">
        <f>"勝山高等学校"</f>
        <v>勝山高等学校</v>
      </c>
      <c r="E575" t="str">
        <f>"カツヤマ コウトウ ガッコウ"</f>
        <v>カツヤマ コウトウ ガッコウ</v>
      </c>
      <c r="F575" t="str">
        <f>"真庭"</f>
        <v>真庭</v>
      </c>
      <c r="G575" t="str">
        <f>"頻度不明"</f>
        <v>頻度不明</v>
      </c>
      <c r="H575" t="str">
        <f>"2002222328006"</f>
        <v>2002222328006</v>
      </c>
      <c r="I575" t="str">
        <f>HYPERLINK("#", "https://opac.libnet.pref.okayama.jp/licsxp-opac/WOpacMsgNewListToTifTilDetailAction.do?tilcod=2002222328006")</f>
        <v>https://opac.libnet.pref.okayama.jp/licsxp-opac/WOpacMsgNewListToTifTilDetailAction.do?tilcod=2002222328006</v>
      </c>
    </row>
    <row r="576" spans="1:9" x14ac:dyDescent="0.4">
      <c r="A576" t="str">
        <f>"[岡山県立金川高等学校JRC機関誌]　ひまわり"</f>
        <v>[岡山県立金川高等学校JRC機関誌]　ひまわり</v>
      </c>
      <c r="B576" s="1" t="str">
        <f t="shared" si="26"/>
        <v>[岡山県立金川高等学校JRC機関誌]　ひまわり</v>
      </c>
      <c r="C576" t="str">
        <f>"オカヤマ ケンリツ カナガワ コウトウ ガッコウ ジェイ アール シー キカンシ ヒマワリ"</f>
        <v>オカヤマ ケンリツ カナガワ コウトウ ガッコウ ジェイ アール シー キカンシ ヒマワリ</v>
      </c>
      <c r="D576" t="str">
        <f>"金川高等学校JRC（青少年赤十字団）"</f>
        <v>金川高等学校JRC（青少年赤十字団）</v>
      </c>
      <c r="E576" t="str">
        <f>"カナガワ コウトウ ガッコウ ジェイ アール シー セイショウネン セキジュウジダン"</f>
        <v>カナガワ コウトウ ガッコウ ジェイ アール シー セイショウネン セキジュウジダン</v>
      </c>
      <c r="F576" t="str">
        <f>"岡山"</f>
        <v>岡山</v>
      </c>
      <c r="G576" t="str">
        <f>"頻度不明"</f>
        <v>頻度不明</v>
      </c>
      <c r="H576" t="str">
        <f>"2002222328520"</f>
        <v>2002222328520</v>
      </c>
      <c r="I576" t="str">
        <f>HYPERLINK("#", "https://opac.libnet.pref.okayama.jp/licsxp-opac/WOpacMsgNewListToTifTilDetailAction.do?tilcod=2002222328520")</f>
        <v>https://opac.libnet.pref.okayama.jp/licsxp-opac/WOpacMsgNewListToTifTilDetailAction.do?tilcod=2002222328520</v>
      </c>
    </row>
    <row r="577" spans="1:9" x14ac:dyDescent="0.4">
      <c r="A577" t="str">
        <f>"[岡山県立鴨方高等学校JRC機関誌]　ICE CREAM"</f>
        <v>[岡山県立鴨方高等学校JRC機関誌]　ICE CREAM</v>
      </c>
      <c r="B577" s="1" t="str">
        <f t="shared" si="26"/>
        <v>[岡山県立鴨方高等学校JRC機関誌]　ICE CREAM</v>
      </c>
      <c r="C577" t="str">
        <f>"オカヤマ ケンリツ カモガタ コウトウ ガッコウ ジェイ アール シー キカンシ アイスクリーム"</f>
        <v>オカヤマ ケンリツ カモガタ コウトウ ガッコウ ジェイ アール シー キカンシ アイスクリーム</v>
      </c>
      <c r="D577" t="str">
        <f>"鴨方高等学校JRC（青少年赤十字団）"</f>
        <v>鴨方高等学校JRC（青少年赤十字団）</v>
      </c>
      <c r="E577" t="str">
        <f>"カモガタ コウトウ ガッコウ ジェイ アール シー セイショウネン セキジュウジ ダン"</f>
        <v>カモガタ コウトウ ガッコウ ジェイ アール シー セイショウネン セキジュウジ ダン</v>
      </c>
      <c r="F577" t="str">
        <f>""</f>
        <v/>
      </c>
      <c r="G577" t="str">
        <f>"頻度不明"</f>
        <v>頻度不明</v>
      </c>
      <c r="H577" t="str">
        <f>"2002222328509"</f>
        <v>2002222328509</v>
      </c>
      <c r="I577" t="str">
        <f>HYPERLINK("#", "https://opac.libnet.pref.okayama.jp/licsxp-opac/WOpacMsgNewListToTifTilDetailAction.do?tilcod=2002222328509")</f>
        <v>https://opac.libnet.pref.okayama.jp/licsxp-opac/WOpacMsgNewListToTifTilDetailAction.do?tilcod=2002222328509</v>
      </c>
    </row>
    <row r="578" spans="1:9" x14ac:dyDescent="0.4">
      <c r="A578" t="str">
        <f>"[岡山県立鴨方高等学校JRC機関誌]　杉"</f>
        <v>[岡山県立鴨方高等学校JRC機関誌]　杉</v>
      </c>
      <c r="B578" s="1" t="str">
        <f t="shared" si="26"/>
        <v>[岡山県立鴨方高等学校JRC機関誌]　杉</v>
      </c>
      <c r="C578" t="str">
        <f>"オカヤマ ケンリツ カモガタ コウトウ ガッコウ ジェイ アール シー キカンシ スギ"</f>
        <v>オカヤマ ケンリツ カモガタ コウトウ ガッコウ ジェイ アール シー キカンシ スギ</v>
      </c>
      <c r="D578" t="str">
        <f>"鴨方高等学校JRC（青少年赤十字団）"</f>
        <v>鴨方高等学校JRC（青少年赤十字団）</v>
      </c>
      <c r="E578" t="str">
        <f>"カモガタ コウトウ ガッコウ ジェイ アール シー セイショウネン セキジュウジ ダン"</f>
        <v>カモガタ コウトウ ガッコウ ジェイ アール シー セイショウネン セキジュウジ ダン</v>
      </c>
      <c r="F578" t="str">
        <f>""</f>
        <v/>
      </c>
      <c r="G578" t="str">
        <f>"頻度不明"</f>
        <v>頻度不明</v>
      </c>
      <c r="H578" t="str">
        <f>"2002222328508"</f>
        <v>2002222328508</v>
      </c>
      <c r="I578" t="str">
        <f>HYPERLINK("#", "https://opac.libnet.pref.okayama.jp/licsxp-opac/WOpacMsgNewListToTifTilDetailAction.do?tilcod=2002222328508")</f>
        <v>https://opac.libnet.pref.okayama.jp/licsxp-opac/WOpacMsgNewListToTifTilDetailAction.do?tilcod=2002222328508</v>
      </c>
    </row>
    <row r="579" spans="1:9" x14ac:dyDescent="0.4">
      <c r="A579" t="str">
        <f>"岡山県立倉敷琴浦高等支援学校学校案内"</f>
        <v>岡山県立倉敷琴浦高等支援学校学校案内</v>
      </c>
      <c r="B579" s="1" t="str">
        <f t="shared" si="26"/>
        <v>岡山県立倉敷琴浦高等支援学校学校案内</v>
      </c>
      <c r="C579" t="str">
        <f>"オカヤマ　ケンリツ　クラシキ　コトウラ　コウトウ　シエン　ガッコウ　ガッコウ　アンナイ"</f>
        <v>オカヤマ　ケンリツ　クラシキ　コトウラ　コウトウ　シエン　ガッコウ　ガッコウ　アンナイ</v>
      </c>
      <c r="D579" t="str">
        <f>"倉敷琴浦高等支援学校"</f>
        <v>倉敷琴浦高等支援学校</v>
      </c>
      <c r="E579" t="str">
        <f>"クラシキコトウラコウトウシエンガッコウ"</f>
        <v>クラシキコトウラコウトウシエンガッコウ</v>
      </c>
      <c r="F579" t="str">
        <f>"倉敷"</f>
        <v>倉敷</v>
      </c>
      <c r="G579" t="str">
        <f>"年刊"</f>
        <v>年刊</v>
      </c>
      <c r="H579" t="str">
        <f>"2002222302227"</f>
        <v>2002222302227</v>
      </c>
      <c r="I579" t="str">
        <f>HYPERLINK("#", "https://opac.libnet.pref.okayama.jp/licsxp-opac/WOpacMsgNewListToTifTilDetailAction.do?tilcod=2002222302227")</f>
        <v>https://opac.libnet.pref.okayama.jp/licsxp-opac/WOpacMsgNewListToTifTilDetailAction.do?tilcod=2002222302227</v>
      </c>
    </row>
    <row r="580" spans="1:9" x14ac:dyDescent="0.4">
      <c r="A580" t="str">
        <f>"岡山県立倉敷琴浦高等支援学校学校要覧"</f>
        <v>岡山県立倉敷琴浦高等支援学校学校要覧</v>
      </c>
      <c r="B580" s="1" t="str">
        <f t="shared" ref="B580:B643" si="30">HYPERLINK("#", A580)</f>
        <v>岡山県立倉敷琴浦高等支援学校学校要覧</v>
      </c>
      <c r="C580" t="str">
        <f>"オカヤマ　ケンリツ　クラシキ　コトウラ　コウトウ　シエン　ガッコウ　ガッコウ　ヨウラン"</f>
        <v>オカヤマ　ケンリツ　クラシキ　コトウラ　コウトウ　シエン　ガッコウ　ガッコウ　ヨウラン</v>
      </c>
      <c r="D580" t="str">
        <f>"倉敷琴浦高等支援学校"</f>
        <v>倉敷琴浦高等支援学校</v>
      </c>
      <c r="E580" t="str">
        <f>"クラシキコトウラコウトウシエンガッコウ"</f>
        <v>クラシキコトウラコウトウシエンガッコウ</v>
      </c>
      <c r="F580" t="str">
        <f>"倉敷"</f>
        <v>倉敷</v>
      </c>
      <c r="G580" t="str">
        <f>"年刊"</f>
        <v>年刊</v>
      </c>
      <c r="H580" t="str">
        <f>"2002222302228"</f>
        <v>2002222302228</v>
      </c>
      <c r="I580" t="str">
        <f>HYPERLINK("#", "https://opac.libnet.pref.okayama.jp/licsxp-opac/WOpacMsgNewListToTifTilDetailAction.do?tilcod=2002222302228")</f>
        <v>https://opac.libnet.pref.okayama.jp/licsxp-opac/WOpacMsgNewListToTifTilDetailAction.do?tilcod=2002222302228</v>
      </c>
    </row>
    <row r="581" spans="1:9" x14ac:dyDescent="0.4">
      <c r="A581" t="str">
        <f>"[岡山県立倉敷青陵高等学校JRC機関誌]　友垣（ともがき）"</f>
        <v>[岡山県立倉敷青陵高等学校JRC機関誌]　友垣（ともがき）</v>
      </c>
      <c r="B581" s="1" t="str">
        <f t="shared" si="30"/>
        <v>[岡山県立倉敷青陵高等学校JRC機関誌]　友垣（ともがき）</v>
      </c>
      <c r="C581" t="str">
        <f>"オカヤマ ケンリツ クラシキ セイリョウ コウトウ ガッコウ ジェイ アール シー キカンシ トモガキ"</f>
        <v>オカヤマ ケンリツ クラシキ セイリョウ コウトウ ガッコウ ジェイ アール シー キカンシ トモガキ</v>
      </c>
      <c r="D581" t="str">
        <f>"倉敷青陵高等学校JRC（青少年赤十字団）"</f>
        <v>倉敷青陵高等学校JRC（青少年赤十字団）</v>
      </c>
      <c r="E581" t="str">
        <f>"クラシキ セイリョウ コウトウ ガッコウ ジェイ アール シー セイショウネン セキジュウジ ダン"</f>
        <v>クラシキ セイリョウ コウトウ ガッコウ ジェイ アール シー セイショウネン セキジュウジ ダン</v>
      </c>
      <c r="F581" t="str">
        <f>"倉敷"</f>
        <v>倉敷</v>
      </c>
      <c r="G581" t="str">
        <f t="shared" ref="G581:G586" si="31">"頻度不明"</f>
        <v>頻度不明</v>
      </c>
      <c r="H581" t="str">
        <f>"2002222328456"</f>
        <v>2002222328456</v>
      </c>
      <c r="I581" t="str">
        <f>HYPERLINK("#", "https://opac.libnet.pref.okayama.jp/licsxp-opac/WOpacMsgNewListToTifTilDetailAction.do?tilcod=2002222328456")</f>
        <v>https://opac.libnet.pref.okayama.jp/licsxp-opac/WOpacMsgNewListToTifTilDetailAction.do?tilcod=2002222328456</v>
      </c>
    </row>
    <row r="582" spans="1:9" x14ac:dyDescent="0.4">
      <c r="A582" t="str">
        <f>"[岡山県立倉敷中央高等学校JRC機関誌]　ひまわり"</f>
        <v>[岡山県立倉敷中央高等学校JRC機関誌]　ひまわり</v>
      </c>
      <c r="B582" s="1" t="str">
        <f t="shared" si="30"/>
        <v>[岡山県立倉敷中央高等学校JRC機関誌]　ひまわり</v>
      </c>
      <c r="C582" t="str">
        <f>"オカヤマ ケンリツ クラシキ チュウオウ コウトウ ガッコウ ジェイ アール シー キカンシ ヒマワリ"</f>
        <v>オカヤマ ケンリツ クラシキ チュウオウ コウトウ ガッコウ ジェイ アール シー キカンシ ヒマワリ</v>
      </c>
      <c r="D582" t="str">
        <f>"倉敷中央高等学校JRC（青少年赤十字団）"</f>
        <v>倉敷中央高等学校JRC（青少年赤十字団）</v>
      </c>
      <c r="E582" t="str">
        <f>"クラシキ チュウオウ コウトウ ガッコウ ジェイ アール シー セイショウネン セキジュウジダン"</f>
        <v>クラシキ チュウオウ コウトウ ガッコウ ジェイ アール シー セイショウネン セキジュウジダン</v>
      </c>
      <c r="F582" t="str">
        <f>"倉敷"</f>
        <v>倉敷</v>
      </c>
      <c r="G582" t="str">
        <f t="shared" si="31"/>
        <v>頻度不明</v>
      </c>
      <c r="H582" t="str">
        <f>"2002222328523"</f>
        <v>2002222328523</v>
      </c>
      <c r="I582" t="str">
        <f>HYPERLINK("#", "https://opac.libnet.pref.okayama.jp/licsxp-opac/WOpacMsgNewListToTifTilDetailAction.do?tilcod=2002222328523")</f>
        <v>https://opac.libnet.pref.okayama.jp/licsxp-opac/WOpacMsgNewListToTifTilDetailAction.do?tilcod=2002222328523</v>
      </c>
    </row>
    <row r="583" spans="1:9" x14ac:dyDescent="0.4">
      <c r="A583" t="str">
        <f>"[岡山県立西大寺高等学校JRC機関紙]　嚆矢"</f>
        <v>[岡山県立西大寺高等学校JRC機関紙]　嚆矢</v>
      </c>
      <c r="B583" s="1" t="str">
        <f t="shared" si="30"/>
        <v>[岡山県立西大寺高等学校JRC機関紙]　嚆矢</v>
      </c>
      <c r="C583" t="str">
        <f>"オカヤマ ケンリツ サイダイジ コウトウ ガッコウ ジェイ アール シー キカンシ コウシ"</f>
        <v>オカヤマ ケンリツ サイダイジ コウトウ ガッコウ ジェイ アール シー キカンシ コウシ</v>
      </c>
      <c r="D583" t="str">
        <f>"西大寺高等学校JRC（青少年赤十字団）"</f>
        <v>西大寺高等学校JRC（青少年赤十字団）</v>
      </c>
      <c r="E583" t="str">
        <f>"サイダイジ コウトウ ガッコウ ジェイ アール シー セイショウネン セキジュウジ ダン"</f>
        <v>サイダイジ コウトウ ガッコウ ジェイ アール シー セイショウネン セキジュウジ ダン</v>
      </c>
      <c r="F583" t="str">
        <f t="shared" ref="F583:F588" si="32">"岡山"</f>
        <v>岡山</v>
      </c>
      <c r="G583" t="str">
        <f t="shared" si="31"/>
        <v>頻度不明</v>
      </c>
      <c r="H583" t="str">
        <f>"2002222328452"</f>
        <v>2002222328452</v>
      </c>
      <c r="I583" t="str">
        <f>HYPERLINK("#", "https://opac.libnet.pref.okayama.jp/licsxp-opac/WOpacMsgNewListToTifTilDetailAction.do?tilcod=2002222328452")</f>
        <v>https://opac.libnet.pref.okayama.jp/licsxp-opac/WOpacMsgNewListToTifTilDetailAction.do?tilcod=2002222328452</v>
      </c>
    </row>
    <row r="584" spans="1:9" x14ac:dyDescent="0.4">
      <c r="A584" t="str">
        <f>"[岡山県立西大寺高等学校JRC機関紙]　誓"</f>
        <v>[岡山県立西大寺高等学校JRC機関紙]　誓</v>
      </c>
      <c r="B584" s="1" t="str">
        <f t="shared" si="30"/>
        <v>[岡山県立西大寺高等学校JRC機関紙]　誓</v>
      </c>
      <c r="C584" t="str">
        <f>"オカヤマ ケンリツ サイダイジ コウトウ ガッコウ ジェイ アール シー キカンシ チカイ"</f>
        <v>オカヤマ ケンリツ サイダイジ コウトウ ガッコウ ジェイ アール シー キカンシ チカイ</v>
      </c>
      <c r="D584" t="str">
        <f>"西大寺高等学校JRC（青少年赤十字団）"</f>
        <v>西大寺高等学校JRC（青少年赤十字団）</v>
      </c>
      <c r="E584" t="str">
        <f>"サイダイジ コウトウ ガッコウ ジェイ アール シー セイショウネン セキジュウジ ダン"</f>
        <v>サイダイジ コウトウ ガッコウ ジェイ アール シー セイショウネン セキジュウジ ダン</v>
      </c>
      <c r="F584" t="str">
        <f t="shared" si="32"/>
        <v>岡山</v>
      </c>
      <c r="G584" t="str">
        <f t="shared" si="31"/>
        <v>頻度不明</v>
      </c>
      <c r="H584" t="str">
        <f>"2002222328454"</f>
        <v>2002222328454</v>
      </c>
      <c r="I584" t="str">
        <f>HYPERLINK("#", "https://opac.libnet.pref.okayama.jp/licsxp-opac/WOpacMsgNewListToTifTilDetailAction.do?tilcod=2002222328454")</f>
        <v>https://opac.libnet.pref.okayama.jp/licsxp-opac/WOpacMsgNewListToTifTilDetailAction.do?tilcod=2002222328454</v>
      </c>
    </row>
    <row r="585" spans="1:9" x14ac:dyDescent="0.4">
      <c r="A585" t="str">
        <f>"[岡山県立西大寺高等学校JRC機関紙]　吉井の流れ"</f>
        <v>[岡山県立西大寺高等学校JRC機関紙]　吉井の流れ</v>
      </c>
      <c r="B585" s="1" t="str">
        <f t="shared" si="30"/>
        <v>[岡山県立西大寺高等学校JRC機関紙]　吉井の流れ</v>
      </c>
      <c r="C585" t="str">
        <f>"オカヤマ ケンリツ サイダイジ コウトウ ガッコウ ジェイ アール シー キカンシ ヨシイ ノ ナガレ"</f>
        <v>オカヤマ ケンリツ サイダイジ コウトウ ガッコウ ジェイ アール シー キカンシ ヨシイ ノ ナガレ</v>
      </c>
      <c r="D585" t="str">
        <f>"西大寺高等学校JRC（青少年赤十字団）"</f>
        <v>西大寺高等学校JRC（青少年赤十字団）</v>
      </c>
      <c r="E585" t="str">
        <f>"サイダイジ コウトウ ガッコウ ジェイ アール シー セイショウネン セキジュウジ ダン"</f>
        <v>サイダイジ コウトウ ガッコウ ジェイ アール シー セイショウネン セキジュウジ ダン</v>
      </c>
      <c r="F585" t="str">
        <f t="shared" si="32"/>
        <v>岡山</v>
      </c>
      <c r="G585" t="str">
        <f t="shared" si="31"/>
        <v>頻度不明</v>
      </c>
      <c r="H585" t="str">
        <f>"2002222328453"</f>
        <v>2002222328453</v>
      </c>
      <c r="I585" t="str">
        <f>HYPERLINK("#", "https://opac.libnet.pref.okayama.jp/licsxp-opac/WOpacMsgNewListToTifTilDetailAction.do?tilcod=2002222328453")</f>
        <v>https://opac.libnet.pref.okayama.jp/licsxp-opac/WOpacMsgNewListToTifTilDetailAction.do?tilcod=2002222328453</v>
      </c>
    </row>
    <row r="586" spans="1:9" x14ac:dyDescent="0.4">
      <c r="A586" t="str">
        <f>"[岡山県立西大寺高等学校JRC機関紙]　吉井川"</f>
        <v>[岡山県立西大寺高等学校JRC機関紙]　吉井川</v>
      </c>
      <c r="B586" s="1" t="str">
        <f t="shared" si="30"/>
        <v>[岡山県立西大寺高等学校JRC機関紙]　吉井川</v>
      </c>
      <c r="C586" t="str">
        <f>"オカヤマ ケンリツ サイダイジ コウトウ ガッコウ ジェイ アール シー キカンシ ヨシイガワ"</f>
        <v>オカヤマ ケンリツ サイダイジ コウトウ ガッコウ ジェイ アール シー キカンシ ヨシイガワ</v>
      </c>
      <c r="D586" t="str">
        <f>"西大寺高等学校JRC（青少年赤十字団）"</f>
        <v>西大寺高等学校JRC（青少年赤十字団）</v>
      </c>
      <c r="E586" t="str">
        <f>"サイダイジ コウトウ ガッコウ ジェイ アール シー セイショウネン セキジュウジ ダン"</f>
        <v>サイダイジ コウトウ ガッコウ ジェイ アール シー セイショウネン セキジュウジ ダン</v>
      </c>
      <c r="F586" t="str">
        <f t="shared" si="32"/>
        <v>岡山</v>
      </c>
      <c r="G586" t="str">
        <f t="shared" si="31"/>
        <v>頻度不明</v>
      </c>
      <c r="H586" t="str">
        <f>"2002222328455"</f>
        <v>2002222328455</v>
      </c>
      <c r="I586" t="str">
        <f>HYPERLINK("#", "https://opac.libnet.pref.okayama.jp/licsxp-opac/WOpacMsgNewListToTifTilDetailAction.do?tilcod=2002222328455")</f>
        <v>https://opac.libnet.pref.okayama.jp/licsxp-opac/WOpacMsgNewListToTifTilDetailAction.do?tilcod=2002222328455</v>
      </c>
    </row>
    <row r="587" spans="1:9" x14ac:dyDescent="0.4">
      <c r="A587" t="str">
        <f>"〔岡山県立精研高等学校〕校誌精研"</f>
        <v>〔岡山県立精研高等学校〕校誌精研</v>
      </c>
      <c r="B587" s="1" t="str">
        <f t="shared" si="30"/>
        <v>〔岡山県立精研高等学校〕校誌精研</v>
      </c>
      <c r="C587" t="str">
        <f>"オカヤマ　ケンリツ　セイケン　コウトウ　ガッコウ＊コウシ　セイケン"</f>
        <v>オカヤマ　ケンリツ　セイケン　コウトウ　ガッコウ＊コウシ　セイケン</v>
      </c>
      <c r="D587" t="str">
        <f>"精研高等学校"</f>
        <v>精研高等学校</v>
      </c>
      <c r="E587" t="str">
        <f>"セイケン コウトウ ガッコウ"</f>
        <v>セイケン コウトウ ガッコウ</v>
      </c>
      <c r="F587" t="str">
        <f t="shared" si="32"/>
        <v>岡山</v>
      </c>
      <c r="G587" t="str">
        <f>"年刊"</f>
        <v>年刊</v>
      </c>
      <c r="H587" t="str">
        <f>"2002222283211"</f>
        <v>2002222283211</v>
      </c>
      <c r="I587" t="str">
        <f>HYPERLINK("#", "https://opac.libnet.pref.okayama.jp/licsxp-opac/WOpacMsgNewListToTifTilDetailAction.do?tilcod=2002222283211")</f>
        <v>https://opac.libnet.pref.okayama.jp/licsxp-opac/WOpacMsgNewListToTifTilDetailAction.do?tilcod=2002222283211</v>
      </c>
    </row>
    <row r="588" spans="1:9" x14ac:dyDescent="0.4">
      <c r="A588" t="str">
        <f>"〔岡山県立成徳学校〕成徳だより"</f>
        <v>〔岡山県立成徳学校〕成徳だより</v>
      </c>
      <c r="B588" s="1" t="str">
        <f t="shared" si="30"/>
        <v>〔岡山県立成徳学校〕成徳だより</v>
      </c>
      <c r="C588" t="str">
        <f>"オカヤマ　ケンリツ　セイトク　ガッコウ＊セイトク　ダヨリ"</f>
        <v>オカヤマ　ケンリツ　セイトク　ガッコウ＊セイトク　ダヨリ</v>
      </c>
      <c r="D588" t="str">
        <f>"成徳学校"</f>
        <v>成徳学校</v>
      </c>
      <c r="E588" t="str">
        <f>"セイトクガッコウ"</f>
        <v>セイトクガッコウ</v>
      </c>
      <c r="F588" t="str">
        <f t="shared" si="32"/>
        <v>岡山</v>
      </c>
      <c r="G588" t="str">
        <f>"年刊"</f>
        <v>年刊</v>
      </c>
      <c r="H588" t="str">
        <f>"2002222288883"</f>
        <v>2002222288883</v>
      </c>
      <c r="I588" t="str">
        <f>HYPERLINK("#", "https://opac.libnet.pref.okayama.jp/licsxp-opac/WOpacMsgNewListToTifTilDetailAction.do?tilcod=2002222288883")</f>
        <v>https://opac.libnet.pref.okayama.jp/licsxp-opac/WOpacMsgNewListToTifTilDetailAction.do?tilcod=2002222288883</v>
      </c>
    </row>
    <row r="589" spans="1:9" x14ac:dyDescent="0.4">
      <c r="A589" t="str">
        <f>"[岡山県立瀬戸高等学校JRC機関誌]"</f>
        <v>[岡山県立瀬戸高等学校JRC機関誌]</v>
      </c>
      <c r="B589" s="1" t="str">
        <f t="shared" si="30"/>
        <v>[岡山県立瀬戸高等学校JRC機関誌]</v>
      </c>
      <c r="C589" t="str">
        <f>"オカヤマ ケンリツ セト コウトウ ガッコウ ジェイ アール シー キカンシ"</f>
        <v>オカヤマ ケンリツ セト コウトウ ガッコウ ジェイ アール シー キカンシ</v>
      </c>
      <c r="D589" t="str">
        <f>"瀬戸高等学校青少年赤十字団"</f>
        <v>瀬戸高等学校青少年赤十字団</v>
      </c>
      <c r="E589" t="str">
        <f>"セト コウトウ ガッコウ セイショウネン セキジュウジ ダン"</f>
        <v>セト コウトウ ガッコウ セイショウネン セキジュウジ ダン</v>
      </c>
      <c r="F589" t="str">
        <f>"瀬戸町（赤磐郡）"</f>
        <v>瀬戸町（赤磐郡）</v>
      </c>
      <c r="G589" t="str">
        <f>"頻度不明"</f>
        <v>頻度不明</v>
      </c>
      <c r="H589" t="str">
        <f>"2002222328517"</f>
        <v>2002222328517</v>
      </c>
      <c r="I589" t="str">
        <f>HYPERLINK("#", "https://opac.libnet.pref.okayama.jp/licsxp-opac/WOpacMsgNewListToTifTilDetailAction.do?tilcod=2002222328517")</f>
        <v>https://opac.libnet.pref.okayama.jp/licsxp-opac/WOpacMsgNewListToTifTilDetailAction.do?tilcod=2002222328517</v>
      </c>
    </row>
    <row r="590" spans="1:9" x14ac:dyDescent="0.4">
      <c r="A590" t="str">
        <f>"[岡山県立瀬戸高等学校JRC機関誌]　みち"</f>
        <v>[岡山県立瀬戸高等学校JRC機関誌]　みち</v>
      </c>
      <c r="B590" s="1" t="str">
        <f t="shared" si="30"/>
        <v>[岡山県立瀬戸高等学校JRC機関誌]　みち</v>
      </c>
      <c r="C590" t="str">
        <f>"オカヤマ ケンリツ セト コウトウ ガッコウ ジェイ アール シー キカンシ ミチ"</f>
        <v>オカヤマ ケンリツ セト コウトウ ガッコウ ジェイ アール シー キカンシ ミチ</v>
      </c>
      <c r="D590" t="str">
        <f>"瀬戸高等学校青少年赤十字団"</f>
        <v>瀬戸高等学校青少年赤十字団</v>
      </c>
      <c r="E590" t="str">
        <f>"セト コウトウ ガッコウ セイショウネン セキジュウジ ダン"</f>
        <v>セト コウトウ ガッコウ セイショウネン セキジュウジ ダン</v>
      </c>
      <c r="F590" t="str">
        <f>"岡山"</f>
        <v>岡山</v>
      </c>
      <c r="G590" t="str">
        <f>"年刊"</f>
        <v>年刊</v>
      </c>
      <c r="H590" t="str">
        <f>"2002222328450"</f>
        <v>2002222328450</v>
      </c>
      <c r="I590" t="str">
        <f>HYPERLINK("#", "https://opac.libnet.pref.okayama.jp/licsxp-opac/WOpacMsgNewListToTifTilDetailAction.do?tilcod=2002222328450")</f>
        <v>https://opac.libnet.pref.okayama.jp/licsxp-opac/WOpacMsgNewListToTifTilDetailAction.do?tilcod=2002222328450</v>
      </c>
    </row>
    <row r="591" spans="1:9" x14ac:dyDescent="0.4">
      <c r="A591" t="str">
        <f>"[岡山県立総社高等学校JRC機関誌]　ふじ"</f>
        <v>[岡山県立総社高等学校JRC機関誌]　ふじ</v>
      </c>
      <c r="B591" s="1" t="str">
        <f t="shared" si="30"/>
        <v>[岡山県立総社高等学校JRC機関誌]　ふじ</v>
      </c>
      <c r="C591" t="str">
        <f>"オカヤマ ケンリツ ソウジャ コウトウ ガッコウ ジェイ アール シー キカンシ フジ"</f>
        <v>オカヤマ ケンリツ ソウジャ コウトウ ガッコウ ジェイ アール シー キカンシ フジ</v>
      </c>
      <c r="D591" t="str">
        <f>"総社高等学校JRC（青少年赤十字団）"</f>
        <v>総社高等学校JRC（青少年赤十字団）</v>
      </c>
      <c r="E591" t="str">
        <f>"ソウジャ コウトウ ガッコウ ジェイ アール シー セイショウネン セキジュウジ ダン"</f>
        <v>ソウジャ コウトウ ガッコウ ジェイ アール シー セイショウネン セキジュウジ ダン</v>
      </c>
      <c r="F591" t="str">
        <f>"総社"</f>
        <v>総社</v>
      </c>
      <c r="G591" t="str">
        <f>"年２回刊"</f>
        <v>年２回刊</v>
      </c>
      <c r="H591" t="str">
        <f>"2002222328458"</f>
        <v>2002222328458</v>
      </c>
      <c r="I591" t="str">
        <f>HYPERLINK("#", "https://opac.libnet.pref.okayama.jp/licsxp-opac/WOpacMsgNewListToTifTilDetailAction.do?tilcod=2002222328458")</f>
        <v>https://opac.libnet.pref.okayama.jp/licsxp-opac/WOpacMsgNewListToTifTilDetailAction.do?tilcod=2002222328458</v>
      </c>
    </row>
    <row r="592" spans="1:9" x14ac:dyDescent="0.4">
      <c r="A592" t="str">
        <f>"[岡山県立大学・岡山県立大学短期大学部]学報"</f>
        <v>[岡山県立大学・岡山県立大学短期大学部]学報</v>
      </c>
      <c r="B592" s="1" t="str">
        <f t="shared" si="30"/>
        <v>[岡山県立大学・岡山県立大学短期大学部]学報</v>
      </c>
      <c r="C592" t="str">
        <f>"オカヤマ ケンリツ ダイガク オカヤマ ケンリツ ダイガク タンキ ダイガクブ ガクホウ"</f>
        <v>オカヤマ ケンリツ ダイガク オカヤマ ケンリツ ダイガク タンキ ダイガクブ ガクホウ</v>
      </c>
      <c r="D592" t="str">
        <f>"岡山県立大学岡山県立大学短期大学部事務局"</f>
        <v>岡山県立大学岡山県立大学短期大学部事務局</v>
      </c>
      <c r="E592" t="str">
        <f>"オカヤマケンリツダイガクオカヤマケンリツダイガクタンキダイガクブジムキョク"</f>
        <v>オカヤマケンリツダイガクオカヤマケンリツダイガクタンキダイガクブジムキョク</v>
      </c>
      <c r="F592" t="str">
        <f>"[総社]"</f>
        <v>[総社]</v>
      </c>
      <c r="G592" t="str">
        <f>"年刊"</f>
        <v>年刊</v>
      </c>
      <c r="H592" t="str">
        <f>"2002222282531"</f>
        <v>2002222282531</v>
      </c>
      <c r="I592" t="str">
        <f>HYPERLINK("#", "https://opac.libnet.pref.okayama.jp/licsxp-opac/WOpacMsgNewListToTifTilDetailAction.do?tilcod=2002222282531")</f>
        <v>https://opac.libnet.pref.okayama.jp/licsxp-opac/WOpacMsgNewListToTifTilDetailAction.do?tilcod=2002222282531</v>
      </c>
    </row>
    <row r="593" spans="1:9" x14ac:dyDescent="0.4">
      <c r="A593" t="str">
        <f>"[岡山県立大学]学報"</f>
        <v>[岡山県立大学]学報</v>
      </c>
      <c r="B593" s="1" t="str">
        <f t="shared" si="30"/>
        <v>[岡山県立大学]学報</v>
      </c>
      <c r="C593" t="str">
        <f>"オカヤマ ケンリツ ダイガク ガクホウ"</f>
        <v>オカヤマ ケンリツ ダイガク ガクホウ</v>
      </c>
      <c r="D593" t="str">
        <f>"岡山県立大学事務局"</f>
        <v>岡山県立大学事務局</v>
      </c>
      <c r="E593" t="str">
        <f>"オカヤマケンリツダイガクジムキョク"</f>
        <v>オカヤマケンリツダイガクジムキョク</v>
      </c>
      <c r="F593" t="str">
        <f>"総社"</f>
        <v>総社</v>
      </c>
      <c r="G593" t="str">
        <f>"年刊"</f>
        <v>年刊</v>
      </c>
      <c r="H593" t="str">
        <f>"2002222301836"</f>
        <v>2002222301836</v>
      </c>
      <c r="I593" t="str">
        <f>HYPERLINK("#", "https://opac.libnet.pref.okayama.jp/licsxp-opac/WOpacMsgNewListToTifTilDetailAction.do?tilcod=2002222301836")</f>
        <v>https://opac.libnet.pref.okayama.jp/licsxp-opac/WOpacMsgNewListToTifTilDetailAction.do?tilcod=2002222301836</v>
      </c>
    </row>
    <row r="594" spans="1:9" x14ac:dyDescent="0.4">
      <c r="A594" t="str">
        <f>"岡山県立大学デザイン学部紀要"</f>
        <v>岡山県立大学デザイン学部紀要</v>
      </c>
      <c r="B594" s="1" t="str">
        <f t="shared" si="30"/>
        <v>岡山県立大学デザイン学部紀要</v>
      </c>
      <c r="C594" t="str">
        <f>"オカヤマ　ケンリツ　ダイガク　デザイン　ガクブ　キヨウ"</f>
        <v>オカヤマ　ケンリツ　ダイガク　デザイン　ガクブ　キヨウ</v>
      </c>
      <c r="D594" t="str">
        <f>"岡山県立大学デザイン学部"</f>
        <v>岡山県立大学デザイン学部</v>
      </c>
      <c r="E594" t="str">
        <f>"オカヤマケンリツダイガクデザインガクブ"</f>
        <v>オカヤマケンリツダイガクデザインガクブ</v>
      </c>
      <c r="F594" t="str">
        <f>"総社"</f>
        <v>総社</v>
      </c>
      <c r="G594" t="str">
        <f>"年刊"</f>
        <v>年刊</v>
      </c>
      <c r="H594" t="str">
        <f>"2002222282031"</f>
        <v>2002222282031</v>
      </c>
      <c r="I594" t="str">
        <f>HYPERLINK("#", "https://opac.libnet.pref.okayama.jp/licsxp-opac/WOpacMsgNewListToTifTilDetailAction.do?tilcod=2002222282031")</f>
        <v>https://opac.libnet.pref.okayama.jp/licsxp-opac/WOpacMsgNewListToTifTilDetailAction.do?tilcod=2002222282031</v>
      </c>
    </row>
    <row r="595" spans="1:9" x14ac:dyDescent="0.4">
      <c r="A595" t="str">
        <f>"岡山県立大学デザイン学部・デザイン学研究科年報"</f>
        <v>岡山県立大学デザイン学部・デザイン学研究科年報</v>
      </c>
      <c r="B595" s="1" t="str">
        <f t="shared" si="30"/>
        <v>岡山県立大学デザイン学部・デザイン学研究科年報</v>
      </c>
      <c r="C595" t="str">
        <f>"オカヤマ　ケンリツ　ダイガク　デザイン　ガクブ　デザインガク　ケンキュウカ　ネンポウ"</f>
        <v>オカヤマ　ケンリツ　ダイガク　デザイン　ガクブ　デザインガク　ケンキュウカ　ネンポウ</v>
      </c>
      <c r="D595" t="str">
        <f>"岡山県立大学デザイン学部"</f>
        <v>岡山県立大学デザイン学部</v>
      </c>
      <c r="E595" t="str">
        <f>"オカヤマケンリツダイガクデザインガクブ"</f>
        <v>オカヤマケンリツダイガクデザインガクブ</v>
      </c>
      <c r="F595" t="str">
        <f>"総社"</f>
        <v>総社</v>
      </c>
      <c r="G595" t="str">
        <f>"年刊"</f>
        <v>年刊</v>
      </c>
      <c r="H595" t="str">
        <f>"2002222283061"</f>
        <v>2002222283061</v>
      </c>
      <c r="I595" t="str">
        <f>HYPERLINK("#", "https://opac.libnet.pref.okayama.jp/licsxp-opac/WOpacMsgNewListToTifTilDetailAction.do?tilcod=2002222283061")</f>
        <v>https://opac.libnet.pref.okayama.jp/licsxp-opac/WOpacMsgNewListToTifTilDetailAction.do?tilcod=2002222283061</v>
      </c>
    </row>
    <row r="596" spans="1:9" x14ac:dyDescent="0.4">
      <c r="A596" t="str">
        <f>"岡山県立大学保健福祉学部紀要"</f>
        <v>岡山県立大学保健福祉学部紀要</v>
      </c>
      <c r="B596" s="1" t="str">
        <f t="shared" si="30"/>
        <v>岡山県立大学保健福祉学部紀要</v>
      </c>
      <c r="C596" t="str">
        <f>"オカヤマ　ケンリツ　ダイガク　ホケン　フクシ　ガクブ　キヨウ"</f>
        <v>オカヤマ　ケンリツ　ダイガク　ホケン　フクシ　ガクブ　キヨウ</v>
      </c>
      <c r="D596" t="str">
        <f>"岡山県立大学保健福祉学部"</f>
        <v>岡山県立大学保健福祉学部</v>
      </c>
      <c r="E596" t="str">
        <f>"オカヤマケンリツダイガクホケンフクシガクブ"</f>
        <v>オカヤマケンリツダイガクホケンフクシガクブ</v>
      </c>
      <c r="F596" t="str">
        <f>"総社市"</f>
        <v>総社市</v>
      </c>
      <c r="G596" t="str">
        <f>"年刊"</f>
        <v>年刊</v>
      </c>
      <c r="H596" t="str">
        <f>"2002222282021"</f>
        <v>2002222282021</v>
      </c>
      <c r="I596" t="str">
        <f>HYPERLINK("#", "https://opac.libnet.pref.okayama.jp/licsxp-opac/WOpacMsgNewListToTifTilDetailAction.do?tilcod=2002222282021")</f>
        <v>https://opac.libnet.pref.okayama.jp/licsxp-opac/WOpacMsgNewListToTifTilDetailAction.do?tilcod=2002222282021</v>
      </c>
    </row>
    <row r="597" spans="1:9" x14ac:dyDescent="0.4">
      <c r="A597" t="str">
        <f>"〔岡山県立大学〕図書館報ＯｐｕＬ（オープル）"</f>
        <v>〔岡山県立大学〕図書館報ＯｐｕＬ（オープル）</v>
      </c>
      <c r="B597" s="1" t="str">
        <f t="shared" si="30"/>
        <v>〔岡山県立大学〕図書館報ＯｐｕＬ（オープル）</v>
      </c>
      <c r="C597" t="str">
        <f>"オカヤマ　ケンリツ　ダイガク＊トショカン　ポウ　オープル"</f>
        <v>オカヤマ　ケンリツ　ダイガク＊トショカン　ポウ　オープル</v>
      </c>
      <c r="D597" t="str">
        <f>"岡山県立大学附属図書館"</f>
        <v>岡山県立大学附属図書館</v>
      </c>
      <c r="E597" t="str">
        <f>"オカヤマケンリツダイガクフゾクトショカン"</f>
        <v>オカヤマケンリツダイガクフゾクトショカン</v>
      </c>
      <c r="F597" t="str">
        <f>"総社"</f>
        <v>総社</v>
      </c>
      <c r="G597" t="str">
        <f>"年２回刊"</f>
        <v>年２回刊</v>
      </c>
      <c r="H597" t="str">
        <f>"2002222302044"</f>
        <v>2002222302044</v>
      </c>
      <c r="I597" t="str">
        <f>HYPERLINK("#", "https://opac.libnet.pref.okayama.jp/licsxp-opac/WOpacMsgNewListToTifTilDetailAction.do?tilcod=2002222302044")</f>
        <v>https://opac.libnet.pref.okayama.jp/licsxp-opac/WOpacMsgNewListToTifTilDetailAction.do?tilcod=2002222302044</v>
      </c>
    </row>
    <row r="598" spans="1:9" x14ac:dyDescent="0.4">
      <c r="A598" t="str">
        <f>"〔岡山県立玉島高等学校〕玉高だより"</f>
        <v>〔岡山県立玉島高等学校〕玉高だより</v>
      </c>
      <c r="B598" s="1" t="str">
        <f t="shared" si="30"/>
        <v>〔岡山県立玉島高等学校〕玉高だより</v>
      </c>
      <c r="C598" t="str">
        <f>"オカヤマ　ケンリツ　タマシマ　コウトウ　ガッコウ＊タマコウ　ダヨリ"</f>
        <v>オカヤマ　ケンリツ　タマシマ　コウトウ　ガッコウ＊タマコウ　ダヨリ</v>
      </c>
      <c r="D598" t="str">
        <f>"玉島高等学校"</f>
        <v>玉島高等学校</v>
      </c>
      <c r="E598" t="str">
        <f>"タマシマ コウトウ ガッコウ"</f>
        <v>タマシマ コウトウ ガッコウ</v>
      </c>
      <c r="F598" t="str">
        <f>"倉敷"</f>
        <v>倉敷</v>
      </c>
      <c r="G598" t="str">
        <f>"季刊"</f>
        <v>季刊</v>
      </c>
      <c r="H598" t="str">
        <f>"2002222329687"</f>
        <v>2002222329687</v>
      </c>
      <c r="I598" t="str">
        <f>HYPERLINK("#", "https://opac.libnet.pref.okayama.jp/licsxp-opac/WOpacMsgNewListToTifTilDetailAction.do?tilcod=2002222329687")</f>
        <v>https://opac.libnet.pref.okayama.jp/licsxp-opac/WOpacMsgNewListToTifTilDetailAction.do?tilcod=2002222329687</v>
      </c>
    </row>
    <row r="599" spans="1:9" x14ac:dyDescent="0.4">
      <c r="A599" t="str">
        <f>"〔岡山県立玉島高等学校〕玉高理数科だより"</f>
        <v>〔岡山県立玉島高等学校〕玉高理数科だより</v>
      </c>
      <c r="B599" s="1" t="str">
        <f t="shared" si="30"/>
        <v>〔岡山県立玉島高等学校〕玉高理数科だより</v>
      </c>
      <c r="C599" t="str">
        <f>"オカヤマ　ケンリツ　タマシマ　コウトウ　ガッコウ＊タマコウ　リスウカ　ダヨリ"</f>
        <v>オカヤマ　ケンリツ　タマシマ　コウトウ　ガッコウ＊タマコウ　リスウカ　ダヨリ</v>
      </c>
      <c r="D599" t="str">
        <f>"玉島高等学校理数科"</f>
        <v>玉島高等学校理数科</v>
      </c>
      <c r="E599" t="str">
        <f>"タマシマ コウトウ ガッコウ リスウカ"</f>
        <v>タマシマ コウトウ ガッコウ リスウカ</v>
      </c>
      <c r="F599" t="str">
        <f>"倉敷"</f>
        <v>倉敷</v>
      </c>
      <c r="G599" t="str">
        <f>"季刊"</f>
        <v>季刊</v>
      </c>
      <c r="H599" t="str">
        <f>"2002222329688"</f>
        <v>2002222329688</v>
      </c>
      <c r="I599" t="str">
        <f>HYPERLINK("#", "https://opac.libnet.pref.okayama.jp/licsxp-opac/WOpacMsgNewListToTifTilDetailAction.do?tilcod=2002222329688")</f>
        <v>https://opac.libnet.pref.okayama.jp/licsxp-opac/WOpacMsgNewListToTifTilDetailAction.do?tilcod=2002222329688</v>
      </c>
    </row>
    <row r="600" spans="1:9" x14ac:dyDescent="0.4">
      <c r="A600" t="str">
        <f>"[岡山県立玉島商業高等学校JRC機関誌]　白樺"</f>
        <v>[岡山県立玉島商業高等学校JRC機関誌]　白樺</v>
      </c>
      <c r="B600" s="1" t="str">
        <f t="shared" si="30"/>
        <v>[岡山県立玉島商業高等学校JRC機関誌]　白樺</v>
      </c>
      <c r="C600" t="str">
        <f>"オカヤマ ケンリツ タマシマ ショウギョウ コウトウ ガッコウ ジェイ アール シー キカンシ シラカバ"</f>
        <v>オカヤマ ケンリツ タマシマ ショウギョウ コウトウ ガッコウ ジェイ アール シー キカンシ シラカバ</v>
      </c>
      <c r="D600" t="str">
        <f>"玉島商業高等学校JRC（青少年赤十字団）"</f>
        <v>玉島商業高等学校JRC（青少年赤十字団）</v>
      </c>
      <c r="E600" t="str">
        <f>"タマシマ ショウギョウ コウトウ ガッコウ ジェイ アール シー セイショウネン セキジュウジダン"</f>
        <v>タマシマ ショウギョウ コウトウ ガッコウ ジェイ アール シー セイショウネン セキジュウジダン</v>
      </c>
      <c r="F600" t="str">
        <f>"倉敷"</f>
        <v>倉敷</v>
      </c>
      <c r="G600" t="str">
        <f>"頻度不明"</f>
        <v>頻度不明</v>
      </c>
      <c r="H600" t="str">
        <f>"2002222328526"</f>
        <v>2002222328526</v>
      </c>
      <c r="I600" t="str">
        <f>HYPERLINK("#", "https://opac.libnet.pref.okayama.jp/licsxp-opac/WOpacMsgNewListToTifTilDetailAction.do?tilcod=2002222328526")</f>
        <v>https://opac.libnet.pref.okayama.jp/licsxp-opac/WOpacMsgNewListToTifTilDetailAction.do?tilcod=2002222328526</v>
      </c>
    </row>
    <row r="601" spans="1:9" x14ac:dyDescent="0.4">
      <c r="A601" t="str">
        <f>"［岡山県立玉島商業高等学校］遥道"</f>
        <v>［岡山県立玉島商業高等学校］遥道</v>
      </c>
      <c r="B601" s="1" t="str">
        <f t="shared" si="30"/>
        <v>［岡山県立玉島商業高等学校］遥道</v>
      </c>
      <c r="C601" t="str">
        <f>"オカヤマ　ケンリツ　タマシマ　ショウギョウ　コウトウ　ガッコウ＊ヨウドウ"</f>
        <v>オカヤマ　ケンリツ　タマシマ　ショウギョウ　コウトウ　ガッコウ＊ヨウドウ</v>
      </c>
      <c r="D601" t="str">
        <f>"玉島商業高等学校"</f>
        <v>玉島商業高等学校</v>
      </c>
      <c r="E601" t="str">
        <f>"タマシマ ショウギョウ コウトウ ガッコウ"</f>
        <v>タマシマ ショウギョウ コウトウ ガッコウ</v>
      </c>
      <c r="F601" t="str">
        <f>"倉敷"</f>
        <v>倉敷</v>
      </c>
      <c r="G601" t="str">
        <f>"年刊"</f>
        <v>年刊</v>
      </c>
      <c r="H601" t="str">
        <f>"2002222302255"</f>
        <v>2002222302255</v>
      </c>
      <c r="I601" t="str">
        <f>HYPERLINK("#", "https://opac.libnet.pref.okayama.jp/licsxp-opac/WOpacMsgNewListToTifTilDetailAction.do?tilcod=2002222302255")</f>
        <v>https://opac.libnet.pref.okayama.jp/licsxp-opac/WOpacMsgNewListToTifTilDetailAction.do?tilcod=2002222302255</v>
      </c>
    </row>
    <row r="602" spans="1:9" x14ac:dyDescent="0.4">
      <c r="A602" t="str">
        <f>"〔岡山県立津山工業高等学校〕ほうなん"</f>
        <v>〔岡山県立津山工業高等学校〕ほうなん</v>
      </c>
      <c r="B602" s="1" t="str">
        <f t="shared" si="30"/>
        <v>〔岡山県立津山工業高等学校〕ほうなん</v>
      </c>
      <c r="C602" t="str">
        <f>"オカヤマ ケンリツ ツヤマ コウギョウ コウトウ ガッコウ＊ホウナン"</f>
        <v>オカヤマ ケンリツ ツヤマ コウギョウ コウトウ ガッコウ＊ホウナン</v>
      </c>
      <c r="D602" t="str">
        <f>"津山工業高等学校"</f>
        <v>津山工業高等学校</v>
      </c>
      <c r="E602" t="str">
        <f>"ツヤマコウギョウコウトウガッコウ"</f>
        <v>ツヤマコウギョウコウトウガッコウ</v>
      </c>
      <c r="F602" t="str">
        <f>""</f>
        <v/>
      </c>
      <c r="G602" t="str">
        <f>"頻度不明"</f>
        <v>頻度不明</v>
      </c>
      <c r="H602" t="str">
        <f>"2002222328848"</f>
        <v>2002222328848</v>
      </c>
      <c r="I602" t="str">
        <f>HYPERLINK("#", "https://opac.libnet.pref.okayama.jp/licsxp-opac/WOpacMsgNewListToTifTilDetailAction.do?tilcod=2002222328848")</f>
        <v>https://opac.libnet.pref.okayama.jp/licsxp-opac/WOpacMsgNewListToTifTilDetailAction.do?tilcod=2002222328848</v>
      </c>
    </row>
    <row r="603" spans="1:9" x14ac:dyDescent="0.4">
      <c r="A603" t="str">
        <f>"[岡山県立東備支援学校]あゆみ"</f>
        <v>[岡山県立東備支援学校]あゆみ</v>
      </c>
      <c r="B603" s="1" t="str">
        <f t="shared" si="30"/>
        <v>[岡山県立東備支援学校]あゆみ</v>
      </c>
      <c r="C603" t="str">
        <f>"オカヤマ ケンリツ トウビ シエン ガッコウ アユミ"</f>
        <v>オカヤマ ケンリツ トウビ シエン ガッコウ アユミ</v>
      </c>
      <c r="D603" t="str">
        <f>"東備支援学校"</f>
        <v>東備支援学校</v>
      </c>
      <c r="E603" t="str">
        <f>"トウビシエンガッコウ"</f>
        <v>トウビシエンガッコウ</v>
      </c>
      <c r="F603" t="str">
        <f>"備前"</f>
        <v>備前</v>
      </c>
      <c r="G603" t="str">
        <f>"年刊"</f>
        <v>年刊</v>
      </c>
      <c r="H603" t="str">
        <f>"2002222307432"</f>
        <v>2002222307432</v>
      </c>
      <c r="I603" t="str">
        <f>HYPERLINK("#", "https://opac.libnet.pref.okayama.jp/licsxp-opac/WOpacMsgNewListToTifTilDetailAction.do?tilcod=2002222307432")</f>
        <v>https://opac.libnet.pref.okayama.jp/licsxp-opac/WOpacMsgNewListToTifTilDetailAction.do?tilcod=2002222307432</v>
      </c>
    </row>
    <row r="604" spans="1:9" x14ac:dyDescent="0.4">
      <c r="A604" t="str">
        <f>"岡山県立東備支援学校学校要覧"</f>
        <v>岡山県立東備支援学校学校要覧</v>
      </c>
      <c r="B604" s="1" t="str">
        <f t="shared" si="30"/>
        <v>岡山県立東備支援学校学校要覧</v>
      </c>
      <c r="C604" t="str">
        <f>"オカヤマ　ケンリツ　トウビ　シエン　ガッコウ　ガッコウ　ヨウラン"</f>
        <v>オカヤマ　ケンリツ　トウビ　シエン　ガッコウ　ガッコウ　ヨウラン</v>
      </c>
      <c r="D604" t="str">
        <f>"東備支援学校"</f>
        <v>東備支援学校</v>
      </c>
      <c r="E604" t="str">
        <f>"トウビシエンガッコウ"</f>
        <v>トウビシエンガッコウ</v>
      </c>
      <c r="F604" t="str">
        <f>"備前"</f>
        <v>備前</v>
      </c>
      <c r="G604" t="str">
        <f>"年刊"</f>
        <v>年刊</v>
      </c>
      <c r="H604" t="str">
        <f>"2002222302226"</f>
        <v>2002222302226</v>
      </c>
      <c r="I604" t="str">
        <f>HYPERLINK("#", "https://opac.libnet.pref.okayama.jp/licsxp-opac/WOpacMsgNewListToTifTilDetailAction.do?tilcod=2002222302226")</f>
        <v>https://opac.libnet.pref.okayama.jp/licsxp-opac/WOpacMsgNewListToTifTilDetailAction.do?tilcod=2002222302226</v>
      </c>
    </row>
    <row r="605" spans="1:9" x14ac:dyDescent="0.4">
      <c r="A605" t="str">
        <f>"岡山県立図書館メールマガジン 携帯版"</f>
        <v>岡山県立図書館メールマガジン 携帯版</v>
      </c>
      <c r="B605" s="1" t="str">
        <f t="shared" si="30"/>
        <v>岡山県立図書館メールマガジン 携帯版</v>
      </c>
      <c r="C605" t="str">
        <f>"オカヤマ　ケンリツ　トショカン　メール　マガジン　ケイタイバン"</f>
        <v>オカヤマ　ケンリツ　トショカン　メール　マガジン　ケイタイバン</v>
      </c>
      <c r="D605" t="str">
        <f>"岡山県立図書館"</f>
        <v>岡山県立図書館</v>
      </c>
      <c r="E605" t="str">
        <f>"オカヤマケンリツ トショカン"</f>
        <v>オカヤマケンリツ トショカン</v>
      </c>
      <c r="F605" t="str">
        <f>"岡山"</f>
        <v>岡山</v>
      </c>
      <c r="G605" t="str">
        <f>"月刊"</f>
        <v>月刊</v>
      </c>
      <c r="H605" t="str">
        <f>"2002222300606"</f>
        <v>2002222300606</v>
      </c>
      <c r="I605" t="str">
        <f>HYPERLINK("#", "https://opac.libnet.pref.okayama.jp/licsxp-opac/WOpacMsgNewListToTifTilDetailAction.do?tilcod=2002222300606")</f>
        <v>https://opac.libnet.pref.okayama.jp/licsxp-opac/WOpacMsgNewListToTifTilDetailAction.do?tilcod=2002222300606</v>
      </c>
    </row>
    <row r="606" spans="1:9" x14ac:dyDescent="0.4">
      <c r="A606" t="str">
        <f>"[岡山県立図書館]図書館通信"</f>
        <v>[岡山県立図書館]図書館通信</v>
      </c>
      <c r="B606" s="1" t="str">
        <f t="shared" si="30"/>
        <v>[岡山県立図書館]図書館通信</v>
      </c>
      <c r="C606" t="str">
        <f>"オカヤマ ケンリツ トショカン＊トショカン ツウシン"</f>
        <v>オカヤマ ケンリツ トショカン＊トショカン ツウシン</v>
      </c>
      <c r="D606" t="str">
        <f>"岡山県立図書館"</f>
        <v>岡山県立図書館</v>
      </c>
      <c r="E606" t="str">
        <f>"オカヤマケンリツ トショカン"</f>
        <v>オカヤマケンリツ トショカン</v>
      </c>
      <c r="F606" t="str">
        <f>"岡山"</f>
        <v>岡山</v>
      </c>
      <c r="G606" t="str">
        <f>"月刊"</f>
        <v>月刊</v>
      </c>
      <c r="H606" t="str">
        <f>"2002222301496"</f>
        <v>2002222301496</v>
      </c>
      <c r="I606" t="str">
        <f>HYPERLINK("#", "https://opac.libnet.pref.okayama.jp/licsxp-opac/WOpacMsgNewListToTifTilDetailAction.do?tilcod=2002222301496")</f>
        <v>https://opac.libnet.pref.okayama.jp/licsxp-opac/WOpacMsgNewListToTifTilDetailAction.do?tilcod=2002222301496</v>
      </c>
    </row>
    <row r="607" spans="1:9" x14ac:dyDescent="0.4">
      <c r="A607" t="str">
        <f>"[岡山県立新見高等学校JRC機関誌]　赤トンボ"</f>
        <v>[岡山県立新見高等学校JRC機関誌]　赤トンボ</v>
      </c>
      <c r="B607" s="1" t="str">
        <f t="shared" si="30"/>
        <v>[岡山県立新見高等学校JRC機関誌]　赤トンボ</v>
      </c>
      <c r="C607" t="str">
        <f>"オカヤマ ケンリツ ニイミ コウトウ ガッコウ ジェイ アール シー キカンシ アカトンボ"</f>
        <v>オカヤマ ケンリツ ニイミ コウトウ ガッコウ ジェイ アール シー キカンシ アカトンボ</v>
      </c>
      <c r="D607" t="str">
        <f>"新見高等学校JRC（青少年赤十字団）"</f>
        <v>新見高等学校JRC（青少年赤十字団）</v>
      </c>
      <c r="E607" t="str">
        <f>"ニイミ コウトウ ガッコウ ジェイ アール シー セイショウネン セキジュウジダン"</f>
        <v>ニイミ コウトウ ガッコウ ジェイ アール シー セイショウネン セキジュウジダン</v>
      </c>
      <c r="F607" t="str">
        <f>"新見"</f>
        <v>新見</v>
      </c>
      <c r="G607" t="str">
        <f>"頻度不明"</f>
        <v>頻度不明</v>
      </c>
      <c r="H607" t="str">
        <f>"2002222328519"</f>
        <v>2002222328519</v>
      </c>
      <c r="I607" t="str">
        <f>HYPERLINK("#", "https://opac.libnet.pref.okayama.jp/licsxp-opac/WOpacMsgNewListToTifTilDetailAction.do?tilcod=2002222328519")</f>
        <v>https://opac.libnet.pref.okayama.jp/licsxp-opac/WOpacMsgNewListToTifTilDetailAction.do?tilcod=2002222328519</v>
      </c>
    </row>
    <row r="608" spans="1:9" x14ac:dyDescent="0.4">
      <c r="A608" t="str">
        <f>"岡山県立農業講習所教育資料"</f>
        <v>岡山県立農業講習所教育資料</v>
      </c>
      <c r="B608" s="1" t="str">
        <f t="shared" si="30"/>
        <v>岡山県立農業講習所教育資料</v>
      </c>
      <c r="C608" t="str">
        <f>"オカヤマ　ケンリツ　ノウギョウ　コウシュウジョ　キョウイク　シリョウ"</f>
        <v>オカヤマ　ケンリツ　ノウギョウ　コウシュウジョ　キョウイク　シリョウ</v>
      </c>
      <c r="D608" t="str">
        <f>"岡山県立農業講習所"</f>
        <v>岡山県立農業講習所</v>
      </c>
      <c r="E608" t="str">
        <f>"オカヤマケンリツノウギョウコウシュウジョ"</f>
        <v>オカヤマケンリツノウギョウコウシュウジョ</v>
      </c>
      <c r="F608" t="str">
        <f>""</f>
        <v/>
      </c>
      <c r="G608" t="str">
        <f>"頻度不明"</f>
        <v>頻度不明</v>
      </c>
      <c r="H608" t="str">
        <f>"2002222281133"</f>
        <v>2002222281133</v>
      </c>
      <c r="I608" t="str">
        <f>HYPERLINK("#", "https://opac.libnet.pref.okayama.jp/licsxp-opac/WOpacMsgNewListToTifTilDetailAction.do?tilcod=2002222281133")</f>
        <v>https://opac.libnet.pref.okayama.jp/licsxp-opac/WOpacMsgNewListToTifTilDetailAction.do?tilcod=2002222281133</v>
      </c>
    </row>
    <row r="609" spans="1:9" x14ac:dyDescent="0.4">
      <c r="A609" t="str">
        <f>"岡山県立農業試験場研究報告"</f>
        <v>岡山県立農業試験場研究報告</v>
      </c>
      <c r="B609" s="1" t="str">
        <f t="shared" si="30"/>
        <v>岡山県立農業試験場研究報告</v>
      </c>
      <c r="C609" t="str">
        <f>"オカヤマ　ケンリツ　ノウギョウ　シケンジョウ　ケンキュウ　ホウコク"</f>
        <v>オカヤマ　ケンリツ　ノウギョウ　シケンジョウ　ケンキュウ　ホウコク</v>
      </c>
      <c r="D609" t="str">
        <f>"岡山県立農業試験場"</f>
        <v>岡山県立農業試験場</v>
      </c>
      <c r="E609" t="str">
        <f>"オカヤマケンリツノウギョウシケンジョウ"</f>
        <v>オカヤマケンリツノウギョウシケンジョウ</v>
      </c>
      <c r="F609" t="str">
        <f>"山陽町（赤磐郡）"</f>
        <v>山陽町（赤磐郡）</v>
      </c>
      <c r="G609" t="str">
        <f>"年刊"</f>
        <v>年刊</v>
      </c>
      <c r="H609" t="str">
        <f>"2002222294211"</f>
        <v>2002222294211</v>
      </c>
      <c r="I609" t="str">
        <f>HYPERLINK("#", "https://opac.libnet.pref.okayama.jp/licsxp-opac/WOpacMsgNewListToTifTilDetailAction.do?tilcod=2002222294211")</f>
        <v>https://opac.libnet.pref.okayama.jp/licsxp-opac/WOpacMsgNewListToTifTilDetailAction.do?tilcod=2002222294211</v>
      </c>
    </row>
    <row r="610" spans="1:9" x14ac:dyDescent="0.4">
      <c r="A610" t="str">
        <f>"岡山県立博物館だより"</f>
        <v>岡山県立博物館だより</v>
      </c>
      <c r="B610" s="1" t="str">
        <f t="shared" si="30"/>
        <v>岡山県立博物館だより</v>
      </c>
      <c r="C610" t="str">
        <f>"オカヤマ ケンリツ ハクブツカン ダヨリ"</f>
        <v>オカヤマ ケンリツ ハクブツカン ダヨリ</v>
      </c>
      <c r="D610" t="str">
        <f>"岡山県立博物館"</f>
        <v>岡山県立博物館</v>
      </c>
      <c r="E610" t="str">
        <f>"オカヤマケンリツ ハクブツカン"</f>
        <v>オカヤマケンリツ ハクブツカン</v>
      </c>
      <c r="F610" t="str">
        <f>"岡山"</f>
        <v>岡山</v>
      </c>
      <c r="G610" t="str">
        <f>"年刊"</f>
        <v>年刊</v>
      </c>
      <c r="H610" t="str">
        <f>"2002222291091"</f>
        <v>2002222291091</v>
      </c>
      <c r="I610" t="str">
        <f>HYPERLINK("#", "https://opac.libnet.pref.okayama.jp/licsxp-opac/WOpacMsgNewListToTifTilDetailAction.do?tilcod=2002222291091")</f>
        <v>https://opac.libnet.pref.okayama.jp/licsxp-opac/WOpacMsgNewListToTifTilDetailAction.do?tilcod=2002222291091</v>
      </c>
    </row>
    <row r="611" spans="1:9" x14ac:dyDescent="0.4">
      <c r="A611" t="str">
        <f>"[岡山県立博物館]研究報告"</f>
        <v>[岡山県立博物館]研究報告</v>
      </c>
      <c r="B611" s="1" t="str">
        <f t="shared" si="30"/>
        <v>[岡山県立博物館]研究報告</v>
      </c>
      <c r="C611" t="str">
        <f>"オカヤマ ケンリツ ハクブツカン＊ケンキュウ ホウコク"</f>
        <v>オカヤマ ケンリツ ハクブツカン＊ケンキュウ ホウコク</v>
      </c>
      <c r="D611" t="str">
        <f>"岡山県立博物館"</f>
        <v>岡山県立博物館</v>
      </c>
      <c r="E611" t="str">
        <f>"オカヤマケンリツ ハクブツカン"</f>
        <v>オカヤマケンリツ ハクブツカン</v>
      </c>
      <c r="F611" t="str">
        <f>"岡山"</f>
        <v>岡山</v>
      </c>
      <c r="G611" t="str">
        <f>"年刊"</f>
        <v>年刊</v>
      </c>
      <c r="H611" t="str">
        <f>"2002222282051"</f>
        <v>2002222282051</v>
      </c>
      <c r="I611" t="str">
        <f>HYPERLINK("#", "https://opac.libnet.pref.okayama.jp/licsxp-opac/WOpacMsgNewListToTifTilDetailAction.do?tilcod=2002222282051")</f>
        <v>https://opac.libnet.pref.okayama.jp/licsxp-opac/WOpacMsgNewListToTifTilDetailAction.do?tilcod=2002222282051</v>
      </c>
    </row>
    <row r="612" spans="1:9" x14ac:dyDescent="0.4">
      <c r="A612" t="str">
        <f>"[岡山県立東岡山工業高等学校JRC機関誌]　たくみ"</f>
        <v>[岡山県立東岡山工業高等学校JRC機関誌]　たくみ</v>
      </c>
      <c r="B612" s="1" t="str">
        <f t="shared" si="30"/>
        <v>[岡山県立東岡山工業高等学校JRC機関誌]　たくみ</v>
      </c>
      <c r="C612" t="str">
        <f>"オカヤマ ケンリツ ヒガシ オカヤマ コウギョウ コウトウ ガッコウ ジェイ アール シー キカンシ タクミ"</f>
        <v>オカヤマ ケンリツ ヒガシ オカヤマ コウギョウ コウトウ ガッコウ ジェイ アール シー キカンシ タクミ</v>
      </c>
      <c r="D612" t="str">
        <f>"東岡山工業高等学校JRC（青少年赤十字団）"</f>
        <v>東岡山工業高等学校JRC（青少年赤十字団）</v>
      </c>
      <c r="E612" t="str">
        <f>"ヒガシ オカヤマ コウギョウ コウトウ ガッコウ ジェイ アール シー セイショウネン セキジュウジダン"</f>
        <v>ヒガシ オカヤマ コウギョウ コウトウ ガッコウ ジェイ アール シー セイショウネン セキジュウジダン</v>
      </c>
      <c r="F612" t="str">
        <f>"岡山"</f>
        <v>岡山</v>
      </c>
      <c r="G612" t="str">
        <f>"頻度不明"</f>
        <v>頻度不明</v>
      </c>
      <c r="H612" t="str">
        <f>"2002222328460"</f>
        <v>2002222328460</v>
      </c>
      <c r="I612" t="str">
        <f>HYPERLINK("#", "https://opac.libnet.pref.okayama.jp/licsxp-opac/WOpacMsgNewListToTifTilDetailAction.do?tilcod=2002222328460")</f>
        <v>https://opac.libnet.pref.okayama.jp/licsxp-opac/WOpacMsgNewListToTifTilDetailAction.do?tilcod=2002222328460</v>
      </c>
    </row>
    <row r="613" spans="1:9" x14ac:dyDescent="0.4">
      <c r="A613" t="str">
        <f>"岡山県立美術館 美術館NEWS"</f>
        <v>岡山県立美術館 美術館NEWS</v>
      </c>
      <c r="B613" s="1" t="str">
        <f t="shared" si="30"/>
        <v>岡山県立美術館 美術館NEWS</v>
      </c>
      <c r="C613" t="str">
        <f>"オカヤマ ケンリツ ビジュツカン ビジュツカン ニュース"</f>
        <v>オカヤマ ケンリツ ビジュツカン ビジュツカン ニュース</v>
      </c>
      <c r="D613" t="str">
        <f>"岡山県立美術館"</f>
        <v>岡山県立美術館</v>
      </c>
      <c r="E613" t="str">
        <f>"オカヤマケンリツ ビジュツカン"</f>
        <v>オカヤマケンリツ ビジュツカン</v>
      </c>
      <c r="F613" t="str">
        <f>"岡山"</f>
        <v>岡山</v>
      </c>
      <c r="G613" t="str">
        <f>"季刊"</f>
        <v>季刊</v>
      </c>
      <c r="H613" t="str">
        <f>"2002222291611"</f>
        <v>2002222291611</v>
      </c>
      <c r="I613" t="str">
        <f>HYPERLINK("#", "https://opac.libnet.pref.okayama.jp/licsxp-opac/WOpacMsgNewListToTifTilDetailAction.do?tilcod=2002222291611")</f>
        <v>https://opac.libnet.pref.okayama.jp/licsxp-opac/WOpacMsgNewListToTifTilDetailAction.do?tilcod=2002222291611</v>
      </c>
    </row>
    <row r="614" spans="1:9" x14ac:dyDescent="0.4">
      <c r="A614" t="str">
        <f>"〔岡山県立備前緑陽高等学校〕緑陽"</f>
        <v>〔岡山県立備前緑陽高等学校〕緑陽</v>
      </c>
      <c r="B614" s="1" t="str">
        <f t="shared" si="30"/>
        <v>〔岡山県立備前緑陽高等学校〕緑陽</v>
      </c>
      <c r="C614" t="str">
        <f>"オカヤマ　ケンリツ　ビゼン　リョクヨウ　コウトウ　ガッコウ＊リョクヨウ"</f>
        <v>オカヤマ　ケンリツ　ビゼン　リョクヨウ　コウトウ　ガッコウ＊リョクヨウ</v>
      </c>
      <c r="D614" t="str">
        <f>"備前緑陽高等学校"</f>
        <v>備前緑陽高等学校</v>
      </c>
      <c r="E614" t="str">
        <f>"ビゼン リョクヨウ コウトウ ガッコウ"</f>
        <v>ビゼン リョクヨウ コウトウ ガッコウ</v>
      </c>
      <c r="F614" t="str">
        <f>"備前"</f>
        <v>備前</v>
      </c>
      <c r="G614" t="str">
        <f>"年刊"</f>
        <v>年刊</v>
      </c>
      <c r="H614" t="str">
        <f>"2002222328566"</f>
        <v>2002222328566</v>
      </c>
      <c r="I614" t="str">
        <f>HYPERLINK("#", "https://opac.libnet.pref.okayama.jp/licsxp-opac/WOpacMsgNewListToTifTilDetailAction.do?tilcod=2002222328566")</f>
        <v>https://opac.libnet.pref.okayama.jp/licsxp-opac/WOpacMsgNewListToTifTilDetailAction.do?tilcod=2002222328566</v>
      </c>
    </row>
    <row r="615" spans="1:9" x14ac:dyDescent="0.4">
      <c r="A615" t="str">
        <f>"[岡山県立真庭高等学校]スクールライフ"</f>
        <v>[岡山県立真庭高等学校]スクールライフ</v>
      </c>
      <c r="B615" s="1" t="str">
        <f t="shared" si="30"/>
        <v>[岡山県立真庭高等学校]スクールライフ</v>
      </c>
      <c r="C615" t="str">
        <f>"オカヤマ ケンリツ マニワ コウトウ ガッコウ スクール ライフ "</f>
        <v xml:space="preserve">オカヤマ ケンリツ マニワ コウトウ ガッコウ スクール ライフ </v>
      </c>
      <c r="D615" t="str">
        <f>"真庭高等学校"</f>
        <v>真庭高等学校</v>
      </c>
      <c r="E615" t="str">
        <f>""</f>
        <v/>
      </c>
      <c r="F615" t="str">
        <f>"真庭"</f>
        <v>真庭</v>
      </c>
      <c r="G615" t="str">
        <f>"年刊"</f>
        <v>年刊</v>
      </c>
      <c r="H615" t="str">
        <f>"2002222315566"</f>
        <v>2002222315566</v>
      </c>
      <c r="I615" t="str">
        <f>HYPERLINK("#", "https://opac.libnet.pref.okayama.jp/licsxp-opac/WOpacMsgNewListToTifTilDetailAction.do?tilcod=2002222315566")</f>
        <v>https://opac.libnet.pref.okayama.jp/licsxp-opac/WOpacMsgNewListToTifTilDetailAction.do?tilcod=2002222315566</v>
      </c>
    </row>
    <row r="616" spans="1:9" x14ac:dyDescent="0.4">
      <c r="A616" t="str">
        <f>"〔岡山県立矢掛中学校〕校友会雑誌"</f>
        <v>〔岡山県立矢掛中学校〕校友会雑誌</v>
      </c>
      <c r="B616" s="1" t="str">
        <f t="shared" si="30"/>
        <v>〔岡山県立矢掛中学校〕校友会雑誌</v>
      </c>
      <c r="C616" t="str">
        <f>"オカヤマ　ケンリツ　ヤカゲ　チュウガッコウ　コウユウカイ　ザッシ"</f>
        <v>オカヤマ　ケンリツ　ヤカゲ　チュウガッコウ　コウユウカイ　ザッシ</v>
      </c>
      <c r="D616" t="str">
        <f>"岡山県立矢掛中学校校友会"</f>
        <v>岡山県立矢掛中学校校友会</v>
      </c>
      <c r="E616" t="str">
        <f>"オカヤマケンリツヤカゲチュウガッコウコウユウカイ"</f>
        <v>オカヤマケンリツヤカゲチュウガッコウコウユウカイ</v>
      </c>
      <c r="F616" t="str">
        <f>"〔矢掛町（小田郡）〕"</f>
        <v>〔矢掛町（小田郡）〕</v>
      </c>
      <c r="G616" t="str">
        <f>"頻度不明"</f>
        <v>頻度不明</v>
      </c>
      <c r="H616" t="str">
        <f>"2002222281153"</f>
        <v>2002222281153</v>
      </c>
      <c r="I616" t="str">
        <f>HYPERLINK("#", "https://opac.libnet.pref.okayama.jp/licsxp-opac/WOpacMsgNewListToTifTilDetailAction.do?tilcod=2002222281153")</f>
        <v>https://opac.libnet.pref.okayama.jp/licsxp-opac/WOpacMsgNewListToTifTilDetailAction.do?tilcod=2002222281153</v>
      </c>
    </row>
    <row r="617" spans="1:9" x14ac:dyDescent="0.4">
      <c r="A617" t="str">
        <f>"[岡山県立和気閑谷高等学校JRC機関誌]　青春"</f>
        <v>[岡山県立和気閑谷高等学校JRC機関誌]　青春</v>
      </c>
      <c r="B617" s="1" t="str">
        <f t="shared" si="30"/>
        <v>[岡山県立和気閑谷高等学校JRC機関誌]　青春</v>
      </c>
      <c r="C617" t="str">
        <f>"オカヤマ ケンリツ ワケ シズタニ コウトウ ガッコウ ジェイ アール シー キカンシ セイシュン"</f>
        <v>オカヤマ ケンリツ ワケ シズタニ コウトウ ガッコウ ジェイ アール シー キカンシ セイシュン</v>
      </c>
      <c r="D617" t="str">
        <f>"和気閑谷高等学校JRC（青少年赤十字団）"</f>
        <v>和気閑谷高等学校JRC（青少年赤十字団）</v>
      </c>
      <c r="E617" t="str">
        <f>"ワケ シズタニ コウトウ ガッコウ ジェイ アール シー セイショウネン セキジュウジ ダン"</f>
        <v>ワケ シズタニ コウトウ ガッコウ ジェイ アール シー セイショウネン セキジュウジ ダン</v>
      </c>
      <c r="F617" t="str">
        <f>"和気町(和気郡)"</f>
        <v>和気町(和気郡)</v>
      </c>
      <c r="G617" t="str">
        <f>"年２回刊"</f>
        <v>年２回刊</v>
      </c>
      <c r="H617" t="str">
        <f>"2002222328457"</f>
        <v>2002222328457</v>
      </c>
      <c r="I617" t="str">
        <f>HYPERLINK("#", "https://opac.libnet.pref.okayama.jp/licsxp-opac/WOpacMsgNewListToTifTilDetailAction.do?tilcod=2002222328457")</f>
        <v>https://opac.libnet.pref.okayama.jp/licsxp-opac/WOpacMsgNewListToTifTilDetailAction.do?tilcod=2002222328457</v>
      </c>
    </row>
    <row r="618" spans="1:9" x14ac:dyDescent="0.4">
      <c r="A618" t="str">
        <f>"おかやま県老連だより"</f>
        <v>おかやま県老連だより</v>
      </c>
      <c r="B618" s="1" t="str">
        <f t="shared" si="30"/>
        <v>おかやま県老連だより</v>
      </c>
      <c r="C618" t="str">
        <f>"オカヤマ　ケンロウレン ダヨリ"</f>
        <v>オカヤマ　ケンロウレン ダヨリ</v>
      </c>
      <c r="D618" t="str">
        <f>"岡山県老人クラブ連合会"</f>
        <v>岡山県老人クラブ連合会</v>
      </c>
      <c r="E618" t="str">
        <f>"オカヤマケン ロウジン クラブ レンゴウカイ"</f>
        <v>オカヤマケン ロウジン クラブ レンゴウカイ</v>
      </c>
      <c r="F618" t="str">
        <f t="shared" ref="F618:F624" si="33">"岡山"</f>
        <v>岡山</v>
      </c>
      <c r="G618" t="str">
        <f>"頻度不明"</f>
        <v>頻度不明</v>
      </c>
      <c r="H618" t="str">
        <f>"2002222281173"</f>
        <v>2002222281173</v>
      </c>
      <c r="I618" t="str">
        <f>HYPERLINK("#", "https://opac.libnet.pref.okayama.jp/licsxp-opac/WOpacMsgNewListToTifTilDetailAction.do?tilcod=2002222281173")</f>
        <v>https://opac.libnet.pref.okayama.jp/licsxp-opac/WOpacMsgNewListToTifTilDetailAction.do?tilcod=2002222281173</v>
      </c>
    </row>
    <row r="619" spans="1:9" x14ac:dyDescent="0.4">
      <c r="A619" t="str">
        <f>"おかやま県老連だより;晴ればれシニア岡山"</f>
        <v>おかやま県老連だより;晴ればれシニア岡山</v>
      </c>
      <c r="B619" s="1" t="str">
        <f t="shared" si="30"/>
        <v>おかやま県老連だより;晴ればれシニア岡山</v>
      </c>
      <c r="C619" t="str">
        <f>"オカヤマ　ケンロウレン　ダヨリ＊ハレバレ　シニア　オカヤマ"</f>
        <v>オカヤマ　ケンロウレン　ダヨリ＊ハレバレ　シニア　オカヤマ</v>
      </c>
      <c r="D619" t="str">
        <f>"岡山県老人クラブ連合会"</f>
        <v>岡山県老人クラブ連合会</v>
      </c>
      <c r="E619" t="str">
        <f>"オカヤマケン ロウジン クラブ レンゴウカイ"</f>
        <v>オカヤマケン ロウジン クラブ レンゴウカイ</v>
      </c>
      <c r="F619" t="str">
        <f t="shared" si="33"/>
        <v>岡山</v>
      </c>
      <c r="G619" t="str">
        <f>"年２回刊"</f>
        <v>年２回刊</v>
      </c>
      <c r="H619" t="str">
        <f>"2002222323846"</f>
        <v>2002222323846</v>
      </c>
      <c r="I619" t="str">
        <f>HYPERLINK("#", "https://opac.libnet.pref.okayama.jp/licsxp-opac/WOpacMsgNewListToTifTilDetailAction.do?tilcod=2002222323846")</f>
        <v>https://opac.libnet.pref.okayama.jp/licsxp-opac/WOpacMsgNewListToTifTilDetailAction.do?tilcod=2002222323846</v>
      </c>
    </row>
    <row r="620" spans="1:9" x14ac:dyDescent="0.4">
      <c r="A620" t="str">
        <f>"岡山高教組"</f>
        <v>岡山高教組</v>
      </c>
      <c r="B620" s="1" t="str">
        <f t="shared" si="30"/>
        <v>岡山高教組</v>
      </c>
      <c r="C620" t="str">
        <f>"オカヤマ コウ キョウソ"</f>
        <v>オカヤマ コウ キョウソ</v>
      </c>
      <c r="D620" t="str">
        <f>"岡山県高等学校教職員組合"</f>
        <v>岡山県高等学校教職員組合</v>
      </c>
      <c r="E620" t="str">
        <f>"オカヤマケン コウトウ ガッコウ キョウショクイン クミアイ"</f>
        <v>オカヤマケン コウトウ ガッコウ キョウショクイン クミアイ</v>
      </c>
      <c r="F620" t="str">
        <f t="shared" si="33"/>
        <v>岡山</v>
      </c>
      <c r="G620" t="str">
        <f>"頻度不明"</f>
        <v>頻度不明</v>
      </c>
      <c r="H620" t="str">
        <f>"2002222307814"</f>
        <v>2002222307814</v>
      </c>
      <c r="I620" t="str">
        <f>HYPERLINK("#", "https://opac.libnet.pref.okayama.jp/licsxp-opac/WOpacMsgNewListToTifTilDetailAction.do?tilcod=2002222307814")</f>
        <v>https://opac.libnet.pref.okayama.jp/licsxp-opac/WOpacMsgNewListToTifTilDetailAction.do?tilcod=2002222307814</v>
      </c>
    </row>
    <row r="621" spans="1:9" x14ac:dyDescent="0.4">
      <c r="A621" t="str">
        <f>"[岡山工学振興会] ニュース"</f>
        <v>[岡山工学振興会] ニュース</v>
      </c>
      <c r="B621" s="1" t="str">
        <f t="shared" si="30"/>
        <v>[岡山工学振興会] ニュース</v>
      </c>
      <c r="C621" t="str">
        <f>"オカヤマ コウガク シンコウカイ ニュース"</f>
        <v>オカヤマ コウガク シンコウカイ ニュース</v>
      </c>
      <c r="D621" t="str">
        <f>"岡山工学振興会"</f>
        <v>岡山工学振興会</v>
      </c>
      <c r="E621" t="str">
        <f>"オカヤマ コウガク シンコウカイ"</f>
        <v>オカヤマ コウガク シンコウカイ</v>
      </c>
      <c r="F621" t="str">
        <f t="shared" si="33"/>
        <v>岡山</v>
      </c>
      <c r="G621" t="str">
        <f>"頻度不明"</f>
        <v>頻度不明</v>
      </c>
      <c r="H621" t="str">
        <f>"2002222336387"</f>
        <v>2002222336387</v>
      </c>
      <c r="I621" t="str">
        <f>HYPERLINK("#", "https://opac.libnet.pref.okayama.jp/licsxp-opac/WOpacMsgNewListToTifTilDetailAction.do?tilcod=2002222336387")</f>
        <v>https://opac.libnet.pref.okayama.jp/licsxp-opac/WOpacMsgNewListToTifTilDetailAction.do?tilcod=2002222336387</v>
      </c>
    </row>
    <row r="622" spans="1:9" x14ac:dyDescent="0.4">
      <c r="A622" t="str">
        <f>"岡山工業高等学校学校案内"</f>
        <v>岡山工業高等学校学校案内</v>
      </c>
      <c r="B622" s="1" t="str">
        <f t="shared" si="30"/>
        <v>岡山工業高等学校学校案内</v>
      </c>
      <c r="C622" t="str">
        <f>"オカヤマ　コウギョウ　コウトウ　ガッコウ　ガッコウ　アンナイ"</f>
        <v>オカヤマ　コウギョウ　コウトウ　ガッコウ　ガッコウ　アンナイ</v>
      </c>
      <c r="D622" t="str">
        <f>"岡山工業高等学校"</f>
        <v>岡山工業高等学校</v>
      </c>
      <c r="E622" t="str">
        <f>"オカヤマ コウギョウ コウトウ ガッコウ"</f>
        <v>オカヤマ コウギョウ コウトウ ガッコウ</v>
      </c>
      <c r="F622" t="str">
        <f t="shared" si="33"/>
        <v>岡山</v>
      </c>
      <c r="G622" t="str">
        <f>"年刊"</f>
        <v>年刊</v>
      </c>
      <c r="H622" t="str">
        <f>"2002222301179"</f>
        <v>2002222301179</v>
      </c>
      <c r="I622" t="str">
        <f>HYPERLINK("#", "https://opac.libnet.pref.okayama.jp/licsxp-opac/WOpacMsgNewListToTifTilDetailAction.do?tilcod=2002222301179")</f>
        <v>https://opac.libnet.pref.okayama.jp/licsxp-opac/WOpacMsgNewListToTifTilDetailAction.do?tilcod=2002222301179</v>
      </c>
    </row>
    <row r="623" spans="1:9" x14ac:dyDescent="0.4">
      <c r="A623" t="str">
        <f>"岡山工業高等学校学校要覧"</f>
        <v>岡山工業高等学校学校要覧</v>
      </c>
      <c r="B623" s="1" t="str">
        <f t="shared" si="30"/>
        <v>岡山工業高等学校学校要覧</v>
      </c>
      <c r="C623" t="str">
        <f>"オカヤマ　コウギョウ　コウトウ　ガッコウ　ガッコウ　ヨウラン"</f>
        <v>オカヤマ　コウギョウ　コウトウ　ガッコウ　ガッコウ　ヨウラン</v>
      </c>
      <c r="D623" t="str">
        <f>"岡山工業高等学校"</f>
        <v>岡山工業高等学校</v>
      </c>
      <c r="E623" t="str">
        <f>"オカヤマ コウギョウ コウトウ ガッコウ"</f>
        <v>オカヤマ コウギョウ コウトウ ガッコウ</v>
      </c>
      <c r="F623" t="str">
        <f t="shared" si="33"/>
        <v>岡山</v>
      </c>
      <c r="G623" t="str">
        <f>"年刊"</f>
        <v>年刊</v>
      </c>
      <c r="H623" t="str">
        <f>"2002222300490"</f>
        <v>2002222300490</v>
      </c>
      <c r="I623" t="str">
        <f>HYPERLINK("#", "https://opac.libnet.pref.okayama.jp/licsxp-opac/WOpacMsgNewListToTifTilDetailAction.do?tilcod=2002222300490")</f>
        <v>https://opac.libnet.pref.okayama.jp/licsxp-opac/WOpacMsgNewListToTifTilDetailAction.do?tilcod=2002222300490</v>
      </c>
    </row>
    <row r="624" spans="1:9" x14ac:dyDescent="0.4">
      <c r="A624" t="str">
        <f>"〔岡山工業高等学校〕学習の手引き"</f>
        <v>〔岡山工業高等学校〕学習の手引き</v>
      </c>
      <c r="B624" s="1" t="str">
        <f t="shared" si="30"/>
        <v>〔岡山工業高等学校〕学習の手引き</v>
      </c>
      <c r="C624" t="str">
        <f>"オカヤマ　コウギョウ　コウトウガッコウ＊ガクシュウ　ノ　テビキ"</f>
        <v>オカヤマ　コウギョウ　コウトウガッコウ＊ガクシュウ　ノ　テビキ</v>
      </c>
      <c r="D624" t="str">
        <f>"岡山工業高等学校"</f>
        <v>岡山工業高等学校</v>
      </c>
      <c r="E624" t="str">
        <f>"オカヤマ コウギョウ コウトウ ガッコウ"</f>
        <v>オカヤマ コウギョウ コウトウ ガッコウ</v>
      </c>
      <c r="F624" t="str">
        <f t="shared" si="33"/>
        <v>岡山</v>
      </c>
      <c r="G624" t="str">
        <f>"年刊"</f>
        <v>年刊</v>
      </c>
      <c r="H624" t="str">
        <f>"2002222300730"</f>
        <v>2002222300730</v>
      </c>
      <c r="I624" t="str">
        <f>HYPERLINK("#", "https://opac.libnet.pref.okayama.jp/licsxp-opac/WOpacMsgNewListToTifTilDetailAction.do?tilcod=2002222300730")</f>
        <v>https://opac.libnet.pref.okayama.jp/licsxp-opac/WOpacMsgNewListToTifTilDetailAction.do?tilcod=2002222300730</v>
      </c>
    </row>
    <row r="625" spans="1:9" x14ac:dyDescent="0.4">
      <c r="A625" t="str">
        <f>"岡山高校国語"</f>
        <v>岡山高校国語</v>
      </c>
      <c r="B625" s="1" t="str">
        <f t="shared" si="30"/>
        <v>岡山高校国語</v>
      </c>
      <c r="C625" t="str">
        <f>"オカヤマ　コウコウ　コクゴ"</f>
        <v>オカヤマ　コウコウ　コクゴ</v>
      </c>
      <c r="D625" t="str">
        <f>"岡山県高等学校教育研究会国語部会"</f>
        <v>岡山県高等学校教育研究会国語部会</v>
      </c>
      <c r="E625" t="str">
        <f>"オカヤマケンコウトウガッコウキョウイクケンキュウカイコクゴブカイ"</f>
        <v>オカヤマケンコウトウガッコウキョウイクケンキュウカイコクゴブカイ</v>
      </c>
      <c r="F625" t="str">
        <f>""</f>
        <v/>
      </c>
      <c r="G625" t="str">
        <f>"年刊"</f>
        <v>年刊</v>
      </c>
      <c r="H625" t="str">
        <f>"2002222288001"</f>
        <v>2002222288001</v>
      </c>
      <c r="I625" t="str">
        <f>HYPERLINK("#", "https://opac.libnet.pref.okayama.jp/licsxp-opac/WOpacMsgNewListToTifTilDetailAction.do?tilcod=2002222288001")</f>
        <v>https://opac.libnet.pref.okayama.jp/licsxp-opac/WOpacMsgNewListToTifTilDetailAction.do?tilcod=2002222288001</v>
      </c>
    </row>
    <row r="626" spans="1:9" x14ac:dyDescent="0.4">
      <c r="A626" t="str">
        <f>"岡山工高新聞；岡山工業高校新聞"</f>
        <v>岡山工高新聞；岡山工業高校新聞</v>
      </c>
      <c r="B626" s="1" t="str">
        <f t="shared" si="30"/>
        <v>岡山工高新聞；岡山工業高校新聞</v>
      </c>
      <c r="C626" t="str">
        <f>"オカヤマ　コウコウ　シンブン＊オカヤマ　コウギョウ　コウコウ　シンブン"</f>
        <v>オカヤマ　コウコウ　シンブン＊オカヤマ　コウギョウ　コウコウ　シンブン</v>
      </c>
      <c r="D626" t="str">
        <f>"岡山工業高等学校"</f>
        <v>岡山工業高等学校</v>
      </c>
      <c r="E626" t="str">
        <f>"オカヤマ コウギョウ コウトウ ガッコウ"</f>
        <v>オカヤマ コウギョウ コウトウ ガッコウ</v>
      </c>
      <c r="F626" t="str">
        <f>"岡山"</f>
        <v>岡山</v>
      </c>
      <c r="G626" t="str">
        <f>"年３回刊"</f>
        <v>年３回刊</v>
      </c>
      <c r="H626" t="str">
        <f>"2002222301847"</f>
        <v>2002222301847</v>
      </c>
      <c r="I626" t="str">
        <f>HYPERLINK("#", "https://opac.libnet.pref.okayama.jp/licsxp-opac/WOpacMsgNewListToTifTilDetailAction.do?tilcod=2002222301847")</f>
        <v>https://opac.libnet.pref.okayama.jp/licsxp-opac/WOpacMsgNewListToTifTilDetailAction.do?tilcod=2002222301847</v>
      </c>
    </row>
    <row r="627" spans="1:9" x14ac:dyDescent="0.4">
      <c r="A627" t="str">
        <f>"岡山厚生時報"</f>
        <v>岡山厚生時報</v>
      </c>
      <c r="B627" s="1" t="str">
        <f t="shared" si="30"/>
        <v>岡山厚生時報</v>
      </c>
      <c r="C627" t="str">
        <f>"オカヤマ　コウセイ　ジホウ"</f>
        <v>オカヤマ　コウセイ　ジホウ</v>
      </c>
      <c r="D627" t="str">
        <f>"淳風会"</f>
        <v>淳風会</v>
      </c>
      <c r="E627" t="str">
        <f>"ジュンプウカイ"</f>
        <v>ジュンプウカイ</v>
      </c>
      <c r="F627" t="str">
        <f>"岡山"</f>
        <v>岡山</v>
      </c>
      <c r="G627" t="str">
        <f>"月刊"</f>
        <v>月刊</v>
      </c>
      <c r="H627" t="str">
        <f>"2002222301356"</f>
        <v>2002222301356</v>
      </c>
      <c r="I627" t="str">
        <f>HYPERLINK("#", "https://opac.libnet.pref.okayama.jp/licsxp-opac/WOpacMsgNewListToTifTilDetailAction.do?tilcod=2002222301356")</f>
        <v>https://opac.libnet.pref.okayama.jp/licsxp-opac/WOpacMsgNewListToTifTilDetailAction.do?tilcod=2002222301356</v>
      </c>
    </row>
    <row r="628" spans="1:9" x14ac:dyDescent="0.4">
      <c r="A628" t="str">
        <f>"岡山更生保護"</f>
        <v>岡山更生保護</v>
      </c>
      <c r="B628" s="1" t="str">
        <f t="shared" si="30"/>
        <v>岡山更生保護</v>
      </c>
      <c r="C628" t="str">
        <f>"オカヤマ　コウセイ　ホゴ"</f>
        <v>オカヤマ　コウセイ　ホゴ</v>
      </c>
      <c r="D628" t="str">
        <f>"岡山県更生保護協会"</f>
        <v>岡山県更生保護協会</v>
      </c>
      <c r="E628" t="str">
        <f>"オカヤマケン コウセイ ホゴ キョウカイ"</f>
        <v>オカヤマケン コウセイ ホゴ キョウカイ</v>
      </c>
      <c r="F628" t="str">
        <f>""</f>
        <v/>
      </c>
      <c r="G628" t="str">
        <f>"頻度不明"</f>
        <v>頻度不明</v>
      </c>
      <c r="H628" t="str">
        <f>"2002222288011"</f>
        <v>2002222288011</v>
      </c>
      <c r="I628" t="str">
        <f>HYPERLINK("#", "https://opac.libnet.pref.okayama.jp/licsxp-opac/WOpacMsgNewListToTifTilDetailAction.do?tilcod=2002222288011")</f>
        <v>https://opac.libnet.pref.okayama.jp/licsxp-opac/WOpacMsgNewListToTifTilDetailAction.do?tilcod=2002222288011</v>
      </c>
    </row>
    <row r="629" spans="1:9" x14ac:dyDescent="0.4">
      <c r="A629" t="str">
        <f>"おかやま交通安全ニュース"</f>
        <v>おかやま交通安全ニュース</v>
      </c>
      <c r="B629" s="1" t="str">
        <f t="shared" si="30"/>
        <v>おかやま交通安全ニュース</v>
      </c>
      <c r="C629" t="str">
        <f>"オカヤマ　コウツウ　アンゼン　ニュース"</f>
        <v>オカヤマ　コウツウ　アンゼン　ニュース</v>
      </c>
      <c r="D629" t="str">
        <f>"岡山県交通安全協会"</f>
        <v>岡山県交通安全協会</v>
      </c>
      <c r="E629" t="str">
        <f>"オカヤマケンコウツウアンゼンキョウカイ"</f>
        <v>オカヤマケンコウツウアンゼンキョウカイ</v>
      </c>
      <c r="F629" t="str">
        <f>"岡山"</f>
        <v>岡山</v>
      </c>
      <c r="G629" t="str">
        <f>"頻度不明"</f>
        <v>頻度不明</v>
      </c>
      <c r="H629" t="str">
        <f>"2002222281864"</f>
        <v>2002222281864</v>
      </c>
      <c r="I629" t="str">
        <f>HYPERLINK("#", "https://opac.libnet.pref.okayama.jp/licsxp-opac/WOpacMsgNewListToTifTilDetailAction.do?tilcod=2002222281864")</f>
        <v>https://opac.libnet.pref.okayama.jp/licsxp-opac/WOpacMsgNewListToTifTilDetailAction.do?tilcod=2002222281864</v>
      </c>
    </row>
    <row r="630" spans="1:9" x14ac:dyDescent="0.4">
      <c r="A630" t="str">
        <f>"〔岡山高等学校〕教科別授業計画"</f>
        <v>〔岡山高等学校〕教科別授業計画</v>
      </c>
      <c r="B630" s="1" t="str">
        <f t="shared" si="30"/>
        <v>〔岡山高等学校〕教科別授業計画</v>
      </c>
      <c r="C630" t="str">
        <f>"オカヤマ　コウトウ　ガッコウ＊キョウカベツ　ジュギョウ　ケイカク"</f>
        <v>オカヤマ　コウトウ　ガッコウ＊キョウカベツ　ジュギョウ　ケイカク</v>
      </c>
      <c r="D630" t="str">
        <f>"岡山高等学校"</f>
        <v>岡山高等学校</v>
      </c>
      <c r="E630" t="str">
        <f>"オカヤマコウトウガッコウ"</f>
        <v>オカヤマコウトウガッコウ</v>
      </c>
      <c r="F630" t="str">
        <f>"岡山"</f>
        <v>岡山</v>
      </c>
      <c r="G630" t="str">
        <f>"年刊"</f>
        <v>年刊</v>
      </c>
      <c r="H630" t="str">
        <f>"2002222301156"</f>
        <v>2002222301156</v>
      </c>
      <c r="I630" t="str">
        <f>HYPERLINK("#", "https://opac.libnet.pref.okayama.jp/licsxp-opac/WOpacMsgNewListToTifTilDetailAction.do?tilcod=2002222301156")</f>
        <v>https://opac.libnet.pref.okayama.jp/licsxp-opac/WOpacMsgNewListToTifTilDetailAction.do?tilcod=2002222301156</v>
      </c>
    </row>
    <row r="631" spans="1:9" x14ac:dyDescent="0.4">
      <c r="A631" t="str">
        <f>"[岡山高等学校] 学校案内"</f>
        <v>[岡山高等学校] 学校案内</v>
      </c>
      <c r="B631" s="1" t="str">
        <f t="shared" si="30"/>
        <v>[岡山高等学校] 学校案内</v>
      </c>
      <c r="C631" t="str">
        <f>"オカヤマ コウトウガッコウ ガッコウ アンナイ"</f>
        <v>オカヤマ コウトウガッコウ ガッコウ アンナイ</v>
      </c>
      <c r="D631" t="str">
        <f>"岡山高等学校"</f>
        <v>岡山高等学校</v>
      </c>
      <c r="E631" t="str">
        <f>"オカヤマコウトウガッコウ"</f>
        <v>オカヤマコウトウガッコウ</v>
      </c>
      <c r="F631" t="str">
        <f>"岡山"</f>
        <v>岡山</v>
      </c>
      <c r="G631" t="str">
        <f>"年刊"</f>
        <v>年刊</v>
      </c>
      <c r="H631" t="str">
        <f>"2002222334069"</f>
        <v>2002222334069</v>
      </c>
      <c r="I631" t="str">
        <f>HYPERLINK("#", "https://opac.libnet.pref.okayama.jp/licsxp-opac/WOpacMsgNewListToTifTilDetailAction.do?tilcod=2002222334069")</f>
        <v>https://opac.libnet.pref.okayama.jp/licsxp-opac/WOpacMsgNewListToTifTilDetailAction.do?tilcod=2002222334069</v>
      </c>
    </row>
    <row r="632" spans="1:9" x14ac:dyDescent="0.4">
      <c r="A632" t="str">
        <f>"岡山鉱物化石研究会会誌"</f>
        <v>岡山鉱物化石研究会会誌</v>
      </c>
      <c r="B632" s="1" t="str">
        <f t="shared" si="30"/>
        <v>岡山鉱物化石研究会会誌</v>
      </c>
      <c r="C632" t="str">
        <f>"オカヤマ　コウブツ　カセキ　ケンキュウ　カイ　カイシ"</f>
        <v>オカヤマ　コウブツ　カセキ　ケンキュウ　カイ　カイシ</v>
      </c>
      <c r="D632" t="str">
        <f>"〔岡山鉱物化石研究会〕"</f>
        <v>〔岡山鉱物化石研究会〕</v>
      </c>
      <c r="E632" t="str">
        <f>"オカヤマコウブツカセキケンキュウカイ"</f>
        <v>オカヤマコウブツカセキケンキュウカイ</v>
      </c>
      <c r="F632" t="str">
        <f>"〔岡山〕"</f>
        <v>〔岡山〕</v>
      </c>
      <c r="G632" t="str">
        <f>"年刊"</f>
        <v>年刊</v>
      </c>
      <c r="H632" t="str">
        <f>"2002222302372"</f>
        <v>2002222302372</v>
      </c>
      <c r="I632" t="str">
        <f>HYPERLINK("#", "https://opac.libnet.pref.okayama.jp/licsxp-opac/WOpacMsgNewListToTifTilDetailAction.do?tilcod=2002222302372")</f>
        <v>https://opac.libnet.pref.okayama.jp/licsxp-opac/WOpacMsgNewListToTifTilDetailAction.do?tilcod=2002222302372</v>
      </c>
    </row>
    <row r="633" spans="1:9" x14ac:dyDescent="0.4">
      <c r="A633" t="str">
        <f>"岡山後楽ライオンズ・クラブ会報"</f>
        <v>岡山後楽ライオンズ・クラブ会報</v>
      </c>
      <c r="B633" s="1" t="str">
        <f t="shared" si="30"/>
        <v>岡山後楽ライオンズ・クラブ会報</v>
      </c>
      <c r="C633" t="str">
        <f>"オカヤマ　コウラク　ライオンズ　クラブ　カイホウ"</f>
        <v>オカヤマ　コウラク　ライオンズ　クラブ　カイホウ</v>
      </c>
      <c r="D633" t="str">
        <f>"岡山後楽ライオンズクラブ"</f>
        <v>岡山後楽ライオンズクラブ</v>
      </c>
      <c r="E633" t="str">
        <f>"オカヤマ コウラク ライオンズ クラブ"</f>
        <v>オカヤマ コウラク ライオンズ クラブ</v>
      </c>
      <c r="F633" t="str">
        <f>""</f>
        <v/>
      </c>
      <c r="G633" t="str">
        <f>"月刊"</f>
        <v>月刊</v>
      </c>
      <c r="H633" t="str">
        <f>"2002222288041"</f>
        <v>2002222288041</v>
      </c>
      <c r="I633" t="str">
        <f>HYPERLINK("#", "https://opac.libnet.pref.okayama.jp/licsxp-opac/WOpacMsgNewListToTifTilDetailAction.do?tilcod=2002222288041")</f>
        <v>https://opac.libnet.pref.okayama.jp/licsxp-opac/WOpacMsgNewListToTifTilDetailAction.do?tilcod=2002222288041</v>
      </c>
    </row>
    <row r="634" spans="1:9" x14ac:dyDescent="0.4">
      <c r="A634" t="str">
        <f>"おかやま後楽園３００年祭実行委員会ニュース"</f>
        <v>おかやま後楽園３００年祭実行委員会ニュース</v>
      </c>
      <c r="B634" s="1" t="str">
        <f t="shared" si="30"/>
        <v>おかやま後楽園３００年祭実行委員会ニュース</v>
      </c>
      <c r="C634" t="str">
        <f>"オカヤマ　コウラクエン　サンビャクネン　サイ　ジッコウ　イインカイ　ニュース"</f>
        <v>オカヤマ　コウラクエン　サンビャクネン　サイ　ジッコウ　イインカイ　ニュース</v>
      </c>
      <c r="D634" t="str">
        <f>"おかやま後楽園300年祭実行委員会"</f>
        <v>おかやま後楽園300年祭実行委員会</v>
      </c>
      <c r="E634" t="str">
        <f>"オカヤマ コウラクエン サンビャクネンサイ ジッコウ イインカイ"</f>
        <v>オカヤマ コウラクエン サンビャクネンサイ ジッコウ イインカイ</v>
      </c>
      <c r="F634" t="str">
        <f>"岡山"</f>
        <v>岡山</v>
      </c>
      <c r="G634" t="str">
        <f>"不定期刊"</f>
        <v>不定期刊</v>
      </c>
      <c r="H634" t="str">
        <f>"2002222282461"</f>
        <v>2002222282461</v>
      </c>
      <c r="I634" t="str">
        <f>HYPERLINK("#", "https://opac.libnet.pref.okayama.jp/licsxp-opac/WOpacMsgNewListToTifTilDetailAction.do?tilcod=2002222282461")</f>
        <v>https://opac.libnet.pref.okayama.jp/licsxp-opac/WOpacMsgNewListToTifTilDetailAction.do?tilcod=2002222282461</v>
      </c>
    </row>
    <row r="635" spans="1:9" x14ac:dyDescent="0.4">
      <c r="A635" t="str">
        <f>"おかやま後楽園新聞"</f>
        <v>おかやま後楽園新聞</v>
      </c>
      <c r="B635" s="1" t="str">
        <f t="shared" si="30"/>
        <v>おかやま後楽園新聞</v>
      </c>
      <c r="C635" t="str">
        <f>"オカヤマ　コウラクエン　シンブン"</f>
        <v>オカヤマ　コウラクエン　シンブン</v>
      </c>
      <c r="D635" t="str">
        <f>"岡山日日新聞新社"</f>
        <v>岡山日日新聞新社</v>
      </c>
      <c r="E635" t="str">
        <f>"オカヤマニチニチシンブンシンシャ"</f>
        <v>オカヤマニチニチシンブンシンシャ</v>
      </c>
      <c r="F635" t="str">
        <f>"岡山"</f>
        <v>岡山</v>
      </c>
      <c r="G635" t="str">
        <f>"頻度不明"</f>
        <v>頻度不明</v>
      </c>
      <c r="H635" t="str">
        <f>"2002222302387"</f>
        <v>2002222302387</v>
      </c>
      <c r="I635" t="str">
        <f>HYPERLINK("#", "https://opac.libnet.pref.okayama.jp/licsxp-opac/WOpacMsgNewListToTifTilDetailAction.do?tilcod=2002222302387")</f>
        <v>https://opac.libnet.pref.okayama.jp/licsxp-opac/WOpacMsgNewListToTifTilDetailAction.do?tilcod=2002222302387</v>
      </c>
    </row>
    <row r="636" spans="1:9" x14ac:dyDescent="0.4">
      <c r="A636" t="str">
        <f>"岡山公論"</f>
        <v>岡山公論</v>
      </c>
      <c r="B636" s="1" t="str">
        <f t="shared" si="30"/>
        <v>岡山公論</v>
      </c>
      <c r="C636" t="str">
        <f>"オカヤマ　コウロン"</f>
        <v>オカヤマ　コウロン</v>
      </c>
      <c r="D636" t="str">
        <f>"岡山公論社"</f>
        <v>岡山公論社</v>
      </c>
      <c r="E636" t="str">
        <f>"オカヤマコウロンシャ"</f>
        <v>オカヤマコウロンシャ</v>
      </c>
      <c r="F636" t="str">
        <f>""</f>
        <v/>
      </c>
      <c r="G636" t="str">
        <f>"頻度不明"</f>
        <v>頻度不明</v>
      </c>
      <c r="H636" t="str">
        <f>"2002222288051"</f>
        <v>2002222288051</v>
      </c>
      <c r="I636" t="str">
        <f>HYPERLINK("#", "https://opac.libnet.pref.okayama.jp/licsxp-opac/WOpacMsgNewListToTifTilDetailAction.do?tilcod=2002222288051")</f>
        <v>https://opac.libnet.pref.okayama.jp/licsxp-opac/WOpacMsgNewListToTifTilDetailAction.do?tilcod=2002222288051</v>
      </c>
    </row>
    <row r="637" spans="1:9" x14ac:dyDescent="0.4">
      <c r="A637" t="str">
        <f>"おかやま国際交流"</f>
        <v>おかやま国際交流</v>
      </c>
      <c r="B637" s="1" t="str">
        <f t="shared" si="30"/>
        <v>おかやま国際交流</v>
      </c>
      <c r="C637" t="str">
        <f>"オカヤマ　コクサイ　コウリュウ"</f>
        <v>オカヤマ　コクサイ　コウリュウ</v>
      </c>
      <c r="D637" t="str">
        <f>"岡山県国際交流協会"</f>
        <v>岡山県国際交流協会</v>
      </c>
      <c r="E637" t="str">
        <f>"オカヤマケン コクサイ コウリュウ キョウカイ"</f>
        <v>オカヤマケン コクサイ コウリュウ キョウカイ</v>
      </c>
      <c r="F637" t="str">
        <f>"岡山"</f>
        <v>岡山</v>
      </c>
      <c r="G637" t="str">
        <f>"隔月刊"</f>
        <v>隔月刊</v>
      </c>
      <c r="H637" t="str">
        <f>"2002222292101"</f>
        <v>2002222292101</v>
      </c>
      <c r="I637" t="str">
        <f>HYPERLINK("#", "https://opac.libnet.pref.okayama.jp/licsxp-opac/WOpacMsgNewListToTifTilDetailAction.do?tilcod=2002222292101")</f>
        <v>https://opac.libnet.pref.okayama.jp/licsxp-opac/WOpacMsgNewListToTifTilDetailAction.do?tilcod=2002222292101</v>
      </c>
    </row>
    <row r="638" spans="1:9" x14ac:dyDescent="0.4">
      <c r="A638" t="str">
        <f>"岡山国際交流プラザだより"</f>
        <v>岡山国際交流プラザだより</v>
      </c>
      <c r="B638" s="1" t="str">
        <f t="shared" si="30"/>
        <v>岡山国際交流プラザだより</v>
      </c>
      <c r="C638" t="str">
        <f>"オカヤマ　コクサイ　コウリュウ　プラザ　ダヨリ"</f>
        <v>オカヤマ　コクサイ　コウリュウ　プラザ　ダヨリ</v>
      </c>
      <c r="D638" t="str">
        <f>"岡山国際交流プラザ"</f>
        <v>岡山国際交流プラザ</v>
      </c>
      <c r="E638" t="str">
        <f>"オカヤマコクサイコウリュウプラザ"</f>
        <v>オカヤマコクサイコウリュウプラザ</v>
      </c>
      <c r="F638" t="str">
        <f>""</f>
        <v/>
      </c>
      <c r="G638" t="str">
        <f>"季刊"</f>
        <v>季刊</v>
      </c>
      <c r="H638" t="str">
        <f>"2002222288061"</f>
        <v>2002222288061</v>
      </c>
      <c r="I638" t="str">
        <f>HYPERLINK("#", "https://opac.libnet.pref.okayama.jp/licsxp-opac/WOpacMsgNewListToTifTilDetailAction.do?tilcod=2002222288061")</f>
        <v>https://opac.libnet.pref.okayama.jp/licsxp-opac/WOpacMsgNewListToTifTilDetailAction.do?tilcod=2002222288061</v>
      </c>
    </row>
    <row r="639" spans="1:9" x14ac:dyDescent="0.4">
      <c r="A639" t="str">
        <f>"岡山コケの会ニュース；OKAMOSS NEWS"</f>
        <v>岡山コケの会ニュース；OKAMOSS NEWS</v>
      </c>
      <c r="B639" s="1" t="str">
        <f t="shared" si="30"/>
        <v>岡山コケの会ニュース；OKAMOSS NEWS</v>
      </c>
      <c r="C639" t="str">
        <f>"オカヤマ コケ ノ カイ ニュース＊オカモス ニュース"</f>
        <v>オカヤマ コケ ノ カイ ニュース＊オカモス ニュース</v>
      </c>
      <c r="D639" t="str">
        <f>"岡山コケの会"</f>
        <v>岡山コケの会</v>
      </c>
      <c r="E639" t="str">
        <f>"オカヤマコケノカイ"</f>
        <v>オカヤマコケノカイ</v>
      </c>
      <c r="F639" t="str">
        <f>"岡山"</f>
        <v>岡山</v>
      </c>
      <c r="G639" t="str">
        <f>"年２回刊"</f>
        <v>年２回刊</v>
      </c>
      <c r="H639" t="str">
        <f>"2002222302102"</f>
        <v>2002222302102</v>
      </c>
      <c r="I639" t="str">
        <f>HYPERLINK("#", "https://opac.libnet.pref.okayama.jp/licsxp-opac/WOpacMsgNewListToTifTilDetailAction.do?tilcod=2002222302102")</f>
        <v>https://opac.libnet.pref.okayama.jp/licsxp-opac/WOpacMsgNewListToTifTilDetailAction.do?tilcod=2002222302102</v>
      </c>
    </row>
    <row r="640" spans="1:9" x14ac:dyDescent="0.4">
      <c r="A640" t="str">
        <f>"おかやまこころの健康"</f>
        <v>おかやまこころの健康</v>
      </c>
      <c r="B640" s="1" t="str">
        <f t="shared" si="30"/>
        <v>おかやまこころの健康</v>
      </c>
      <c r="C640" t="str">
        <f>"オカヤマ　ココロ　ノ　ケンコウ"</f>
        <v>オカヤマ　ココロ　ノ　ケンコウ</v>
      </c>
      <c r="D640" t="str">
        <f>"岡山県精神保健福祉協会（岡山県精神保健福祉センター内）"</f>
        <v>岡山県精神保健福祉協会（岡山県精神保健福祉センター内）</v>
      </c>
      <c r="E640" t="str">
        <f>"オカヤマケンセイシンホケンフクシキョウカイ"</f>
        <v>オカヤマケンセイシンホケンフクシキョウカイ</v>
      </c>
      <c r="F640" t="str">
        <f>"岡山"</f>
        <v>岡山</v>
      </c>
      <c r="G640" t="str">
        <f>"年刊"</f>
        <v>年刊</v>
      </c>
      <c r="H640" t="str">
        <f>"2002222294831"</f>
        <v>2002222294831</v>
      </c>
      <c r="I640" t="str">
        <f>HYPERLINK("#", "https://opac.libnet.pref.okayama.jp/licsxp-opac/WOpacMsgNewListToTifTilDetailAction.do?tilcod=2002222294831")</f>
        <v>https://opac.libnet.pref.okayama.jp/licsxp-opac/WOpacMsgNewListToTifTilDetailAction.do?tilcod=2002222294831</v>
      </c>
    </row>
    <row r="641" spans="1:9" x14ac:dyDescent="0.4">
      <c r="A641" t="str">
        <f>"おかやま心の健康"</f>
        <v>おかやま心の健康</v>
      </c>
      <c r="B641" s="1" t="str">
        <f t="shared" si="30"/>
        <v>おかやま心の健康</v>
      </c>
      <c r="C641" t="str">
        <f>"オカヤマ　ココロ　ノ　ケンコウ"</f>
        <v>オカヤマ　ココロ　ノ　ケンコウ</v>
      </c>
      <c r="D641" t="str">
        <f>"岡山県精神衛生協会"</f>
        <v>岡山県精神衛生協会</v>
      </c>
      <c r="E641" t="str">
        <f>"オカヤマケンセイシンエイセイキョウカイ"</f>
        <v>オカヤマケンセイシンエイセイキョウカイ</v>
      </c>
      <c r="F641" t="str">
        <f>"岡山"</f>
        <v>岡山</v>
      </c>
      <c r="G641" t="str">
        <f>"頻度不明"</f>
        <v>頻度不明</v>
      </c>
      <c r="H641" t="str">
        <f>"2002222301906"</f>
        <v>2002222301906</v>
      </c>
      <c r="I641" t="str">
        <f>HYPERLINK("#", "https://opac.libnet.pref.okayama.jp/licsxp-opac/WOpacMsgNewListToTifTilDetailAction.do?tilcod=2002222301906")</f>
        <v>https://opac.libnet.pref.okayama.jp/licsxp-opac/WOpacMsgNewListToTifTilDetailAction.do?tilcod=2002222301906</v>
      </c>
    </row>
    <row r="642" spans="1:9" x14ac:dyDescent="0.4">
      <c r="A642" t="str">
        <f>"岡山孤児院新報"</f>
        <v>岡山孤児院新報</v>
      </c>
      <c r="B642" s="1" t="str">
        <f t="shared" si="30"/>
        <v>岡山孤児院新報</v>
      </c>
      <c r="C642" t="str">
        <f>"オカヤマ　コジイン　シンポウ"</f>
        <v>オカヤマ　コジイン　シンポウ</v>
      </c>
      <c r="D642" t="str">
        <f>"岡山孤児院"</f>
        <v>岡山孤児院</v>
      </c>
      <c r="E642" t="str">
        <f>"オカヤマ コジイン"</f>
        <v>オカヤマ コジイン</v>
      </c>
      <c r="F642" t="str">
        <f>"岡山"</f>
        <v>岡山</v>
      </c>
      <c r="G642" t="str">
        <f>"月刊"</f>
        <v>月刊</v>
      </c>
      <c r="H642" t="str">
        <f>"2002222301066"</f>
        <v>2002222301066</v>
      </c>
      <c r="I642" t="str">
        <f>HYPERLINK("#", "https://opac.libnet.pref.okayama.jp/licsxp-opac/WOpacMsgNewListToTifTilDetailAction.do?tilcod=2002222301066")</f>
        <v>https://opac.libnet.pref.okayama.jp/licsxp-opac/WOpacMsgNewListToTifTilDetailAction.do?tilcod=2002222301066</v>
      </c>
    </row>
    <row r="643" spans="1:9" x14ac:dyDescent="0.4">
      <c r="A643" t="str">
        <f>"岡山孤児院新報(複製)"</f>
        <v>岡山孤児院新報(複製)</v>
      </c>
      <c r="B643" s="1" t="str">
        <f t="shared" si="30"/>
        <v>岡山孤児院新報(複製)</v>
      </c>
      <c r="C643" t="str">
        <f>"オカヤマ コジイン シンポウ"</f>
        <v>オカヤマ コジイン シンポウ</v>
      </c>
      <c r="D643" t="str">
        <f>"岡山孤児院"</f>
        <v>岡山孤児院</v>
      </c>
      <c r="E643" t="str">
        <f>"オカヤマ コジイン"</f>
        <v>オカヤマ コジイン</v>
      </c>
      <c r="F643" t="str">
        <f>""</f>
        <v/>
      </c>
      <c r="G643" t="str">
        <f>"月刊"</f>
        <v>月刊</v>
      </c>
      <c r="H643" t="str">
        <f>"2002222311768"</f>
        <v>2002222311768</v>
      </c>
      <c r="I643" t="str">
        <f>HYPERLINK("#", "https://opac.libnet.pref.okayama.jp/licsxp-opac/WOpacMsgNewListToTifTilDetailAction.do?tilcod=2002222311768")</f>
        <v>https://opac.libnet.pref.okayama.jp/licsxp-opac/WOpacMsgNewListToTifTilDetailAction.do?tilcod=2002222311768</v>
      </c>
    </row>
    <row r="644" spans="1:9" x14ac:dyDescent="0.4">
      <c r="A644" t="str">
        <f>"岡山子ども劇場"</f>
        <v>岡山子ども劇場</v>
      </c>
      <c r="B644" s="1" t="str">
        <f t="shared" ref="B644:B707" si="34">HYPERLINK("#", A644)</f>
        <v>岡山子ども劇場</v>
      </c>
      <c r="C644" t="str">
        <f>"オカヤマ コドモ ゲキジョウ"</f>
        <v>オカヤマ コドモ ゲキジョウ</v>
      </c>
      <c r="D644" t="str">
        <f>"岡山子ども劇場宣伝部"</f>
        <v>岡山子ども劇場宣伝部</v>
      </c>
      <c r="E644" t="str">
        <f>"オカヤマ コドモ ゲキジョウ センデンブ"</f>
        <v>オカヤマ コドモ ゲキジョウ センデンブ</v>
      </c>
      <c r="F644" t="str">
        <f>"岡山"</f>
        <v>岡山</v>
      </c>
      <c r="G644" t="str">
        <f>"頻度不明"</f>
        <v>頻度不明</v>
      </c>
      <c r="H644" t="str">
        <f>"2002222341170"</f>
        <v>2002222341170</v>
      </c>
      <c r="I644" t="str">
        <f>HYPERLINK("#", "https://opac.libnet.pref.okayama.jp/licsxp-opac/WOpacMsgNewListToTifTilDetailAction.do?tilcod=2002222341170")</f>
        <v>https://opac.libnet.pref.okayama.jp/licsxp-opac/WOpacMsgNewListToTifTilDetailAction.do?tilcod=2002222341170</v>
      </c>
    </row>
    <row r="645" spans="1:9" x14ac:dyDescent="0.4">
      <c r="A645" t="str">
        <f>"おかやま雇用開発だより"</f>
        <v>おかやま雇用開発だより</v>
      </c>
      <c r="B645" s="1" t="str">
        <f t="shared" si="34"/>
        <v>おかやま雇用開発だより</v>
      </c>
      <c r="C645" t="str">
        <f>"オカヤマ　コヨウ　カイハツ　ダヨリ"</f>
        <v>オカヤマ　コヨウ　カイハツ　ダヨリ</v>
      </c>
      <c r="D645" t="str">
        <f>"岡山県雇用開発協会"</f>
        <v>岡山県雇用開発協会</v>
      </c>
      <c r="E645" t="str">
        <f>"オカヤマケンコヨウカイハツキョウカイ"</f>
        <v>オカヤマケンコヨウカイハツキョウカイ</v>
      </c>
      <c r="F645" t="str">
        <f>"岡山"</f>
        <v>岡山</v>
      </c>
      <c r="G645" t="str">
        <f>"頻度不明"</f>
        <v>頻度不明</v>
      </c>
      <c r="H645" t="str">
        <f>"2002222288081"</f>
        <v>2002222288081</v>
      </c>
      <c r="I645" t="str">
        <f>HYPERLINK("#", "https://opac.libnet.pref.okayama.jp/licsxp-opac/WOpacMsgNewListToTifTilDetailAction.do?tilcod=2002222288081")</f>
        <v>https://opac.libnet.pref.okayama.jp/licsxp-opac/WOpacMsgNewListToTifTilDetailAction.do?tilcod=2002222288081</v>
      </c>
    </row>
    <row r="646" spans="1:9" x14ac:dyDescent="0.4">
      <c r="A646" t="str">
        <f>"おかやま雇用の広場"</f>
        <v>おかやま雇用の広場</v>
      </c>
      <c r="B646" s="1" t="str">
        <f t="shared" si="34"/>
        <v>おかやま雇用の広場</v>
      </c>
      <c r="C646" t="str">
        <f>"オカヤマ　コヨウ　ノ　ヒロバ"</f>
        <v>オカヤマ　コヨウ　ノ　ヒロバ</v>
      </c>
      <c r="D646" t="str">
        <f>"岡山県障害者雇用促進協会"</f>
        <v>岡山県障害者雇用促進協会</v>
      </c>
      <c r="E646" t="str">
        <f>"オカヤマケン ショウガイシャ コヨウ ソクシン キョウカイ"</f>
        <v>オカヤマケン ショウガイシャ コヨウ ソクシン キョウカイ</v>
      </c>
      <c r="F646" t="str">
        <f>"岡山"</f>
        <v>岡山</v>
      </c>
      <c r="G646" t="str">
        <f>"年２回刊"</f>
        <v>年２回刊</v>
      </c>
      <c r="H646" t="str">
        <f>"2002222292111"</f>
        <v>2002222292111</v>
      </c>
      <c r="I646" t="str">
        <f>HYPERLINK("#", "https://opac.libnet.pref.okayama.jp/licsxp-opac/WOpacMsgNewListToTifTilDetailAction.do?tilcod=2002222292111")</f>
        <v>https://opac.libnet.pref.okayama.jp/licsxp-opac/WOpacMsgNewListToTifTilDetailAction.do?tilcod=2002222292111</v>
      </c>
    </row>
    <row r="647" spans="1:9" x14ac:dyDescent="0.4">
      <c r="A647" t="str">
        <f>"岡山財界"</f>
        <v>岡山財界</v>
      </c>
      <c r="B647" s="1" t="str">
        <f t="shared" si="34"/>
        <v>岡山財界</v>
      </c>
      <c r="C647" t="str">
        <f>"オカヤマ　ザイカイ"</f>
        <v>オカヤマ　ザイカイ</v>
      </c>
      <c r="D647" t="str">
        <f>"岡山財界"</f>
        <v>岡山財界</v>
      </c>
      <c r="E647" t="str">
        <f>"オカヤマザイカイ"</f>
        <v>オカヤマザイカイ</v>
      </c>
      <c r="F647" t="str">
        <f>"岡山市"</f>
        <v>岡山市</v>
      </c>
      <c r="G647" t="str">
        <f>"月２回刊"</f>
        <v>月２回刊</v>
      </c>
      <c r="H647" t="str">
        <f>"2002222280261"</f>
        <v>2002222280261</v>
      </c>
      <c r="I647" t="str">
        <f>HYPERLINK("#", "https://opac.libnet.pref.okayama.jp/licsxp-opac/WOpacMsgNewListToTifTilDetailAction.do?tilcod=2002222280261")</f>
        <v>https://opac.libnet.pref.okayama.jp/licsxp-opac/WOpacMsgNewListToTifTilDetailAction.do?tilcod=2002222280261</v>
      </c>
    </row>
    <row r="648" spans="1:9" x14ac:dyDescent="0.4">
      <c r="A648" t="str">
        <f>"おかやま財界"</f>
        <v>おかやま財界</v>
      </c>
      <c r="B648" s="1" t="str">
        <f t="shared" si="34"/>
        <v>おかやま財界</v>
      </c>
      <c r="C648" t="str">
        <f>"オカヤマ　ザイカイ"</f>
        <v>オカヤマ　ザイカイ</v>
      </c>
      <c r="D648" t="str">
        <f>"おかやま財界"</f>
        <v>おかやま財界</v>
      </c>
      <c r="E648" t="str">
        <f>"オカヤマザイカイ"</f>
        <v>オカヤマザイカイ</v>
      </c>
      <c r="F648" t="str">
        <f>"岡山"</f>
        <v>岡山</v>
      </c>
      <c r="G648" t="str">
        <f>"月２回刊"</f>
        <v>月２回刊</v>
      </c>
      <c r="H648" t="str">
        <f>"2002222276783"</f>
        <v>2002222276783</v>
      </c>
      <c r="I648" t="str">
        <f>HYPERLINK("#", "https://opac.libnet.pref.okayama.jp/licsxp-opac/WOpacMsgNewListToTifTilDetailAction.do?tilcod=2002222276783")</f>
        <v>https://opac.libnet.pref.okayama.jp/licsxp-opac/WOpacMsgNewListToTifTilDetailAction.do?tilcod=2002222276783</v>
      </c>
    </row>
    <row r="649" spans="1:9" x14ac:dyDescent="0.4">
      <c r="A649" t="str">
        <f>"岡山済生会総合病院雑誌"</f>
        <v>岡山済生会総合病院雑誌</v>
      </c>
      <c r="B649" s="1" t="str">
        <f t="shared" si="34"/>
        <v>岡山済生会総合病院雑誌</v>
      </c>
      <c r="C649" t="str">
        <f>"オカヤマ　サイセイカイ　ソウゴウ　ビョウイン　ザッシ"</f>
        <v>オカヤマ　サイセイカイ　ソウゴウ　ビョウイン　ザッシ</v>
      </c>
      <c r="D649" t="str">
        <f>"岡山済生会総合病院"</f>
        <v>岡山済生会総合病院</v>
      </c>
      <c r="E649" t="str">
        <f>"オカヤマ サイセイカイ ソウゴウ ビョウイン"</f>
        <v>オカヤマ サイセイカイ ソウゴウ ビョウイン</v>
      </c>
      <c r="F649" t="str">
        <f>"岡山市"</f>
        <v>岡山市</v>
      </c>
      <c r="G649" t="str">
        <f>"年刊"</f>
        <v>年刊</v>
      </c>
      <c r="H649" t="str">
        <f>"2002222294201"</f>
        <v>2002222294201</v>
      </c>
      <c r="I649" t="str">
        <f>HYPERLINK("#", "https://opac.libnet.pref.okayama.jp/licsxp-opac/WOpacMsgNewListToTifTilDetailAction.do?tilcod=2002222294201")</f>
        <v>https://opac.libnet.pref.okayama.jp/licsxp-opac/WOpacMsgNewListToTifTilDetailAction.do?tilcod=2002222294201</v>
      </c>
    </row>
    <row r="650" spans="1:9" x14ac:dyDescent="0.4">
      <c r="A650" t="str">
        <f>"岡山・西大寺合併協議会だより"</f>
        <v>岡山・西大寺合併協議会だより</v>
      </c>
      <c r="B650" s="1" t="str">
        <f t="shared" si="34"/>
        <v>岡山・西大寺合併協議会だより</v>
      </c>
      <c r="C650" t="str">
        <f>"オカヤマ　サイダイジ　ガッペイ　キョウギカイ　ダヨリ"</f>
        <v>オカヤマ　サイダイジ　ガッペイ　キョウギカイ　ダヨリ</v>
      </c>
      <c r="D650" t="str">
        <f>"岡山市・西大寺市合併協議会"</f>
        <v>岡山市・西大寺市合併協議会</v>
      </c>
      <c r="E650" t="str">
        <f>"オカヤマシサイダイジシガッペイキョウギカイ"</f>
        <v>オカヤマシサイダイジシガッペイキョウギカイ</v>
      </c>
      <c r="F650" t="str">
        <f>""</f>
        <v/>
      </c>
      <c r="G650" t="str">
        <f>"頻度不明"</f>
        <v>頻度不明</v>
      </c>
      <c r="H650" t="str">
        <f>"2002222288101"</f>
        <v>2002222288101</v>
      </c>
      <c r="I650" t="str">
        <f>HYPERLINK("#", "https://opac.libnet.pref.okayama.jp/licsxp-opac/WOpacMsgNewListToTifTilDetailAction.do?tilcod=2002222288101")</f>
        <v>https://opac.libnet.pref.okayama.jp/licsxp-opac/WOpacMsgNewListToTifTilDetailAction.do?tilcod=2002222288101</v>
      </c>
    </row>
    <row r="651" spans="1:9" x14ac:dyDescent="0.4">
      <c r="A651" t="str">
        <f>"岡山雑誌"</f>
        <v>岡山雑誌</v>
      </c>
      <c r="B651" s="1" t="str">
        <f t="shared" si="34"/>
        <v>岡山雑誌</v>
      </c>
      <c r="C651" t="str">
        <f>"オカヤマ　ザッシ"</f>
        <v>オカヤマ　ザッシ</v>
      </c>
      <c r="D651" t="str">
        <f>"岡山雑誌社"</f>
        <v>岡山雑誌社</v>
      </c>
      <c r="E651" t="str">
        <f>"オカヤマザッシシャ"</f>
        <v>オカヤマザッシシャ</v>
      </c>
      <c r="F651" t="str">
        <f>""</f>
        <v/>
      </c>
      <c r="G651" t="str">
        <f>"頻度不明"</f>
        <v>頻度不明</v>
      </c>
      <c r="H651" t="str">
        <f>"2002222288111"</f>
        <v>2002222288111</v>
      </c>
      <c r="I651" t="str">
        <f>HYPERLINK("#", "https://opac.libnet.pref.okayama.jp/licsxp-opac/WOpacMsgNewListToTifTilDetailAction.do?tilcod=2002222288111")</f>
        <v>https://opac.libnet.pref.okayama.jp/licsxp-opac/WOpacMsgNewListToTifTilDetailAction.do?tilcod=2002222288111</v>
      </c>
    </row>
    <row r="652" spans="1:9" x14ac:dyDescent="0.4">
      <c r="A652" t="str">
        <f>"おかやま雑筆"</f>
        <v>おかやま雑筆</v>
      </c>
      <c r="B652" s="1" t="str">
        <f t="shared" si="34"/>
        <v>おかやま雑筆</v>
      </c>
      <c r="C652" t="str">
        <f>"オカヤマ　ザッピツ"</f>
        <v>オカヤマ　ザッピツ</v>
      </c>
      <c r="D652" t="str">
        <f>"おかやま雑筆社"</f>
        <v>おかやま雑筆社</v>
      </c>
      <c r="E652" t="str">
        <f>"オカヤマザッピツシャ"</f>
        <v>オカヤマザッピツシャ</v>
      </c>
      <c r="F652" t="str">
        <f>""</f>
        <v/>
      </c>
      <c r="G652" t="str">
        <f>"月刊"</f>
        <v>月刊</v>
      </c>
      <c r="H652" t="str">
        <f>"2002222288121"</f>
        <v>2002222288121</v>
      </c>
      <c r="I652" t="str">
        <f>HYPERLINK("#", "https://opac.libnet.pref.okayama.jp/licsxp-opac/WOpacMsgNewListToTifTilDetailAction.do?tilcod=2002222288121")</f>
        <v>https://opac.libnet.pref.okayama.jp/licsxp-opac/WOpacMsgNewListToTifTilDetailAction.do?tilcod=2002222288121</v>
      </c>
    </row>
    <row r="653" spans="1:9" x14ac:dyDescent="0.4">
      <c r="A653" t="str">
        <f>"おかやまサポステ"</f>
        <v>おかやまサポステ</v>
      </c>
      <c r="B653" s="1" t="str">
        <f t="shared" si="34"/>
        <v>おかやまサポステ</v>
      </c>
      <c r="C653" t="str">
        <f>"オカヤマ サポステ"</f>
        <v>オカヤマ サポステ</v>
      </c>
      <c r="D653" t="str">
        <f>"おかやま地域若者サポートステーション"</f>
        <v>おかやま地域若者サポートステーション</v>
      </c>
      <c r="E653" t="str">
        <f>"オカヤマ チイキ ワカモノ サポート ステーション"</f>
        <v>オカヤマ チイキ ワカモノ サポート ステーション</v>
      </c>
      <c r="F653" t="str">
        <f>""</f>
        <v/>
      </c>
      <c r="G653" t="str">
        <f>"月刊"</f>
        <v>月刊</v>
      </c>
      <c r="H653" t="str">
        <f>"2002222342730"</f>
        <v>2002222342730</v>
      </c>
      <c r="I653" t="str">
        <f>HYPERLINK("#", "https://opac.libnet.pref.okayama.jp/licsxp-opac/WOpacMsgNewListToTifTilDetailAction.do?tilcod=2002222342730")</f>
        <v>https://opac.libnet.pref.okayama.jp/licsxp-opac/WOpacMsgNewListToTifTilDetailAction.do?tilcod=2002222342730</v>
      </c>
    </row>
    <row r="654" spans="1:9" x14ac:dyDescent="0.4">
      <c r="A654" t="str">
        <f>"おかやま産業情報"</f>
        <v>おかやま産業情報</v>
      </c>
      <c r="B654" s="1" t="str">
        <f t="shared" si="34"/>
        <v>おかやま産業情報</v>
      </c>
      <c r="C654" t="str">
        <f>"オカヤマ　サンギョウ　ジョウホウ"</f>
        <v>オカヤマ　サンギョウ　ジョウホウ</v>
      </c>
      <c r="D654" t="str">
        <f>"岡山県産業振興財団"</f>
        <v>岡山県産業振興財団</v>
      </c>
      <c r="E654" t="str">
        <f>"オカヤマケン サンギョウ シンコウ ザイダン"</f>
        <v>オカヤマケン サンギョウ シンコウ ザイダン</v>
      </c>
      <c r="F654" t="str">
        <f>"岡山"</f>
        <v>岡山</v>
      </c>
      <c r="G654" t="str">
        <f>"隔月刊"</f>
        <v>隔月刊</v>
      </c>
      <c r="H654" t="str">
        <f>"2002222286111"</f>
        <v>2002222286111</v>
      </c>
      <c r="I654" t="str">
        <f>HYPERLINK("#", "https://opac.libnet.pref.okayama.jp/licsxp-opac/WOpacMsgNewListToTifTilDetailAction.do?tilcod=2002222286111")</f>
        <v>https://opac.libnet.pref.okayama.jp/licsxp-opac/WOpacMsgNewListToTifTilDetailAction.do?tilcod=2002222286111</v>
      </c>
    </row>
    <row r="655" spans="1:9" x14ac:dyDescent="0.4">
      <c r="A655" t="str">
        <f>"岡山サンケイ新聞"</f>
        <v>岡山サンケイ新聞</v>
      </c>
      <c r="B655" s="1" t="str">
        <f t="shared" si="34"/>
        <v>岡山サンケイ新聞</v>
      </c>
      <c r="C655" t="str">
        <f>"オカヤマ　サンケイ　シンブン"</f>
        <v>オカヤマ　サンケイ　シンブン</v>
      </c>
      <c r="D655" t="str">
        <f>"岡山サンケイ新聞社"</f>
        <v>岡山サンケイ新聞社</v>
      </c>
      <c r="E655" t="str">
        <f>"オカヤマサンケイシンブンシャ"</f>
        <v>オカヤマサンケイシンブンシャ</v>
      </c>
      <c r="F655" t="str">
        <f>"岡山"</f>
        <v>岡山</v>
      </c>
      <c r="G655" t="str">
        <f>"週刊"</f>
        <v>週刊</v>
      </c>
      <c r="H655" t="str">
        <f>"2002222300821"</f>
        <v>2002222300821</v>
      </c>
      <c r="I655" t="str">
        <f>HYPERLINK("#", "https://opac.libnet.pref.okayama.jp/licsxp-opac/WOpacMsgNewListToTifTilDetailAction.do?tilcod=2002222300821")</f>
        <v>https://opac.libnet.pref.okayama.jp/licsxp-opac/WOpacMsgNewListToTifTilDetailAction.do?tilcod=2002222300821</v>
      </c>
    </row>
    <row r="656" spans="1:9" x14ac:dyDescent="0.4">
      <c r="A656" t="str">
        <f>"岡山・サンノゼ・サンホセ・プロブディフ　都市縁組だより"</f>
        <v>岡山・サンノゼ・サンホセ・プロブディフ　都市縁組だより</v>
      </c>
      <c r="B656" s="1" t="str">
        <f t="shared" si="34"/>
        <v>岡山・サンノゼ・サンホセ・プロブディフ　都市縁組だより</v>
      </c>
      <c r="C656" t="str">
        <f>"オカヤマ　サンノゼ　サンホセ　プロブディフ＊トシ　エングミ　ダヨリ　"</f>
        <v>オカヤマ　サンノゼ　サンホセ　プロブディフ＊トシ　エングミ　ダヨリ　</v>
      </c>
      <c r="D656" t="str">
        <f>"岡山国際盟友都市協議会"</f>
        <v>岡山国際盟友都市協議会</v>
      </c>
      <c r="E656" t="str">
        <f>"オカヤマ コクサイ メイユウ トシ キョウギカイ"</f>
        <v>オカヤマ コクサイ メイユウ トシ キョウギカイ</v>
      </c>
      <c r="F656" t="str">
        <f>""</f>
        <v/>
      </c>
      <c r="G656" t="str">
        <f>"頻度不明"</f>
        <v>頻度不明</v>
      </c>
      <c r="H656" t="str">
        <f>"2002222285233"</f>
        <v>2002222285233</v>
      </c>
      <c r="I656" t="str">
        <f>HYPERLINK("#", "https://opac.libnet.pref.okayama.jp/licsxp-opac/WOpacMsgNewListToTifTilDetailAction.do?tilcod=2002222285233")</f>
        <v>https://opac.libnet.pref.okayama.jp/licsxp-opac/WOpacMsgNewListToTifTilDetailAction.do?tilcod=2002222285233</v>
      </c>
    </row>
    <row r="657" spans="1:9" x14ac:dyDescent="0.4">
      <c r="A657" t="str">
        <f>"おかやま山陽高等学校学校案内"</f>
        <v>おかやま山陽高等学校学校案内</v>
      </c>
      <c r="B657" s="1" t="str">
        <f t="shared" si="34"/>
        <v>おかやま山陽高等学校学校案内</v>
      </c>
      <c r="C657" t="str">
        <f>"オカヤマ　サンヨウ　コウトウ　ガッコウ　ガッコウ　アンナイ"</f>
        <v>オカヤマ　サンヨウ　コウトウ　ガッコウ　ガッコウ　アンナイ</v>
      </c>
      <c r="D657" t="str">
        <f>"おかやま山陽高等学校"</f>
        <v>おかやま山陽高等学校</v>
      </c>
      <c r="E657" t="str">
        <f>"オカヤマサンヨウコウトウガッコウ"</f>
        <v>オカヤマサンヨウコウトウガッコウ</v>
      </c>
      <c r="F657" t="str">
        <f>"浅口"</f>
        <v>浅口</v>
      </c>
      <c r="G657" t="str">
        <f>"年刊"</f>
        <v>年刊</v>
      </c>
      <c r="H657" t="str">
        <f>"2002222301273"</f>
        <v>2002222301273</v>
      </c>
      <c r="I657" t="str">
        <f>HYPERLINK("#", "https://opac.libnet.pref.okayama.jp/licsxp-opac/WOpacMsgNewListToTifTilDetailAction.do?tilcod=2002222301273")</f>
        <v>https://opac.libnet.pref.okayama.jp/licsxp-opac/WOpacMsgNewListToTifTilDetailAction.do?tilcod=2002222301273</v>
      </c>
    </row>
    <row r="658" spans="1:9" x14ac:dyDescent="0.4">
      <c r="A658" t="str">
        <f>"おかやま山陽高等学校学校要覧；教育要覧"</f>
        <v>おかやま山陽高等学校学校要覧；教育要覧</v>
      </c>
      <c r="B658" s="1" t="str">
        <f t="shared" si="34"/>
        <v>おかやま山陽高等学校学校要覧；教育要覧</v>
      </c>
      <c r="C658" t="str">
        <f>"オカヤマ　サンヨウ　コウトウ　ガッコウ　ガッコウ　ヨウラン＊キョウイク　ヨウラン"</f>
        <v>オカヤマ　サンヨウ　コウトウ　ガッコウ　ガッコウ　ヨウラン＊キョウイク　ヨウラン</v>
      </c>
      <c r="D658" t="str">
        <f>"おかやま山陽高等学校"</f>
        <v>おかやま山陽高等学校</v>
      </c>
      <c r="E658" t="str">
        <f>"オカヤマサンヨウコウトウガッコウ"</f>
        <v>オカヤマサンヨウコウトウガッコウ</v>
      </c>
      <c r="F658" t="str">
        <f>"鴨方町（浅口郡）"</f>
        <v>鴨方町（浅口郡）</v>
      </c>
      <c r="G658" t="str">
        <f>"年刊"</f>
        <v>年刊</v>
      </c>
      <c r="H658" t="str">
        <f>"2002222300583"</f>
        <v>2002222300583</v>
      </c>
      <c r="I658" t="str">
        <f>HYPERLINK("#", "https://opac.libnet.pref.okayama.jp/licsxp-opac/WOpacMsgNewListToTifTilDetailAction.do?tilcod=2002222300583")</f>
        <v>https://opac.libnet.pref.okayama.jp/licsxp-opac/WOpacMsgNewListToTifTilDetailAction.do?tilcod=2002222300583</v>
      </c>
    </row>
    <row r="659" spans="1:9" x14ac:dyDescent="0.4">
      <c r="A659" t="str">
        <f>"〔おかやま山陽高等学校〕学園だより　さんこう"</f>
        <v>〔おかやま山陽高等学校〕学園だより　さんこう</v>
      </c>
      <c r="B659" s="1" t="str">
        <f t="shared" si="34"/>
        <v>〔おかやま山陽高等学校〕学園だより　さんこう</v>
      </c>
      <c r="C659" t="str">
        <f>"オカヤマ　サンヨウ　コウトウ　ガッコウ＊ガクエン　ダヨリ　サンコウ"</f>
        <v>オカヤマ　サンヨウ　コウトウ　ガッコウ＊ガクエン　ダヨリ　サンコウ</v>
      </c>
      <c r="D659" t="str">
        <f>"おかやま山陽高等学校"</f>
        <v>おかやま山陽高等学校</v>
      </c>
      <c r="E659" t="str">
        <f>"オカヤマサンヨウコウトウガッコウ"</f>
        <v>オカヤマサンヨウコウトウガッコウ</v>
      </c>
      <c r="F659" t="str">
        <f>"浅口"</f>
        <v>浅口</v>
      </c>
      <c r="G659" t="str">
        <f>"頻度不明"</f>
        <v>頻度不明</v>
      </c>
      <c r="H659" t="str">
        <f>"2002222301977"</f>
        <v>2002222301977</v>
      </c>
      <c r="I659" t="str">
        <f>HYPERLINK("#", "https://opac.libnet.pref.okayama.jp/licsxp-opac/WOpacMsgNewListToTifTilDetailAction.do?tilcod=2002222301977")</f>
        <v>https://opac.libnet.pref.okayama.jp/licsxp-opac/WOpacMsgNewListToTifTilDetailAction.do?tilcod=2002222301977</v>
      </c>
    </row>
    <row r="660" spans="1:9" x14ac:dyDescent="0.4">
      <c r="A660" t="str">
        <f>"岡山市旭学区青少年保導協議会会報；あさひ"</f>
        <v>岡山市旭学区青少年保導協議会会報；あさひ</v>
      </c>
      <c r="B660" s="1" t="str">
        <f t="shared" si="34"/>
        <v>岡山市旭学区青少年保導協議会会報；あさひ</v>
      </c>
      <c r="C660" t="str">
        <f>"オカヤマ シ アサヒ ガック セイショウネン ホドウ キョウギカイ カイホウ アサヒ"</f>
        <v>オカヤマ シ アサヒ ガック セイショウネン ホドウ キョウギカイ カイホウ アサヒ</v>
      </c>
      <c r="D660" t="str">
        <f>"岡山市旭学区青少年保導協議会"</f>
        <v>岡山市旭学区青少年保導協議会</v>
      </c>
      <c r="E660" t="str">
        <f>"オカヤマシセイショウネンホドウキョウギカイ"</f>
        <v>オカヤマシセイショウネンホドウキョウギカイ</v>
      </c>
      <c r="F660" t="str">
        <f t="shared" ref="F660:F666" si="35">"岡山"</f>
        <v>岡山</v>
      </c>
      <c r="G660" t="str">
        <f>"年３回刊"</f>
        <v>年３回刊</v>
      </c>
      <c r="H660" t="str">
        <f>"2002222338111"</f>
        <v>2002222338111</v>
      </c>
      <c r="I660" t="str">
        <f>HYPERLINK("#", "https://opac.libnet.pref.okayama.jp/licsxp-opac/WOpacMsgNewListToTifTilDetailAction.do?tilcod=2002222338111")</f>
        <v>https://opac.libnet.pref.okayama.jp/licsxp-opac/WOpacMsgNewListToTifTilDetailAction.do?tilcod=2002222338111</v>
      </c>
    </row>
    <row r="661" spans="1:9" x14ac:dyDescent="0.4">
      <c r="A661" t="str">
        <f>"岡山市中央地区青少年保導協議会会報；たんぽぽ"</f>
        <v>岡山市中央地区青少年保導協議会会報；たんぽぽ</v>
      </c>
      <c r="B661" s="1" t="str">
        <f t="shared" si="34"/>
        <v>岡山市中央地区青少年保導協議会会報；たんぽぽ</v>
      </c>
      <c r="C661" t="str">
        <f>"オカヤマ シ チュウオウ チク セイショウネン ホドウ キョウギカイ カイホウ タンポポ"</f>
        <v>オカヤマ シ チュウオウ チク セイショウネン ホドウ キョウギカイ カイホウ タンポポ</v>
      </c>
      <c r="D661" t="str">
        <f>"岡山市中央地区青少年保導協議会"</f>
        <v>岡山市中央地区青少年保導協議会</v>
      </c>
      <c r="E661" t="str">
        <f>"オカヤマ シ チュウオウ チク セイショウネン ホドウ キョウギカイ"</f>
        <v>オカヤマ シ チュウオウ チク セイショウネン ホドウ キョウギカイ</v>
      </c>
      <c r="F661" t="str">
        <f t="shared" si="35"/>
        <v>岡山</v>
      </c>
      <c r="G661" t="str">
        <f>"頻度不明"</f>
        <v>頻度不明</v>
      </c>
      <c r="H661" t="str">
        <f>"2002222339591"</f>
        <v>2002222339591</v>
      </c>
      <c r="I661" t="str">
        <f>HYPERLINK("#", "https://opac.libnet.pref.okayama.jp/licsxp-opac/WOpacMsgNewListToTifTilDetailAction.do?tilcod=2002222339591")</f>
        <v>https://opac.libnet.pref.okayama.jp/licsxp-opac/WOpacMsgNewListToTifTilDetailAction.do?tilcod=2002222339591</v>
      </c>
    </row>
    <row r="662" spans="1:9" x14ac:dyDescent="0.4">
      <c r="A662" t="str">
        <f>"岡山ジェイセスニュース"</f>
        <v>岡山ジェイセスニュース</v>
      </c>
      <c r="B662" s="1" t="str">
        <f t="shared" si="34"/>
        <v>岡山ジェイセスニュース</v>
      </c>
      <c r="C662" t="str">
        <f>"オカヤマ　ジェイセス　ニュース"</f>
        <v>オカヤマ　ジェイセス　ニュース</v>
      </c>
      <c r="D662" t="str">
        <f>"岡山日米文化協会"</f>
        <v>岡山日米文化協会</v>
      </c>
      <c r="E662" t="str">
        <f>"オカヤマニチベイブンカキョウカイ"</f>
        <v>オカヤマニチベイブンカキョウカイ</v>
      </c>
      <c r="F662" t="str">
        <f t="shared" si="35"/>
        <v>岡山</v>
      </c>
      <c r="G662" t="str">
        <f>"年２回刊"</f>
        <v>年２回刊</v>
      </c>
      <c r="H662" t="str">
        <f>"2002222292121"</f>
        <v>2002222292121</v>
      </c>
      <c r="I662" t="str">
        <f>HYPERLINK("#", "https://opac.libnet.pref.okayama.jp/licsxp-opac/WOpacMsgNewListToTifTilDetailAction.do?tilcod=2002222292121")</f>
        <v>https://opac.libnet.pref.okayama.jp/licsxp-opac/WOpacMsgNewListToTifTilDetailAction.do?tilcod=2002222292121</v>
      </c>
    </row>
    <row r="663" spans="1:9" x14ac:dyDescent="0.4">
      <c r="A663" t="str">
        <f>"岡山支援学校学校案内"</f>
        <v>岡山支援学校学校案内</v>
      </c>
      <c r="B663" s="1" t="str">
        <f t="shared" si="34"/>
        <v>岡山支援学校学校案内</v>
      </c>
      <c r="C663" t="str">
        <f>"オカヤマ シエン ガッコウ ガッコウ アンナイ"</f>
        <v>オカヤマ シエン ガッコウ ガッコウ アンナイ</v>
      </c>
      <c r="D663" t="str">
        <f>"岡山支援学校"</f>
        <v>岡山支援学校</v>
      </c>
      <c r="E663" t="str">
        <f>"オカヤマシエンガッコウ"</f>
        <v>オカヤマシエンガッコウ</v>
      </c>
      <c r="F663" t="str">
        <f t="shared" si="35"/>
        <v>岡山</v>
      </c>
      <c r="G663" t="str">
        <f>"年刊"</f>
        <v>年刊</v>
      </c>
      <c r="H663" t="str">
        <f>"2002222311908"</f>
        <v>2002222311908</v>
      </c>
      <c r="I663" t="str">
        <f>HYPERLINK("#", "https://opac.libnet.pref.okayama.jp/licsxp-opac/WOpacMsgNewListToTifTilDetailAction.do?tilcod=2002222311908")</f>
        <v>https://opac.libnet.pref.okayama.jp/licsxp-opac/WOpacMsgNewListToTifTilDetailAction.do?tilcod=2002222311908</v>
      </c>
    </row>
    <row r="664" spans="1:9" x14ac:dyDescent="0.4">
      <c r="A664" t="str">
        <f>"岡山支援学校学校要覧"</f>
        <v>岡山支援学校学校要覧</v>
      </c>
      <c r="B664" s="1" t="str">
        <f t="shared" si="34"/>
        <v>岡山支援学校学校要覧</v>
      </c>
      <c r="C664" t="str">
        <f>"オカヤマ シエン ガッコウ ガッコウ ヨウラン"</f>
        <v>オカヤマ シエン ガッコウ ガッコウ ヨウラン</v>
      </c>
      <c r="D664" t="str">
        <f>"岡山支援学校"</f>
        <v>岡山支援学校</v>
      </c>
      <c r="E664" t="str">
        <f>"オカヤマシエンガッコウ"</f>
        <v>オカヤマシエンガッコウ</v>
      </c>
      <c r="F664" t="str">
        <f t="shared" si="35"/>
        <v>岡山</v>
      </c>
      <c r="G664" t="str">
        <f>"年刊"</f>
        <v>年刊</v>
      </c>
      <c r="H664" t="str">
        <f>"2002222311907"</f>
        <v>2002222311907</v>
      </c>
      <c r="I664" t="str">
        <f>HYPERLINK("#", "https://opac.libnet.pref.okayama.jp/licsxp-opac/WOpacMsgNewListToTifTilDetailAction.do?tilcod=2002222311907")</f>
        <v>https://opac.libnet.pref.okayama.jp/licsxp-opac/WOpacMsgNewListToTifTilDetailAction.do?tilcod=2002222311907</v>
      </c>
    </row>
    <row r="665" spans="1:9" x14ac:dyDescent="0.4">
      <c r="A665" t="str">
        <f>"岡山支援学校わかたけ"</f>
        <v>岡山支援学校わかたけ</v>
      </c>
      <c r="B665" s="1" t="str">
        <f t="shared" si="34"/>
        <v>岡山支援学校わかたけ</v>
      </c>
      <c r="C665" t="str">
        <f>"オカヤマ　シエン　ガッコウ　ワカタケ"</f>
        <v>オカヤマ　シエン　ガッコウ　ワカタケ</v>
      </c>
      <c r="D665" t="str">
        <f>"岡山支援学校"</f>
        <v>岡山支援学校</v>
      </c>
      <c r="E665" t="str">
        <f>"オカヤマシエンガッコウ"</f>
        <v>オカヤマシエンガッコウ</v>
      </c>
      <c r="F665" t="str">
        <f t="shared" si="35"/>
        <v>岡山</v>
      </c>
      <c r="G665" t="str">
        <f>"年３回刊"</f>
        <v>年３回刊</v>
      </c>
      <c r="H665" t="str">
        <f>"2002222302281"</f>
        <v>2002222302281</v>
      </c>
      <c r="I665" t="str">
        <f>HYPERLINK("#", "https://opac.libnet.pref.okayama.jp/licsxp-opac/WOpacMsgNewListToTifTilDetailAction.do?tilcod=2002222302281")</f>
        <v>https://opac.libnet.pref.okayama.jp/licsxp-opac/WOpacMsgNewListToTifTilDetailAction.do?tilcod=2002222302281</v>
      </c>
    </row>
    <row r="666" spans="1:9" x14ac:dyDescent="0.4">
      <c r="A666" t="str">
        <f>"[岡山支援学校]実践研究のあゆみ"</f>
        <v>[岡山支援学校]実践研究のあゆみ</v>
      </c>
      <c r="B666" s="1" t="str">
        <f t="shared" si="34"/>
        <v>[岡山支援学校]実践研究のあゆみ</v>
      </c>
      <c r="C666" t="str">
        <f>"オカヤマ シエン ガッコウ＊ジッセン ケンキュウ ノ アユミ"</f>
        <v>オカヤマ シエン ガッコウ＊ジッセン ケンキュウ ノ アユミ</v>
      </c>
      <c r="D666" t="str">
        <f>"岡山支援学校"</f>
        <v>岡山支援学校</v>
      </c>
      <c r="E666" t="str">
        <f>"オカヤマシエンガッコウ"</f>
        <v>オカヤマシエンガッコウ</v>
      </c>
      <c r="F666" t="str">
        <f t="shared" si="35"/>
        <v>岡山</v>
      </c>
      <c r="G666" t="str">
        <f>"年刊"</f>
        <v>年刊</v>
      </c>
      <c r="H666" t="str">
        <f>"2002222311986"</f>
        <v>2002222311986</v>
      </c>
      <c r="I666" t="str">
        <f>HYPERLINK("#", "https://opac.libnet.pref.okayama.jp/licsxp-opac/WOpacMsgNewListToTifTilDetailAction.do?tilcod=2002222311986")</f>
        <v>https://opac.libnet.pref.okayama.jp/licsxp-opac/WOpacMsgNewListToTifTilDetailAction.do?tilcod=2002222311986</v>
      </c>
    </row>
    <row r="667" spans="1:9" x14ac:dyDescent="0.4">
      <c r="A667" t="str">
        <f>"岡山史学"</f>
        <v>岡山史学</v>
      </c>
      <c r="B667" s="1" t="str">
        <f t="shared" si="34"/>
        <v>岡山史学</v>
      </c>
      <c r="C667" t="str">
        <f>"オカヤマ　シガク"</f>
        <v>オカヤマ　シガク</v>
      </c>
      <c r="D667" t="str">
        <f>"岡山史学会"</f>
        <v>岡山史学会</v>
      </c>
      <c r="E667" t="str">
        <f>"オカヤマシガクカイ"</f>
        <v>オカヤマシガクカイ</v>
      </c>
      <c r="F667" t="str">
        <f>""</f>
        <v/>
      </c>
      <c r="G667" t="str">
        <f>"頻度不明"</f>
        <v>頻度不明</v>
      </c>
      <c r="H667" t="str">
        <f>"2002222288131"</f>
        <v>2002222288131</v>
      </c>
      <c r="I667" t="str">
        <f>HYPERLINK("#", "https://opac.libnet.pref.okayama.jp/licsxp-opac/WOpacMsgNewListToTifTilDetailAction.do?tilcod=2002222288131")</f>
        <v>https://opac.libnet.pref.okayama.jp/licsxp-opac/WOpacMsgNewListToTifTilDetailAction.do?tilcod=2002222288131</v>
      </c>
    </row>
    <row r="668" spans="1:9" x14ac:dyDescent="0.4">
      <c r="A668" t="str">
        <f>"岡山市議会だより"</f>
        <v>岡山市議会だより</v>
      </c>
      <c r="B668" s="1" t="str">
        <f t="shared" si="34"/>
        <v>岡山市議会だより</v>
      </c>
      <c r="C668" t="str">
        <f>"オカヤマ　シギカイ　ダヨリ"</f>
        <v>オカヤマ　シギカイ　ダヨリ</v>
      </c>
      <c r="D668" t="str">
        <f>"岡山市議会"</f>
        <v>岡山市議会</v>
      </c>
      <c r="E668" t="str">
        <f>"オカヤマシギカイ"</f>
        <v>オカヤマシギカイ</v>
      </c>
      <c r="F668" t="str">
        <f>"岡山"</f>
        <v>岡山</v>
      </c>
      <c r="G668" t="str">
        <f>"季刊"</f>
        <v>季刊</v>
      </c>
      <c r="H668" t="str">
        <f>"2002222280991"</f>
        <v>2002222280991</v>
      </c>
      <c r="I668" t="str">
        <f>HYPERLINK("#", "https://opac.libnet.pref.okayama.jp/licsxp-opac/WOpacMsgNewListToTifTilDetailAction.do?tilcod=2002222280991")</f>
        <v>https://opac.libnet.pref.okayama.jp/licsxp-opac/WOpacMsgNewListToTifTilDetailAction.do?tilcod=2002222280991</v>
      </c>
    </row>
    <row r="669" spans="1:9" x14ac:dyDescent="0.4">
      <c r="A669" t="str">
        <f>"岡山私教連"</f>
        <v>岡山私教連</v>
      </c>
      <c r="B669" s="1" t="str">
        <f t="shared" si="34"/>
        <v>岡山私教連</v>
      </c>
      <c r="C669" t="str">
        <f>"オカヤマ　シキョウレン"</f>
        <v>オカヤマ　シキョウレン</v>
      </c>
      <c r="D669" t="str">
        <f>"岡山県私立学校教職員組合連合書記局"</f>
        <v>岡山県私立学校教職員組合連合書記局</v>
      </c>
      <c r="E669" t="str">
        <f>"オカヤマケンシリツガッコウキョウショクインクミアイレンゴウショキキョク"</f>
        <v>オカヤマケンシリツガッコウキョウショクインクミアイレンゴウショキキョク</v>
      </c>
      <c r="F669" t="str">
        <f>""</f>
        <v/>
      </c>
      <c r="G669" t="str">
        <f>"頻度不明"</f>
        <v>頻度不明</v>
      </c>
      <c r="H669" t="str">
        <f>"2002222288151"</f>
        <v>2002222288151</v>
      </c>
      <c r="I669" t="str">
        <f>HYPERLINK("#", "https://opac.libnet.pref.okayama.jp/licsxp-opac/WOpacMsgNewListToTifTilDetailAction.do?tilcod=2002222288151")</f>
        <v>https://opac.libnet.pref.okayama.jp/licsxp-opac/WOpacMsgNewListToTifTilDetailAction.do?tilcod=2002222288151</v>
      </c>
    </row>
    <row r="670" spans="1:9" x14ac:dyDescent="0.4">
      <c r="A670" t="str">
        <f>"岡山市政だより"</f>
        <v>岡山市政だより</v>
      </c>
      <c r="B670" s="1" t="str">
        <f t="shared" si="34"/>
        <v>岡山市政だより</v>
      </c>
      <c r="C670" t="str">
        <f>"オカヤマ　シセイ　ダヨリ"</f>
        <v>オカヤマ　シセイ　ダヨリ</v>
      </c>
      <c r="D670" t="str">
        <f>"岡山市"</f>
        <v>岡山市</v>
      </c>
      <c r="E670" t="str">
        <f>"オカヤマシ"</f>
        <v>オカヤマシ</v>
      </c>
      <c r="F670" t="str">
        <f>"岡山"</f>
        <v>岡山</v>
      </c>
      <c r="G670" t="str">
        <f>"月２回刊"</f>
        <v>月２回刊</v>
      </c>
      <c r="H670" t="str">
        <f>"2002222301588"</f>
        <v>2002222301588</v>
      </c>
      <c r="I670" t="str">
        <f>HYPERLINK("#", "https://opac.libnet.pref.okayama.jp/licsxp-opac/WOpacMsgNewListToTifTilDetailAction.do?tilcod=2002222301588")</f>
        <v>https://opac.libnet.pref.okayama.jp/licsxp-opac/WOpacMsgNewListToTifTilDetailAction.do?tilcod=2002222301588</v>
      </c>
    </row>
    <row r="671" spans="1:9" x14ac:dyDescent="0.4">
      <c r="A671" t="str">
        <f>"岡山市政の今日と明日"</f>
        <v>岡山市政の今日と明日</v>
      </c>
      <c r="B671" s="1" t="str">
        <f t="shared" si="34"/>
        <v>岡山市政の今日と明日</v>
      </c>
      <c r="C671" t="str">
        <f>"オカヤマ　シセイ　ノ　キョウ　ト　アス"</f>
        <v>オカヤマ　シセイ　ノ　キョウ　ト　アス</v>
      </c>
      <c r="D671" t="str">
        <f>"岡山市職員労働組合自治研推進委員会"</f>
        <v>岡山市職員労働組合自治研推進委員会</v>
      </c>
      <c r="E671" t="str">
        <f>"オカヤマシ ショクイン ロウドウ クミアイ ジチケン スイシン イインカイ"</f>
        <v>オカヤマシ ショクイン ロウドウ クミアイ ジチケン スイシン イインカイ</v>
      </c>
      <c r="F671" t="str">
        <f>"岡山"</f>
        <v>岡山</v>
      </c>
      <c r="G671" t="str">
        <f>"月刊"</f>
        <v>月刊</v>
      </c>
      <c r="H671" t="str">
        <f>"2002222292131"</f>
        <v>2002222292131</v>
      </c>
      <c r="I671" t="str">
        <f>HYPERLINK("#", "https://opac.libnet.pref.okayama.jp/licsxp-opac/WOpacMsgNewListToTifTilDetailAction.do?tilcod=2002222292131")</f>
        <v>https://opac.libnet.pref.okayama.jp/licsxp-opac/WOpacMsgNewListToTifTilDetailAction.do?tilcod=2002222292131</v>
      </c>
    </row>
    <row r="672" spans="1:9" x14ac:dyDescent="0.4">
      <c r="A672" t="str">
        <f>"岡山史談"</f>
        <v>岡山史談</v>
      </c>
      <c r="B672" s="1" t="str">
        <f t="shared" si="34"/>
        <v>岡山史談</v>
      </c>
      <c r="C672" t="str">
        <f>"オカヤマ　シダン"</f>
        <v>オカヤマ　シダン</v>
      </c>
      <c r="D672" t="str">
        <f>"岡山史談会"</f>
        <v>岡山史談会</v>
      </c>
      <c r="E672" t="str">
        <f>"オカヤマシダンカイ"</f>
        <v>オカヤマシダンカイ</v>
      </c>
      <c r="F672" t="str">
        <f>""</f>
        <v/>
      </c>
      <c r="G672" t="str">
        <f>"頻度不明"</f>
        <v>頻度不明</v>
      </c>
      <c r="H672" t="str">
        <f>"2002222288201"</f>
        <v>2002222288201</v>
      </c>
      <c r="I672" t="str">
        <f>HYPERLINK("#", "https://opac.libnet.pref.okayama.jp/licsxp-opac/WOpacMsgNewListToTifTilDetailAction.do?tilcod=2002222288201")</f>
        <v>https://opac.libnet.pref.okayama.jp/licsxp-opac/WOpacMsgNewListToTifTilDetailAction.do?tilcod=2002222288201</v>
      </c>
    </row>
    <row r="673" spans="1:9" x14ac:dyDescent="0.4">
      <c r="A673" t="str">
        <f>"岡山自治体学会会報"</f>
        <v>岡山自治体学会会報</v>
      </c>
      <c r="B673" s="1" t="str">
        <f t="shared" si="34"/>
        <v>岡山自治体学会会報</v>
      </c>
      <c r="C673" t="str">
        <f>"オカヤマ　ジチタイ　ガッカイ　カイホウ"</f>
        <v>オカヤマ　ジチタイ　ガッカイ　カイホウ</v>
      </c>
      <c r="D673" t="str">
        <f>"岡山自治体学会"</f>
        <v>岡山自治体学会</v>
      </c>
      <c r="E673" t="str">
        <f>"オカヤマジチタイガッカイ"</f>
        <v>オカヤマジチタイガッカイ</v>
      </c>
      <c r="F673" t="str">
        <f>""</f>
        <v/>
      </c>
      <c r="G673" t="str">
        <f>"不定期刊"</f>
        <v>不定期刊</v>
      </c>
      <c r="H673" t="str">
        <f>"2002222300442"</f>
        <v>2002222300442</v>
      </c>
      <c r="I673" t="str">
        <f>HYPERLINK("#", "https://opac.libnet.pref.okayama.jp/licsxp-opac/WOpacMsgNewListToTifTilDetailAction.do?tilcod=2002222300442")</f>
        <v>https://opac.libnet.pref.okayama.jp/licsxp-opac/WOpacMsgNewListToTifTilDetailAction.do?tilcod=2002222300442</v>
      </c>
    </row>
    <row r="674" spans="1:9" x14ac:dyDescent="0.4">
      <c r="A674" t="str">
        <f>"岡山児童学会雑誌"</f>
        <v>岡山児童学会雑誌</v>
      </c>
      <c r="B674" s="1" t="str">
        <f t="shared" si="34"/>
        <v>岡山児童学会雑誌</v>
      </c>
      <c r="C674" t="str">
        <f>"オカヤマ　ジドウ　ガッカイ　ザッシ"</f>
        <v>オカヤマ　ジドウ　ガッカイ　ザッシ</v>
      </c>
      <c r="D674" t="str">
        <f>"岡山児童学会"</f>
        <v>岡山児童学会</v>
      </c>
      <c r="E674" t="str">
        <f>"オカヤマジドウガッカイ"</f>
        <v>オカヤマジドウガッカイ</v>
      </c>
      <c r="F674" t="str">
        <f>""</f>
        <v/>
      </c>
      <c r="G674" t="str">
        <f>"頻度不明"</f>
        <v>頻度不明</v>
      </c>
      <c r="H674" t="str">
        <f>"2002222288211"</f>
        <v>2002222288211</v>
      </c>
      <c r="I674" t="str">
        <f>HYPERLINK("#", "https://opac.libnet.pref.okayama.jp/licsxp-opac/WOpacMsgNewListToTifTilDetailAction.do?tilcod=2002222288211")</f>
        <v>https://opac.libnet.pref.okayama.jp/licsxp-opac/WOpacMsgNewListToTifTilDetailAction.do?tilcod=2002222288211</v>
      </c>
    </row>
    <row r="675" spans="1:9" x14ac:dyDescent="0.4">
      <c r="A675" t="str">
        <f>"岡山児童文学"</f>
        <v>岡山児童文学</v>
      </c>
      <c r="B675" s="1" t="str">
        <f t="shared" si="34"/>
        <v>岡山児童文学</v>
      </c>
      <c r="C675" t="str">
        <f>"オカヤマ　ジドウ　ブンガク"</f>
        <v>オカヤマ　ジドウ　ブンガク</v>
      </c>
      <c r="D675" t="str">
        <f>"岡山児童文学研究会"</f>
        <v>岡山児童文学研究会</v>
      </c>
      <c r="E675" t="str">
        <f>"オカヤマジドウブンガクケンキュウカイ"</f>
        <v>オカヤマジドウブンガクケンキュウカイ</v>
      </c>
      <c r="F675" t="str">
        <f>""</f>
        <v/>
      </c>
      <c r="G675" t="str">
        <f>"頻度不明"</f>
        <v>頻度不明</v>
      </c>
      <c r="H675" t="str">
        <f>"2002222288221"</f>
        <v>2002222288221</v>
      </c>
      <c r="I675" t="str">
        <f>HYPERLINK("#", "https://opac.libnet.pref.okayama.jp/licsxp-opac/WOpacMsgNewListToTifTilDetailAction.do?tilcod=2002222288221")</f>
        <v>https://opac.libnet.pref.okayama.jp/licsxp-opac/WOpacMsgNewListToTifTilDetailAction.do?tilcod=2002222288221</v>
      </c>
    </row>
    <row r="676" spans="1:9" x14ac:dyDescent="0.4">
      <c r="A676" t="str">
        <f>"岡山児童文学"</f>
        <v>岡山児童文学</v>
      </c>
      <c r="B676" s="1" t="str">
        <f t="shared" si="34"/>
        <v>岡山児童文学</v>
      </c>
      <c r="C676" t="str">
        <f>"オカヤマ　ジドウ　ブンガク"</f>
        <v>オカヤマ　ジドウ　ブンガク</v>
      </c>
      <c r="D676" t="str">
        <f>"岡山児童文学会"</f>
        <v>岡山児童文学会</v>
      </c>
      <c r="E676" t="str">
        <f>"オカヤマ ジドウ ブンガクカイ"</f>
        <v>オカヤマ ジドウ ブンガクカイ</v>
      </c>
      <c r="F676" t="str">
        <f>""</f>
        <v/>
      </c>
      <c r="G676" t="str">
        <f>"頻度不明"</f>
        <v>頻度不明</v>
      </c>
      <c r="H676" t="str">
        <f>"2002222288231"</f>
        <v>2002222288231</v>
      </c>
      <c r="I676" t="str">
        <f>HYPERLINK("#", "https://opac.libnet.pref.okayama.jp/licsxp-opac/WOpacMsgNewListToTifTilDetailAction.do?tilcod=2002222288231")</f>
        <v>https://opac.libnet.pref.okayama.jp/licsxp-opac/WOpacMsgNewListToTifTilDetailAction.do?tilcod=2002222288231</v>
      </c>
    </row>
    <row r="677" spans="1:9" x14ac:dyDescent="0.4">
      <c r="A677" t="str">
        <f>"岡山市報"</f>
        <v>岡山市報</v>
      </c>
      <c r="B677" s="1" t="str">
        <f t="shared" si="34"/>
        <v>岡山市報</v>
      </c>
      <c r="C677" t="str">
        <f>"オカヤマ　シホウ"</f>
        <v>オカヤマ　シホウ</v>
      </c>
      <c r="D677" t="str">
        <f>"岡山市"</f>
        <v>岡山市</v>
      </c>
      <c r="E677" t="str">
        <f>"オカヤマシ"</f>
        <v>オカヤマシ</v>
      </c>
      <c r="F677" t="str">
        <f>"岡山"</f>
        <v>岡山</v>
      </c>
      <c r="G677" t="str">
        <f>"月２回刊"</f>
        <v>月２回刊</v>
      </c>
      <c r="H677" t="str">
        <f>"2002222301587"</f>
        <v>2002222301587</v>
      </c>
      <c r="I677" t="str">
        <f>HYPERLINK("#", "https://opac.libnet.pref.okayama.jp/licsxp-opac/WOpacMsgNewListToTifTilDetailAction.do?tilcod=2002222301587")</f>
        <v>https://opac.libnet.pref.okayama.jp/licsxp-opac/WOpacMsgNewListToTifTilDetailAction.do?tilcod=2002222301587</v>
      </c>
    </row>
    <row r="678" spans="1:9" x14ac:dyDescent="0.4">
      <c r="A678" t="str">
        <f>"岡山時報"</f>
        <v>岡山時報</v>
      </c>
      <c r="B678" s="1" t="str">
        <f t="shared" si="34"/>
        <v>岡山時報</v>
      </c>
      <c r="C678" t="str">
        <f>"オカヤマ　ジホウ"</f>
        <v>オカヤマ　ジホウ</v>
      </c>
      <c r="D678" t="str">
        <f>"岡山時報社"</f>
        <v>岡山時報社</v>
      </c>
      <c r="E678" t="str">
        <f>"オカヤマジホウシャ"</f>
        <v>オカヤマジホウシャ</v>
      </c>
      <c r="F678" t="str">
        <f>"岡山"</f>
        <v>岡山</v>
      </c>
      <c r="G678" t="str">
        <f>"頻度不明"</f>
        <v>頻度不明</v>
      </c>
      <c r="H678" t="str">
        <f>"2002222300822"</f>
        <v>2002222300822</v>
      </c>
      <c r="I678" t="str">
        <f>HYPERLINK("#", "https://opac.libnet.pref.okayama.jp/licsxp-opac/WOpacMsgNewListToTifTilDetailAction.do?tilcod=2002222300822")</f>
        <v>https://opac.libnet.pref.okayama.jp/licsxp-opac/WOpacMsgNewListToTifTilDetailAction.do?tilcod=2002222300822</v>
      </c>
    </row>
    <row r="679" spans="1:9" x14ac:dyDescent="0.4">
      <c r="A679" t="str">
        <f>"岡山市民会館イベントガイド"</f>
        <v>岡山市民会館イベントガイド</v>
      </c>
      <c r="B679" s="1" t="str">
        <f t="shared" si="34"/>
        <v>岡山市民会館イベントガイド</v>
      </c>
      <c r="C679" t="str">
        <f>"オカヤマ シミン カイカン イベント ガイド"</f>
        <v>オカヤマ シミン カイカン イベント ガイド</v>
      </c>
      <c r="D679" t="str">
        <f>"岡山市民会館"</f>
        <v>岡山市民会館</v>
      </c>
      <c r="E679" t="str">
        <f>"オカヤマ シミン カイカン"</f>
        <v>オカヤマ シミン カイカン</v>
      </c>
      <c r="F679" t="str">
        <f>""</f>
        <v/>
      </c>
      <c r="G679" t="str">
        <f>"月刊"</f>
        <v>月刊</v>
      </c>
      <c r="H679" t="str">
        <f>"2002222308726"</f>
        <v>2002222308726</v>
      </c>
      <c r="I679" t="str">
        <f>HYPERLINK("#", "https://opac.libnet.pref.okayama.jp/licsxp-opac/WOpacMsgNewListToTifTilDetailAction.do?tilcod=2002222308726")</f>
        <v>https://opac.libnet.pref.okayama.jp/licsxp-opac/WOpacMsgNewListToTifTilDetailAction.do?tilcod=2002222308726</v>
      </c>
    </row>
    <row r="680" spans="1:9" x14ac:dyDescent="0.4">
      <c r="A680" t="str">
        <f>"〔岡山市民会館〕催物ご案内"</f>
        <v>〔岡山市民会館〕催物ご案内</v>
      </c>
      <c r="B680" s="1" t="str">
        <f t="shared" si="34"/>
        <v>〔岡山市民会館〕催物ご案内</v>
      </c>
      <c r="C680" t="str">
        <f>"オカヤマ　シミン　カイカン　モヨオシモノ　ゴアンナイ"</f>
        <v>オカヤマ　シミン　カイカン　モヨオシモノ　ゴアンナイ</v>
      </c>
      <c r="D680" t="str">
        <f>"岡山市民会館"</f>
        <v>岡山市民会館</v>
      </c>
      <c r="E680" t="str">
        <f>"オカヤマシミンカイカン"</f>
        <v>オカヤマシミンカイカン</v>
      </c>
      <c r="F680" t="str">
        <f t="shared" ref="F680:F685" si="36">"岡山"</f>
        <v>岡山</v>
      </c>
      <c r="G680" t="str">
        <f>"月刊"</f>
        <v>月刊</v>
      </c>
      <c r="H680" t="str">
        <f>"2002222293791"</f>
        <v>2002222293791</v>
      </c>
      <c r="I680" t="str">
        <f>HYPERLINK("#", "https://opac.libnet.pref.okayama.jp/licsxp-opac/WOpacMsgNewListToTifTilDetailAction.do?tilcod=2002222293791")</f>
        <v>https://opac.libnet.pref.okayama.jp/licsxp-opac/WOpacMsgNewListToTifTilDetailAction.do?tilcod=2002222293791</v>
      </c>
    </row>
    <row r="681" spans="1:9" x14ac:dyDescent="0.4">
      <c r="A681" t="str">
        <f>"岡山市民と議会"</f>
        <v>岡山市民と議会</v>
      </c>
      <c r="B681" s="1" t="str">
        <f t="shared" si="34"/>
        <v>岡山市民と議会</v>
      </c>
      <c r="C681" t="str">
        <f>"オカヤマ　シミン　ト　ギカイ"</f>
        <v>オカヤマ　シミン　ト　ギカイ</v>
      </c>
      <c r="D681" t="str">
        <f>"上岡正己後援会／藤原尭後援会"</f>
        <v>上岡正己後援会／藤原尭後援会</v>
      </c>
      <c r="E681" t="str">
        <f>"ウエオカマサキコウエンカイフジワラタカシコウエンカイ"</f>
        <v>ウエオカマサキコウエンカイフジワラタカシコウエンカイ</v>
      </c>
      <c r="F681" t="str">
        <f t="shared" si="36"/>
        <v>岡山</v>
      </c>
      <c r="G681" t="str">
        <f>"頻度不明"</f>
        <v>頻度不明</v>
      </c>
      <c r="H681" t="str">
        <f>"2002222300825"</f>
        <v>2002222300825</v>
      </c>
      <c r="I681" t="str">
        <f>HYPERLINK("#", "https://opac.libnet.pref.okayama.jp/licsxp-opac/WOpacMsgNewListToTifTilDetailAction.do?tilcod=2002222300825")</f>
        <v>https://opac.libnet.pref.okayama.jp/licsxp-opac/WOpacMsgNewListToTifTilDetailAction.do?tilcod=2002222300825</v>
      </c>
    </row>
    <row r="682" spans="1:9" x14ac:dyDescent="0.4">
      <c r="A682" t="str">
        <f>"岡山市民病院だより"</f>
        <v>岡山市民病院だより</v>
      </c>
      <c r="B682" s="1" t="str">
        <f t="shared" si="34"/>
        <v>岡山市民病院だより</v>
      </c>
      <c r="C682" t="str">
        <f>"オカヤマ　シミン　ビョウイン　ダヨリ"</f>
        <v>オカヤマ　シミン　ビョウイン　ダヨリ</v>
      </c>
      <c r="D682" t="str">
        <f>"総合病院岡山市立市民病院"</f>
        <v>総合病院岡山市立市民病院</v>
      </c>
      <c r="E682" t="str">
        <f>"ソウゴウビョウインオカヤマシリツシミンビョウイン"</f>
        <v>ソウゴウビョウインオカヤマシリツシミンビョウイン</v>
      </c>
      <c r="F682" t="str">
        <f t="shared" si="36"/>
        <v>岡山</v>
      </c>
      <c r="G682" t="str">
        <f>"頻度不明"</f>
        <v>頻度不明</v>
      </c>
      <c r="H682" t="str">
        <f>"2002222302327"</f>
        <v>2002222302327</v>
      </c>
      <c r="I682" t="str">
        <f>HYPERLINK("#", "https://opac.libnet.pref.okayama.jp/licsxp-opac/WOpacMsgNewListToTifTilDetailAction.do?tilcod=2002222302327")</f>
        <v>https://opac.libnet.pref.okayama.jp/licsxp-opac/WOpacMsgNewListToTifTilDetailAction.do?tilcod=2002222302327</v>
      </c>
    </row>
    <row r="683" spans="1:9" x14ac:dyDescent="0.4">
      <c r="A683" t="str">
        <f>"〔岡山市民会館〕ＥＶＥＮＴ（岡山市民会館イベント）"</f>
        <v>〔岡山市民会館〕ＥＶＥＮＴ（岡山市民会館イベント）</v>
      </c>
      <c r="B683" s="1" t="str">
        <f t="shared" si="34"/>
        <v>〔岡山市民会館〕ＥＶＥＮＴ（岡山市民会館イベント）</v>
      </c>
      <c r="C683" t="str">
        <f>"オカヤマ　シミンカイカン　イベント"</f>
        <v>オカヤマ　シミンカイカン　イベント</v>
      </c>
      <c r="D683" t="str">
        <f>"岡山市民会館"</f>
        <v>岡山市民会館</v>
      </c>
      <c r="E683" t="str">
        <f>"オカヤマシミンカイカン"</f>
        <v>オカヤマシミンカイカン</v>
      </c>
      <c r="F683" t="str">
        <f t="shared" si="36"/>
        <v>岡山</v>
      </c>
      <c r="G683" t="str">
        <f>"月刊"</f>
        <v>月刊</v>
      </c>
      <c r="H683" t="str">
        <f>"2002222301541"</f>
        <v>2002222301541</v>
      </c>
      <c r="I683" t="str">
        <f>HYPERLINK("#", "https://opac.libnet.pref.okayama.jp/licsxp-opac/WOpacMsgNewListToTifTilDetailAction.do?tilcod=2002222301541")</f>
        <v>https://opac.libnet.pref.okayama.jp/licsxp-opac/WOpacMsgNewListToTifTilDetailAction.do?tilcod=2002222301541</v>
      </c>
    </row>
    <row r="684" spans="1:9" x14ac:dyDescent="0.4">
      <c r="A684" t="str">
        <f>"岡山社会教育新聞"</f>
        <v>岡山社会教育新聞</v>
      </c>
      <c r="B684" s="1" t="str">
        <f t="shared" si="34"/>
        <v>岡山社会教育新聞</v>
      </c>
      <c r="C684" t="str">
        <f>"オカヤマ　シャカイ　キョウイク　シンブン"</f>
        <v>オカヤマ　シャカイ　キョウイク　シンブン</v>
      </c>
      <c r="D684" t="str">
        <f>"岡山県社会教育協会"</f>
        <v>岡山県社会教育協会</v>
      </c>
      <c r="E684" t="str">
        <f>"オカヤマケン シャカイ キョウイク キョウカイ"</f>
        <v>オカヤマケン シャカイ キョウイク キョウカイ</v>
      </c>
      <c r="F684" t="str">
        <f t="shared" si="36"/>
        <v>岡山</v>
      </c>
      <c r="G684" t="str">
        <f>"不定期刊"</f>
        <v>不定期刊</v>
      </c>
      <c r="H684" t="str">
        <f>"2002222300826"</f>
        <v>2002222300826</v>
      </c>
      <c r="I684" t="str">
        <f>HYPERLINK("#", "https://opac.libnet.pref.okayama.jp/licsxp-opac/WOpacMsgNewListToTifTilDetailAction.do?tilcod=2002222300826")</f>
        <v>https://opac.libnet.pref.okayama.jp/licsxp-opac/WOpacMsgNewListToTifTilDetailAction.do?tilcod=2002222300826</v>
      </c>
    </row>
    <row r="685" spans="1:9" x14ac:dyDescent="0.4">
      <c r="A685" t="str">
        <f>"岡山社会教育通信"</f>
        <v>岡山社会教育通信</v>
      </c>
      <c r="B685" s="1" t="str">
        <f t="shared" si="34"/>
        <v>岡山社会教育通信</v>
      </c>
      <c r="C685" t="str">
        <f>"オカヤマ　シャカイ　キョウイク　ツウシン"</f>
        <v>オカヤマ　シャカイ　キョウイク　ツウシン</v>
      </c>
      <c r="D685" t="str">
        <f>"岡山県教育委員会社会教育課"</f>
        <v>岡山県教育委員会社会教育課</v>
      </c>
      <c r="E685" t="str">
        <f>"オカヤマケン キョウイク イインカイ シャカイ キョウイクカ"</f>
        <v>オカヤマケン キョウイク イインカイ シャカイ キョウイクカ</v>
      </c>
      <c r="F685" t="str">
        <f t="shared" si="36"/>
        <v>岡山</v>
      </c>
      <c r="G685" t="str">
        <f>"頻度不明"</f>
        <v>頻度不明</v>
      </c>
      <c r="H685" t="str">
        <f>"2002222300842"</f>
        <v>2002222300842</v>
      </c>
      <c r="I685" t="str">
        <f>HYPERLINK("#", "https://opac.libnet.pref.okayama.jp/licsxp-opac/WOpacMsgNewListToTifTilDetailAction.do?tilcod=2002222300842")</f>
        <v>https://opac.libnet.pref.okayama.jp/licsxp-opac/WOpacMsgNewListToTifTilDetailAction.do?tilcod=2002222300842</v>
      </c>
    </row>
    <row r="686" spans="1:9" x14ac:dyDescent="0.4">
      <c r="A686" t="str">
        <f>"岡山社会保険時報"</f>
        <v>岡山社会保険時報</v>
      </c>
      <c r="B686" s="1" t="str">
        <f t="shared" si="34"/>
        <v>岡山社会保険時報</v>
      </c>
      <c r="C686" t="str">
        <f>"オカヤマ　シャカイ　ホケン　ジホウ"</f>
        <v>オカヤマ　シャカイ　ホケン　ジホウ</v>
      </c>
      <c r="D686" t="str">
        <f>"岡山社会保険出張所"</f>
        <v>岡山社会保険出張所</v>
      </c>
      <c r="E686" t="str">
        <f>"オカヤマシャカイホケンシュッチョウショ"</f>
        <v>オカヤマシャカイホケンシュッチョウショ</v>
      </c>
      <c r="F686" t="str">
        <f>""</f>
        <v/>
      </c>
      <c r="G686" t="str">
        <f>"頻度不明"</f>
        <v>頻度不明</v>
      </c>
      <c r="H686" t="str">
        <f>"2002222288261"</f>
        <v>2002222288261</v>
      </c>
      <c r="I686" t="str">
        <f>HYPERLINK("#", "https://opac.libnet.pref.okayama.jp/licsxp-opac/WOpacMsgNewListToTifTilDetailAction.do?tilcod=2002222288261")</f>
        <v>https://opac.libnet.pref.okayama.jp/licsxp-opac/WOpacMsgNewListToTifTilDetailAction.do?tilcod=2002222288261</v>
      </c>
    </row>
    <row r="687" spans="1:9" x14ac:dyDescent="0.4">
      <c r="A687" t="str">
        <f>"おかやま社協だより"</f>
        <v>おかやま社協だより</v>
      </c>
      <c r="B687" s="1" t="str">
        <f t="shared" si="34"/>
        <v>おかやま社協だより</v>
      </c>
      <c r="C687" t="str">
        <f>"オカヤマ　シャキョウ　ダヨリ"</f>
        <v>オカヤマ　シャキョウ　ダヨリ</v>
      </c>
      <c r="D687" t="str">
        <f>"岡山市社会福祉協議会"</f>
        <v>岡山市社会福祉協議会</v>
      </c>
      <c r="E687" t="str">
        <f>"オカヤマシ シャカイ フクシ キョウギカイ"</f>
        <v>オカヤマシ シャカイ フクシ キョウギカイ</v>
      </c>
      <c r="F687" t="str">
        <f>"岡山市"</f>
        <v>岡山市</v>
      </c>
      <c r="G687" t="str">
        <f>"年３回刊"</f>
        <v>年３回刊</v>
      </c>
      <c r="H687" t="str">
        <f>"2002222300828"</f>
        <v>2002222300828</v>
      </c>
      <c r="I687" t="str">
        <f>HYPERLINK("#", "https://opac.libnet.pref.okayama.jp/licsxp-opac/WOpacMsgNewListToTifTilDetailAction.do?tilcod=2002222300828")</f>
        <v>https://opac.libnet.pref.okayama.jp/licsxp-opac/WOpacMsgNewListToTifTilDetailAction.do?tilcod=2002222300828</v>
      </c>
    </row>
    <row r="688" spans="1:9" x14ac:dyDescent="0.4">
      <c r="A688" t="str">
        <f>"岡山・十五年戦争資料センターニュース"</f>
        <v>岡山・十五年戦争資料センターニュース</v>
      </c>
      <c r="B688" s="1" t="str">
        <f t="shared" si="34"/>
        <v>岡山・十五年戦争資料センターニュース</v>
      </c>
      <c r="C688" t="str">
        <f>"オカヤマ ジュウゴネン センソウ シリョウ センター ニュース"</f>
        <v>オカヤマ ジュウゴネン センソウ シリョウ センター ニュース</v>
      </c>
      <c r="D688" t="str">
        <f>"岡山・十五年戦争資料センター"</f>
        <v>岡山・十五年戦争資料センター</v>
      </c>
      <c r="E688" t="str">
        <f>"オカヤマ ジュウゴネン センソウ シリョウ センター"</f>
        <v>オカヤマ ジュウゴネン センソウ シリョウ センター</v>
      </c>
      <c r="F688" t="str">
        <f>"岡山"</f>
        <v>岡山</v>
      </c>
      <c r="G688" t="str">
        <f>"頻度不明"</f>
        <v>頻度不明</v>
      </c>
      <c r="H688" t="str">
        <f>"2002222333908"</f>
        <v>2002222333908</v>
      </c>
      <c r="I688" t="str">
        <f>HYPERLINK("#", "https://opac.libnet.pref.okayama.jp/licsxp-opac/WOpacMsgNewListToTifTilDetailAction.do?tilcod=2002222333908")</f>
        <v>https://opac.libnet.pref.okayama.jp/licsxp-opac/WOpacMsgNewListToTifTilDetailAction.do?tilcod=2002222333908</v>
      </c>
    </row>
    <row r="689" spans="1:9" x14ac:dyDescent="0.4">
      <c r="A689" t="str">
        <f>"岡山春秋"</f>
        <v>岡山春秋</v>
      </c>
      <c r="B689" s="1" t="str">
        <f t="shared" si="34"/>
        <v>岡山春秋</v>
      </c>
      <c r="C689" t="str">
        <f>"オカヤマ　シュンジュウ"</f>
        <v>オカヤマ　シュンジュウ</v>
      </c>
      <c r="D689" t="str">
        <f>"岡山春秋"</f>
        <v>岡山春秋</v>
      </c>
      <c r="E689" t="str">
        <f>"オカヤマシュンジュウ"</f>
        <v>オカヤマシュンジュウ</v>
      </c>
      <c r="F689" t="str">
        <f>"岡山"</f>
        <v>岡山</v>
      </c>
      <c r="G689" t="str">
        <f>"月刊"</f>
        <v>月刊</v>
      </c>
      <c r="H689" t="str">
        <f>"2002222300992"</f>
        <v>2002222300992</v>
      </c>
      <c r="I689" t="str">
        <f>HYPERLINK("#", "https://opac.libnet.pref.okayama.jp/licsxp-opac/WOpacMsgNewListToTifTilDetailAction.do?tilcod=2002222300992")</f>
        <v>https://opac.libnet.pref.okayama.jp/licsxp-opac/WOpacMsgNewListToTifTilDetailAction.do?tilcod=2002222300992</v>
      </c>
    </row>
    <row r="690" spans="1:9" x14ac:dyDescent="0.4">
      <c r="A690" t="str">
        <f>"岡山春秋"</f>
        <v>岡山春秋</v>
      </c>
      <c r="B690" s="1" t="str">
        <f t="shared" si="34"/>
        <v>岡山春秋</v>
      </c>
      <c r="C690" t="str">
        <f>"オカヤマ　シュンジュウ"</f>
        <v>オカヤマ　シュンジュウ</v>
      </c>
      <c r="D690" t="str">
        <f>"岡山春秋社"</f>
        <v>岡山春秋社</v>
      </c>
      <c r="E690" t="str">
        <f>"オカヤマシュンジュウシャ"</f>
        <v>オカヤマシュンジュウシャ</v>
      </c>
      <c r="F690" t="str">
        <f>""</f>
        <v/>
      </c>
      <c r="G690" t="str">
        <f>"頻度不明"</f>
        <v>頻度不明</v>
      </c>
      <c r="H690" t="str">
        <f>"2002222288271"</f>
        <v>2002222288271</v>
      </c>
      <c r="I690" t="str">
        <f>HYPERLINK("#", "https://opac.libnet.pref.okayama.jp/licsxp-opac/WOpacMsgNewListToTifTilDetailAction.do?tilcod=2002222288271")</f>
        <v>https://opac.libnet.pref.okayama.jp/licsxp-opac/WOpacMsgNewListToTifTilDetailAction.do?tilcod=2002222288271</v>
      </c>
    </row>
    <row r="691" spans="1:9" x14ac:dyDescent="0.4">
      <c r="A691" t="str">
        <f>"[岡山商科大学]商大リポート"</f>
        <v>[岡山商科大学]商大リポート</v>
      </c>
      <c r="B691" s="1" t="str">
        <f t="shared" si="34"/>
        <v>[岡山商科大学]商大リポート</v>
      </c>
      <c r="C691" t="str">
        <f>"オカヤマ ショウカ ダイガク ショウダイ リポート"</f>
        <v>オカヤマ ショウカ ダイガク ショウダイ リポート</v>
      </c>
      <c r="D691" t="str">
        <f>"岡山商科大学"</f>
        <v>岡山商科大学</v>
      </c>
      <c r="E691" t="str">
        <f>"オカヤマ ショウカ ダイガク"</f>
        <v>オカヤマ ショウカ ダイガク</v>
      </c>
      <c r="F691" t="str">
        <f>"岡山"</f>
        <v>岡山</v>
      </c>
      <c r="G691" t="str">
        <f>"年２回刊"</f>
        <v>年２回刊</v>
      </c>
      <c r="H691" t="str">
        <f>"2002222292711"</f>
        <v>2002222292711</v>
      </c>
      <c r="I691" t="str">
        <f>HYPERLINK("#", "https://opac.libnet.pref.okayama.jp/licsxp-opac/WOpacMsgNewListToTifTilDetailAction.do?tilcod=2002222292711")</f>
        <v>https://opac.libnet.pref.okayama.jp/licsxp-opac/WOpacMsgNewListToTifTilDetailAction.do?tilcod=2002222292711</v>
      </c>
    </row>
    <row r="692" spans="1:9" x14ac:dyDescent="0.4">
      <c r="A692" t="str">
        <f>"[岡山商科大学附属高等学校] 学校案内"</f>
        <v>[岡山商科大学附属高等学校] 学校案内</v>
      </c>
      <c r="B692" s="1" t="str">
        <f t="shared" si="34"/>
        <v>[岡山商科大学附属高等学校] 学校案内</v>
      </c>
      <c r="C692" t="str">
        <f>"オカヤマ　ショウカ　ダイガク　フゾク　コウトウ　ガッコウ　ガッコウ　アンナイ"</f>
        <v>オカヤマ　ショウカ　ダイガク　フゾク　コウトウ　ガッコウ　ガッコウ　アンナイ</v>
      </c>
      <c r="D692" t="str">
        <f>"岡山商科大学附属高等学校"</f>
        <v>岡山商科大学附属高等学校</v>
      </c>
      <c r="E692" t="str">
        <f>"オカヤマ ショウカ ダイガク フゾク コウトウ ガッコウ"</f>
        <v>オカヤマ ショウカ ダイガク フゾク コウトウ ガッコウ</v>
      </c>
      <c r="F692" t="str">
        <f>"岡山"</f>
        <v>岡山</v>
      </c>
      <c r="G692" t="str">
        <f>"年刊"</f>
        <v>年刊</v>
      </c>
      <c r="H692" t="str">
        <f>"2002222301194"</f>
        <v>2002222301194</v>
      </c>
      <c r="I692" t="str">
        <f>HYPERLINK("#", "https://opac.libnet.pref.okayama.jp/licsxp-opac/WOpacMsgNewListToTifTilDetailAction.do?tilcod=2002222301194")</f>
        <v>https://opac.libnet.pref.okayama.jp/licsxp-opac/WOpacMsgNewListToTifTilDetailAction.do?tilcod=2002222301194</v>
      </c>
    </row>
    <row r="693" spans="1:9" x14ac:dyDescent="0.4">
      <c r="A693" t="str">
        <f>"[岡山商科大学附属高等学校] 学校要覧"</f>
        <v>[岡山商科大学附属高等学校] 学校要覧</v>
      </c>
      <c r="B693" s="1" t="str">
        <f t="shared" si="34"/>
        <v>[岡山商科大学附属高等学校] 学校要覧</v>
      </c>
      <c r="C693" t="str">
        <f>"オカヤマ　ショウカ　ダイガク　フゾク　コウトウ　ガッコウ　ガッコウ　ヨウラン"</f>
        <v>オカヤマ　ショウカ　ダイガク　フゾク　コウトウ　ガッコウ　ガッコウ　ヨウラン</v>
      </c>
      <c r="D693" t="str">
        <f>"岡山商科大学附属高等学校"</f>
        <v>岡山商科大学附属高等学校</v>
      </c>
      <c r="E693" t="str">
        <f>"オカヤマ ショウカ ダイガク フゾク コウトウ ガッコウ"</f>
        <v>オカヤマ ショウカ ダイガク フゾク コウトウ ガッコウ</v>
      </c>
      <c r="F693" t="str">
        <f>"岡山"</f>
        <v>岡山</v>
      </c>
      <c r="G693" t="str">
        <f>"年刊"</f>
        <v>年刊</v>
      </c>
      <c r="H693" t="str">
        <f>"2002222300571"</f>
        <v>2002222300571</v>
      </c>
      <c r="I693" t="str">
        <f>HYPERLINK("#", "https://opac.libnet.pref.okayama.jp/licsxp-opac/WOpacMsgNewListToTifTilDetailAction.do?tilcod=2002222300571")</f>
        <v>https://opac.libnet.pref.okayama.jp/licsxp-opac/WOpacMsgNewListToTifTilDetailAction.do?tilcod=2002222300571</v>
      </c>
    </row>
    <row r="694" spans="1:9" x14ac:dyDescent="0.4">
      <c r="A694" t="str">
        <f>"[岡山商科大学附属高等学校]啓発"</f>
        <v>[岡山商科大学附属高等学校]啓発</v>
      </c>
      <c r="B694" s="1" t="str">
        <f t="shared" si="34"/>
        <v>[岡山商科大学附属高等学校]啓発</v>
      </c>
      <c r="C694" t="str">
        <f>"オカヤマ ショウカ ダイガク フゾク コウトウ ガッコウ ケイハツ"</f>
        <v>オカヤマ ショウカ ダイガク フゾク コウトウ ガッコウ ケイハツ</v>
      </c>
      <c r="D694" t="str">
        <f>"岡山商科大学附属高等学校人権教育委員会"</f>
        <v>岡山商科大学附属高等学校人権教育委員会</v>
      </c>
      <c r="E694" t="str">
        <f>"オカヤマショウカダイガクフゾクコウトウガッコウジンケンキョウイクイインカイ"</f>
        <v>オカヤマショウカダイガクフゾクコウトウガッコウジンケンキョウイクイインカイ</v>
      </c>
      <c r="F694" t="str">
        <f>"岡山"</f>
        <v>岡山</v>
      </c>
      <c r="G694" t="str">
        <f>"頻度不明"</f>
        <v>頻度不明</v>
      </c>
      <c r="H694" t="str">
        <f>"2002222301888"</f>
        <v>2002222301888</v>
      </c>
      <c r="I694" t="str">
        <f>HYPERLINK("#", "https://opac.libnet.pref.okayama.jp/licsxp-opac/WOpacMsgNewListToTifTilDetailAction.do?tilcod=2002222301888")</f>
        <v>https://opac.libnet.pref.okayama.jp/licsxp-opac/WOpacMsgNewListToTifTilDetailAction.do?tilcod=2002222301888</v>
      </c>
    </row>
    <row r="695" spans="1:9" x14ac:dyDescent="0.4">
      <c r="A695" t="str">
        <f>"[岡山商科大学附属高等学校]生徒会新聞"</f>
        <v>[岡山商科大学附属高等学校]生徒会新聞</v>
      </c>
      <c r="B695" s="1" t="str">
        <f t="shared" si="34"/>
        <v>[岡山商科大学附属高等学校]生徒会新聞</v>
      </c>
      <c r="C695" t="str">
        <f>"オカヤマ ショウカ ダイガク フゾク コウトウ ガッコウ セイトカイ シンブン"</f>
        <v>オカヤマ ショウカ ダイガク フゾク コウトウ ガッコウ セイトカイ シンブン</v>
      </c>
      <c r="D695" t="str">
        <f>"岡山商科大学附属高等学校生徒会執行部"</f>
        <v>岡山商科大学附属高等学校生徒会執行部</v>
      </c>
      <c r="E695" t="str">
        <f>"オカヤマショウカダイガクフゾクコウトウガッコウセイトカイシッコウブ"</f>
        <v>オカヤマショウカダイガクフゾクコウトウガッコウセイトカイシッコウブ</v>
      </c>
      <c r="F695" t="str">
        <f>"岡山"</f>
        <v>岡山</v>
      </c>
      <c r="G695" t="str">
        <f>"月刊"</f>
        <v>月刊</v>
      </c>
      <c r="H695" t="str">
        <f>"2002222301880"</f>
        <v>2002222301880</v>
      </c>
      <c r="I695" t="str">
        <f>HYPERLINK("#", "https://opac.libnet.pref.okayama.jp/licsxp-opac/WOpacMsgNewListToTifTilDetailAction.do?tilcod=2002222301880")</f>
        <v>https://opac.libnet.pref.okayama.jp/licsxp-opac/WOpacMsgNewListToTifTilDetailAction.do?tilcod=2002222301880</v>
      </c>
    </row>
    <row r="696" spans="1:9" x14ac:dyDescent="0.4">
      <c r="A696" t="str">
        <f>"岡山商科短期大学論叢"</f>
        <v>岡山商科短期大学論叢</v>
      </c>
      <c r="B696" s="1" t="str">
        <f t="shared" si="34"/>
        <v>岡山商科短期大学論叢</v>
      </c>
      <c r="C696" t="str">
        <f>"オカヤマ　ショウカ　タンキ　ダイガク　ロンソウ"</f>
        <v>オカヤマ　ショウカ　タンキ　ダイガク　ロンソウ</v>
      </c>
      <c r="D696" t="str">
        <f>"吉備学園"</f>
        <v>吉備学園</v>
      </c>
      <c r="E696" t="str">
        <f>"キビ ガクエン"</f>
        <v>キビ ガクエン</v>
      </c>
      <c r="F696" t="str">
        <f>""</f>
        <v/>
      </c>
      <c r="G696" t="str">
        <f>"年刊"</f>
        <v>年刊</v>
      </c>
      <c r="H696" t="str">
        <f>"2002222288353"</f>
        <v>2002222288353</v>
      </c>
      <c r="I696" t="str">
        <f>HYPERLINK("#", "https://opac.libnet.pref.okayama.jp/licsxp-opac/WOpacMsgNewListToTifTilDetailAction.do?tilcod=2002222288353")</f>
        <v>https://opac.libnet.pref.okayama.jp/licsxp-opac/WOpacMsgNewListToTifTilDetailAction.do?tilcod=2002222288353</v>
      </c>
    </row>
    <row r="697" spans="1:9" x14ac:dyDescent="0.4">
      <c r="A697" t="str">
        <f>"おかやま生涯学習センターだより"</f>
        <v>おかやま生涯学習センターだより</v>
      </c>
      <c r="B697" s="1" t="str">
        <f t="shared" si="34"/>
        <v>おかやま生涯学習センターだより</v>
      </c>
      <c r="C697" t="str">
        <f>"オカヤマ　ショウガイ　ガクシュウ　センター　ダヨリ"</f>
        <v>オカヤマ　ショウガイ　ガクシュウ　センター　ダヨリ</v>
      </c>
      <c r="D697" t="str">
        <f>"岡山県生涯学習センター"</f>
        <v>岡山県生涯学習センター</v>
      </c>
      <c r="E697" t="str">
        <f>"オカヤマケン ショウガイ ガクシュウ センター"</f>
        <v>オカヤマケン ショウガイ ガクシュウ センター</v>
      </c>
      <c r="F697" t="str">
        <f>"岡山"</f>
        <v>岡山</v>
      </c>
      <c r="G697" t="str">
        <f>"頻度不明"</f>
        <v>頻度不明</v>
      </c>
      <c r="H697" t="str">
        <f>"2002222282101"</f>
        <v>2002222282101</v>
      </c>
      <c r="I697" t="str">
        <f>HYPERLINK("#", "https://opac.libnet.pref.okayama.jp/licsxp-opac/WOpacMsgNewListToTifTilDetailAction.do?tilcod=2002222282101")</f>
        <v>https://opac.libnet.pref.okayama.jp/licsxp-opac/WOpacMsgNewListToTifTilDetailAction.do?tilcod=2002222282101</v>
      </c>
    </row>
    <row r="698" spans="1:9" x14ac:dyDescent="0.4">
      <c r="A698" t="str">
        <f>"〔岡山商業学校男子〕同窓会誌"</f>
        <v>〔岡山商業学校男子〕同窓会誌</v>
      </c>
      <c r="B698" s="1" t="str">
        <f t="shared" si="34"/>
        <v>〔岡山商業学校男子〕同窓会誌</v>
      </c>
      <c r="C698" t="str">
        <f>"オカヤマ　ショウギョウ　ガッコウ　ダンシ＊ドウソウカイ　シ"</f>
        <v>オカヤマ　ショウギョウ　ガッコウ　ダンシ＊ドウソウカイ　シ</v>
      </c>
      <c r="D698" t="str">
        <f>"岡山商業学校男子同窓会"</f>
        <v>岡山商業学校男子同窓会</v>
      </c>
      <c r="E698" t="str">
        <f>"オカヤマショウギョウガッコウダンシドウソウカイ"</f>
        <v>オカヤマショウギョウガッコウダンシドウソウカイ</v>
      </c>
      <c r="F698" t="str">
        <f>""</f>
        <v/>
      </c>
      <c r="G698" t="str">
        <f>"頻度不明"</f>
        <v>頻度不明</v>
      </c>
      <c r="H698" t="str">
        <f>"2002222288281"</f>
        <v>2002222288281</v>
      </c>
      <c r="I698" t="str">
        <f>HYPERLINK("#", "https://opac.libnet.pref.okayama.jp/licsxp-opac/WOpacMsgNewListToTifTilDetailAction.do?tilcod=2002222288281")</f>
        <v>https://opac.libnet.pref.okayama.jp/licsxp-opac/WOpacMsgNewListToTifTilDetailAction.do?tilcod=2002222288281</v>
      </c>
    </row>
    <row r="699" spans="1:9" x14ac:dyDescent="0.4">
      <c r="A699" t="str">
        <f>"岡山商工会議所会報"</f>
        <v>岡山商工会議所会報</v>
      </c>
      <c r="B699" s="1" t="str">
        <f t="shared" si="34"/>
        <v>岡山商工会議所会報</v>
      </c>
      <c r="C699" t="str">
        <f>"オカヤマ　ショウコウ　カイギショ　カイホウ"</f>
        <v>オカヤマ　ショウコウ　カイギショ　カイホウ</v>
      </c>
      <c r="D699" t="str">
        <f>"岡山商工会議所"</f>
        <v>岡山商工会議所</v>
      </c>
      <c r="E699" t="str">
        <f>"オカヤマショウコウカイギショ"</f>
        <v>オカヤマショウコウカイギショ</v>
      </c>
      <c r="F699" t="str">
        <f t="shared" ref="F699:F712" si="37">"岡山"</f>
        <v>岡山</v>
      </c>
      <c r="G699" t="str">
        <f>"月刊"</f>
        <v>月刊</v>
      </c>
      <c r="H699" t="str">
        <f>"2002222291101"</f>
        <v>2002222291101</v>
      </c>
      <c r="I699" t="str">
        <f>HYPERLINK("#", "https://opac.libnet.pref.okayama.jp/licsxp-opac/WOpacMsgNewListToTifTilDetailAction.do?tilcod=2002222291101")</f>
        <v>https://opac.libnet.pref.okayama.jp/licsxp-opac/WOpacMsgNewListToTifTilDetailAction.do?tilcod=2002222291101</v>
      </c>
    </row>
    <row r="700" spans="1:9" x14ac:dyDescent="0.4">
      <c r="A700" t="str">
        <f>"岡山商工会議所所報"</f>
        <v>岡山商工会議所所報</v>
      </c>
      <c r="B700" s="1" t="str">
        <f t="shared" si="34"/>
        <v>岡山商工会議所所報</v>
      </c>
      <c r="C700" t="str">
        <f>"オカヤマ　ショウコウ　カイギショ　ショホウ"</f>
        <v>オカヤマ　ショウコウ　カイギショ　ショホウ</v>
      </c>
      <c r="D700" t="str">
        <f>"岡山商工会議所"</f>
        <v>岡山商工会議所</v>
      </c>
      <c r="E700" t="str">
        <f>"オカヤマショウコウカイギショ"</f>
        <v>オカヤマショウコウカイギショ</v>
      </c>
      <c r="F700" t="str">
        <f t="shared" si="37"/>
        <v>岡山</v>
      </c>
      <c r="G700" t="str">
        <f>"月刊"</f>
        <v>月刊</v>
      </c>
      <c r="H700" t="str">
        <f>"2002222284761"</f>
        <v>2002222284761</v>
      </c>
      <c r="I700" t="str">
        <f>HYPERLINK("#", "https://opac.libnet.pref.okayama.jp/licsxp-opac/WOpacMsgNewListToTifTilDetailAction.do?tilcod=2002222284761")</f>
        <v>https://opac.libnet.pref.okayama.jp/licsxp-opac/WOpacMsgNewListToTifTilDetailAction.do?tilcod=2002222284761</v>
      </c>
    </row>
    <row r="701" spans="1:9" x14ac:dyDescent="0.4">
      <c r="A701" t="str">
        <f>"岡山商工月報"</f>
        <v>岡山商工月報</v>
      </c>
      <c r="B701" s="1" t="str">
        <f t="shared" si="34"/>
        <v>岡山商工月報</v>
      </c>
      <c r="C701" t="str">
        <f>"オカヤマ　ショウコウ　ゲッポウ"</f>
        <v>オカヤマ　ショウコウ　ゲッポウ</v>
      </c>
      <c r="D701" t="str">
        <f>"岡山商工会議所"</f>
        <v>岡山商工会議所</v>
      </c>
      <c r="E701" t="str">
        <f>"オカヤマ ショウコウ カイギショ"</f>
        <v>オカヤマ ショウコウ カイギショ</v>
      </c>
      <c r="F701" t="str">
        <f t="shared" si="37"/>
        <v>岡山</v>
      </c>
      <c r="G701" t="str">
        <f>"頻度不明"</f>
        <v>頻度不明</v>
      </c>
      <c r="H701" t="str">
        <f>"2002222285971"</f>
        <v>2002222285971</v>
      </c>
      <c r="I701" t="str">
        <f>HYPERLINK("#", "https://opac.libnet.pref.okayama.jp/licsxp-opac/WOpacMsgNewListToTifTilDetailAction.do?tilcod=2002222285971")</f>
        <v>https://opac.libnet.pref.okayama.jp/licsxp-opac/WOpacMsgNewListToTifTilDetailAction.do?tilcod=2002222285971</v>
      </c>
    </row>
    <row r="702" spans="1:9" x14ac:dyDescent="0.4">
      <c r="A702" t="str">
        <f>"おかやま商工連会報"</f>
        <v>おかやま商工連会報</v>
      </c>
      <c r="B702" s="1" t="str">
        <f t="shared" si="34"/>
        <v>おかやま商工連会報</v>
      </c>
      <c r="C702" t="str">
        <f>"オカヤマ　ショウコウレン　カイホウ"</f>
        <v>オカヤマ　ショウコウレン　カイホウ</v>
      </c>
      <c r="D702" t="str">
        <f>"岡山県商工会連合会"</f>
        <v>岡山県商工会連合会</v>
      </c>
      <c r="E702" t="str">
        <f>"オカヤマケン ショウコウカイ レンゴウカイ"</f>
        <v>オカヤマケン ショウコウカイ レンゴウカイ</v>
      </c>
      <c r="F702" t="str">
        <f t="shared" si="37"/>
        <v>岡山</v>
      </c>
      <c r="G702" t="str">
        <f>"月刊"</f>
        <v>月刊</v>
      </c>
      <c r="H702" t="str">
        <f>"2002222281834"</f>
        <v>2002222281834</v>
      </c>
      <c r="I702" t="str">
        <f>HYPERLINK("#", "https://opac.libnet.pref.okayama.jp/licsxp-opac/WOpacMsgNewListToTifTilDetailAction.do?tilcod=2002222281834")</f>
        <v>https://opac.libnet.pref.okayama.jp/licsxp-opac/WOpacMsgNewListToTifTilDetailAction.do?tilcod=2002222281834</v>
      </c>
    </row>
    <row r="703" spans="1:9" x14ac:dyDescent="0.4">
      <c r="A703" t="str">
        <f>"岡山商大経営研究所報"</f>
        <v>岡山商大経営研究所報</v>
      </c>
      <c r="B703" s="1" t="str">
        <f t="shared" si="34"/>
        <v>岡山商大経営研究所報</v>
      </c>
      <c r="C703" t="str">
        <f>"オカヤマ　ショウダイ　ケイエイ　ケンキュウショホウ"</f>
        <v>オカヤマ　ショウダイ　ケイエイ　ケンキュウショホウ</v>
      </c>
      <c r="D703" t="str">
        <f>"岡山商科大学附属経営研究所"</f>
        <v>岡山商科大学附属経営研究所</v>
      </c>
      <c r="E703" t="str">
        <f>"オカヤマショウカダイガクフゾクケイエイケンキュウショ"</f>
        <v>オカヤマショウカダイガクフゾクケイエイケンキュウショ</v>
      </c>
      <c r="F703" t="str">
        <f t="shared" si="37"/>
        <v>岡山</v>
      </c>
      <c r="G703" t="str">
        <f>"年刊"</f>
        <v>年刊</v>
      </c>
      <c r="H703" t="str">
        <f>"2002222294371"</f>
        <v>2002222294371</v>
      </c>
      <c r="I703" t="str">
        <f>HYPERLINK("#", "https://opac.libnet.pref.okayama.jp/licsxp-opac/WOpacMsgNewListToTifTilDetailAction.do?tilcod=2002222294371")</f>
        <v>https://opac.libnet.pref.okayama.jp/licsxp-opac/WOpacMsgNewListToTifTilDetailAction.do?tilcod=2002222294371</v>
      </c>
    </row>
    <row r="704" spans="1:9" x14ac:dyDescent="0.4">
      <c r="A704" t="str">
        <f>"岡山商大社会総合研究所報"</f>
        <v>岡山商大社会総合研究所報</v>
      </c>
      <c r="B704" s="1" t="str">
        <f t="shared" si="34"/>
        <v>岡山商大社会総合研究所報</v>
      </c>
      <c r="C704" t="str">
        <f>"オカヤマ　ショウダイ　シャカイ　ソウゴウ　ケンキュウショ　ホウ"</f>
        <v>オカヤマ　ショウダイ　シャカイ　ソウゴウ　ケンキュウショ　ホウ</v>
      </c>
      <c r="D704" t="str">
        <f>"岡山商科大学社会総合研究所"</f>
        <v>岡山商科大学社会総合研究所</v>
      </c>
      <c r="E704" t="str">
        <f>"オカヤマショウカダイガクシャカイソウゴウケンキュウショ"</f>
        <v>オカヤマショウカダイガクシャカイソウゴウケンキュウショ</v>
      </c>
      <c r="F704" t="str">
        <f t="shared" si="37"/>
        <v>岡山</v>
      </c>
      <c r="G704" t="str">
        <f>"年刊"</f>
        <v>年刊</v>
      </c>
      <c r="H704" t="str">
        <f>"2002222282611"</f>
        <v>2002222282611</v>
      </c>
      <c r="I704" t="str">
        <f>HYPERLINK("#", "https://opac.libnet.pref.okayama.jp/licsxp-opac/WOpacMsgNewListToTifTilDetailAction.do?tilcod=2002222282611")</f>
        <v>https://opac.libnet.pref.okayama.jp/licsxp-opac/WOpacMsgNewListToTifTilDetailAction.do?tilcod=2002222282611</v>
      </c>
    </row>
    <row r="705" spans="1:9" x14ac:dyDescent="0.4">
      <c r="A705" t="str">
        <f>"岡山商大論叢[岡山商科大学]"</f>
        <v>岡山商大論叢[岡山商科大学]</v>
      </c>
      <c r="B705" s="1" t="str">
        <f t="shared" si="34"/>
        <v>岡山商大論叢[岡山商科大学]</v>
      </c>
      <c r="C705" t="str">
        <f>"オカヤマ ショウダイ ロンソウ オカヤマ ショウカ ダイガク"</f>
        <v>オカヤマ ショウダイ ロンソウ オカヤマ ショウカ ダイガク</v>
      </c>
      <c r="D705" t="str">
        <f>"岡山商科大学学会"</f>
        <v>岡山商科大学学会</v>
      </c>
      <c r="E705" t="str">
        <f>"オカヤマショウカダイガクガッカイ"</f>
        <v>オカヤマショウカダイガクガッカイ</v>
      </c>
      <c r="F705" t="str">
        <f t="shared" si="37"/>
        <v>岡山</v>
      </c>
      <c r="G705" t="str">
        <f>"年３回刊"</f>
        <v>年３回刊</v>
      </c>
      <c r="H705" t="str">
        <f>"2002222294381"</f>
        <v>2002222294381</v>
      </c>
      <c r="I705" t="str">
        <f>HYPERLINK("#", "https://opac.libnet.pref.okayama.jp/licsxp-opac/WOpacMsgNewListToTifTilDetailAction.do?tilcod=2002222294381")</f>
        <v>https://opac.libnet.pref.okayama.jp/licsxp-opac/WOpacMsgNewListToTifTilDetailAction.do?tilcod=2002222294381</v>
      </c>
    </row>
    <row r="706" spans="1:9" x14ac:dyDescent="0.4">
      <c r="A706" t="str">
        <f>"岡山城東高等学校学校案内"</f>
        <v>岡山城東高等学校学校案内</v>
      </c>
      <c r="B706" s="1" t="str">
        <f t="shared" si="34"/>
        <v>岡山城東高等学校学校案内</v>
      </c>
      <c r="C706" t="str">
        <f>"オカヤマ　ジョウトウ　コウトウ　ガッコウ　ガッコウ　アンナイ"</f>
        <v>オカヤマ　ジョウトウ　コウトウ　ガッコウ　ガッコウ　アンナイ</v>
      </c>
      <c r="D706" t="str">
        <f>"岡山城東高等学校"</f>
        <v>岡山城東高等学校</v>
      </c>
      <c r="E706" t="str">
        <f>"オカヤマ ジョウトウ コウトウ ガッコウ"</f>
        <v>オカヤマ ジョウトウ コウトウ ガッコウ</v>
      </c>
      <c r="F706" t="str">
        <f t="shared" si="37"/>
        <v>岡山</v>
      </c>
      <c r="G706" t="str">
        <f>"年刊"</f>
        <v>年刊</v>
      </c>
      <c r="H706" t="str">
        <f>"2002222301175"</f>
        <v>2002222301175</v>
      </c>
      <c r="I706" t="str">
        <f>HYPERLINK("#", "https://opac.libnet.pref.okayama.jp/licsxp-opac/WOpacMsgNewListToTifTilDetailAction.do?tilcod=2002222301175")</f>
        <v>https://opac.libnet.pref.okayama.jp/licsxp-opac/WOpacMsgNewListToTifTilDetailAction.do?tilcod=2002222301175</v>
      </c>
    </row>
    <row r="707" spans="1:9" x14ac:dyDescent="0.4">
      <c r="A707" t="str">
        <f>"岡山城東高等学校学校要覧"</f>
        <v>岡山城東高等学校学校要覧</v>
      </c>
      <c r="B707" s="1" t="str">
        <f t="shared" si="34"/>
        <v>岡山城東高等学校学校要覧</v>
      </c>
      <c r="C707" t="str">
        <f>"オカヤマ　ジョウトウ　コウトウ　ガッコウ　ガッコウ　ヨウラン"</f>
        <v>オカヤマ　ジョウトウ　コウトウ　ガッコウ　ガッコウ　ヨウラン</v>
      </c>
      <c r="D707" t="str">
        <f>"岡山城東高等学校"</f>
        <v>岡山城東高等学校</v>
      </c>
      <c r="E707" t="str">
        <f>"オカヤマ ジョウトウ コウトウ ガッコウ"</f>
        <v>オカヤマ ジョウトウ コウトウ ガッコウ</v>
      </c>
      <c r="F707" t="str">
        <f t="shared" si="37"/>
        <v>岡山</v>
      </c>
      <c r="G707" t="str">
        <f>"年刊"</f>
        <v>年刊</v>
      </c>
      <c r="H707" t="str">
        <f>"2002222300486"</f>
        <v>2002222300486</v>
      </c>
      <c r="I707" t="str">
        <f>HYPERLINK("#", "https://opac.libnet.pref.okayama.jp/licsxp-opac/WOpacMsgNewListToTifTilDetailAction.do?tilcod=2002222300486")</f>
        <v>https://opac.libnet.pref.okayama.jp/licsxp-opac/WOpacMsgNewListToTifTilDetailAction.do?tilcod=2002222300486</v>
      </c>
    </row>
    <row r="708" spans="1:9" x14ac:dyDescent="0.4">
      <c r="A708" t="str">
        <f>"〔岡山城東高等学校〕図書館報"</f>
        <v>〔岡山城東高等学校〕図書館報</v>
      </c>
      <c r="B708" s="1" t="str">
        <f t="shared" ref="B708:B771" si="38">HYPERLINK("#", A708)</f>
        <v>〔岡山城東高等学校〕図書館報</v>
      </c>
      <c r="C708" t="str">
        <f>"オカヤマ　ジョウトウ　コウトウ　ガッコウ　トショカン　ホウ"</f>
        <v>オカヤマ　ジョウトウ　コウトウ　ガッコウ　トショカン　ホウ</v>
      </c>
      <c r="D708" t="str">
        <f>"岡山城東高等学校"</f>
        <v>岡山城東高等学校</v>
      </c>
      <c r="E708" t="str">
        <f>"オカヤマ ジョウトウ コウトウ ガッコウ"</f>
        <v>オカヤマ ジョウトウ コウトウ ガッコウ</v>
      </c>
      <c r="F708" t="str">
        <f t="shared" si="37"/>
        <v>岡山</v>
      </c>
      <c r="G708" t="str">
        <f>"年２回刊"</f>
        <v>年２回刊</v>
      </c>
      <c r="H708" t="str">
        <f>"2002222301057"</f>
        <v>2002222301057</v>
      </c>
      <c r="I708" t="str">
        <f>HYPERLINK("#", "https://opac.libnet.pref.okayama.jp/licsxp-opac/WOpacMsgNewListToTifTilDetailAction.do?tilcod=2002222301057")</f>
        <v>https://opac.libnet.pref.okayama.jp/licsxp-opac/WOpacMsgNewListToTifTilDetailAction.do?tilcod=2002222301057</v>
      </c>
    </row>
    <row r="709" spans="1:9" x14ac:dyDescent="0.4">
      <c r="A709" t="str">
        <f>"〔岡山城東高等学校〕緑都樹下"</f>
        <v>〔岡山城東高等学校〕緑都樹下</v>
      </c>
      <c r="B709" s="1" t="str">
        <f t="shared" si="38"/>
        <v>〔岡山城東高等学校〕緑都樹下</v>
      </c>
      <c r="C709" t="str">
        <f>"オカヤマ　ジョウトウ　コウトウ　ガッコウ＊リヨクト　ジュカ"</f>
        <v>オカヤマ　ジョウトウ　コウトウ　ガッコウ＊リヨクト　ジュカ</v>
      </c>
      <c r="D709" t="str">
        <f>"岡山城東高等学校文芸部・漫画研究同好会"</f>
        <v>岡山城東高等学校文芸部・漫画研究同好会</v>
      </c>
      <c r="E709" t="str">
        <f>"オカヤマジョウトウコウトウガッコウブンゲイブマンガケンキュウドウコウカイ"</f>
        <v>オカヤマジョウトウコウトウガッコウブンゲイブマンガケンキュウドウコウカイ</v>
      </c>
      <c r="F709" t="str">
        <f t="shared" si="37"/>
        <v>岡山</v>
      </c>
      <c r="G709" t="str">
        <f>"年刊"</f>
        <v>年刊</v>
      </c>
      <c r="H709" t="str">
        <f>"2002222301548"</f>
        <v>2002222301548</v>
      </c>
      <c r="I709" t="str">
        <f>HYPERLINK("#", "https://opac.libnet.pref.okayama.jp/licsxp-opac/WOpacMsgNewListToTifTilDetailAction.do?tilcod=2002222301548")</f>
        <v>https://opac.libnet.pref.okayama.jp/licsxp-opac/WOpacMsgNewListToTifTilDetailAction.do?tilcod=2002222301548</v>
      </c>
    </row>
    <row r="710" spans="1:9" x14ac:dyDescent="0.4">
      <c r="A710" t="str">
        <f>"岡山城東新聞"</f>
        <v>岡山城東新聞</v>
      </c>
      <c r="B710" s="1" t="str">
        <f t="shared" si="38"/>
        <v>岡山城東新聞</v>
      </c>
      <c r="C710" t="str">
        <f>"オカヤマ ジョウトウ シンブン"</f>
        <v>オカヤマ ジョウトウ シンブン</v>
      </c>
      <c r="D710" t="str">
        <f>"岡山城東高等学校新聞部"</f>
        <v>岡山城東高等学校新聞部</v>
      </c>
      <c r="E710" t="str">
        <f>"オカヤマ ジョウトウ コウトウ ガッコウ シンブンブ"</f>
        <v>オカヤマ ジョウトウ コウトウ ガッコウ シンブンブ</v>
      </c>
      <c r="F710" t="str">
        <f t="shared" si="37"/>
        <v>岡山</v>
      </c>
      <c r="G710" t="str">
        <f>"不定期刊"</f>
        <v>不定期刊</v>
      </c>
      <c r="H710" t="str">
        <f>"2002222307427"</f>
        <v>2002222307427</v>
      </c>
      <c r="I710" t="str">
        <f>HYPERLINK("#", "https://opac.libnet.pref.okayama.jp/licsxp-opac/WOpacMsgNewListToTifTilDetailAction.do?tilcod=2002222307427")</f>
        <v>https://opac.libnet.pref.okayama.jp/licsxp-opac/WOpacMsgNewListToTifTilDetailAction.do?tilcod=2002222307427</v>
      </c>
    </row>
    <row r="711" spans="1:9" x14ac:dyDescent="0.4">
      <c r="A711" t="str">
        <f>"岡山城東新聞　縮刷版"</f>
        <v>岡山城東新聞　縮刷版</v>
      </c>
      <c r="B711" s="1" t="str">
        <f t="shared" si="38"/>
        <v>岡山城東新聞　縮刷版</v>
      </c>
      <c r="C711" t="str">
        <f>"オカヤマ　ジョウトウ　シンブン　シュクサツバン"</f>
        <v>オカヤマ　ジョウトウ　シンブン　シュクサツバン</v>
      </c>
      <c r="D711" t="str">
        <f>"岡山城東高等学校新聞部"</f>
        <v>岡山城東高等学校新聞部</v>
      </c>
      <c r="E711" t="str">
        <f>"オカヤマ ジョウトウ コウトウ ガッコウ シンブンブ"</f>
        <v>オカヤマ ジョウトウ コウトウ ガッコウ シンブンブ</v>
      </c>
      <c r="F711" t="str">
        <f t="shared" si="37"/>
        <v>岡山</v>
      </c>
      <c r="G711" t="str">
        <f>"不定期刊"</f>
        <v>不定期刊</v>
      </c>
      <c r="H711" t="str">
        <f>"2002222301426"</f>
        <v>2002222301426</v>
      </c>
      <c r="I711" t="str">
        <f>HYPERLINK("#", "https://opac.libnet.pref.okayama.jp/licsxp-opac/WOpacMsgNewListToTifTilDetailAction.do?tilcod=2002222301426")</f>
        <v>https://opac.libnet.pref.okayama.jp/licsxp-opac/WOpacMsgNewListToTifTilDetailAction.do?tilcod=2002222301426</v>
      </c>
    </row>
    <row r="712" spans="1:9" x14ac:dyDescent="0.4">
      <c r="A712" t="str">
        <f>"岡山情報"</f>
        <v>岡山情報</v>
      </c>
      <c r="B712" s="1" t="str">
        <f t="shared" si="38"/>
        <v>岡山情報</v>
      </c>
      <c r="C712" t="str">
        <f>"オカヤマ　ジョウホウ"</f>
        <v>オカヤマ　ジョウホウ</v>
      </c>
      <c r="D712" t="str">
        <f>"岡山情報社"</f>
        <v>岡山情報社</v>
      </c>
      <c r="E712" t="str">
        <f>"オカヤマ ジョウホウシャ"</f>
        <v>オカヤマ ジョウホウシャ</v>
      </c>
      <c r="F712" t="str">
        <f t="shared" si="37"/>
        <v>岡山</v>
      </c>
      <c r="G712" t="str">
        <f>"週刊"</f>
        <v>週刊</v>
      </c>
      <c r="H712" t="str">
        <f>"2002222300830"</f>
        <v>2002222300830</v>
      </c>
      <c r="I712" t="str">
        <f>HYPERLINK("#", "https://opac.libnet.pref.okayama.jp/licsxp-opac/WOpacMsgNewListToTifTilDetailAction.do?tilcod=2002222300830")</f>
        <v>https://opac.libnet.pref.okayama.jp/licsxp-opac/WOpacMsgNewListToTifTilDetailAction.do?tilcod=2002222300830</v>
      </c>
    </row>
    <row r="713" spans="1:9" x14ac:dyDescent="0.4">
      <c r="A713" t="str">
        <f>"おかやま情報アンテナ"</f>
        <v>おかやま情報アンテナ</v>
      </c>
      <c r="B713" s="1" t="str">
        <f t="shared" si="38"/>
        <v>おかやま情報アンテナ</v>
      </c>
      <c r="C713" t="str">
        <f>"オカヤマ　ジョウホウ　アンテナ"</f>
        <v>オカヤマ　ジョウホウ　アンテナ</v>
      </c>
      <c r="D713" t="str">
        <f>"岡山県地域振興部地域政策課"</f>
        <v>岡山県地域振興部地域政策課</v>
      </c>
      <c r="E713" t="str">
        <f>"オカヤマケンチイキシンコウブチイキセイサクカ"</f>
        <v>オカヤマケンチイキシンコウブチイキセイサクカ</v>
      </c>
      <c r="F713" t="str">
        <f>""</f>
        <v/>
      </c>
      <c r="G713" t="str">
        <f>"頻度不明"</f>
        <v>頻度不明</v>
      </c>
      <c r="H713" t="str">
        <f>"2002222288301"</f>
        <v>2002222288301</v>
      </c>
      <c r="I713" t="str">
        <f>HYPERLINK("#", "https://opac.libnet.pref.okayama.jp/licsxp-opac/WOpacMsgNewListToTifTilDetailAction.do?tilcod=2002222288301")</f>
        <v>https://opac.libnet.pref.okayama.jp/licsxp-opac/WOpacMsgNewListToTifTilDetailAction.do?tilcod=2002222288301</v>
      </c>
    </row>
    <row r="714" spans="1:9" x14ac:dyDescent="0.4">
      <c r="A714" t="str">
        <f>"おかやま職業訓練"</f>
        <v>おかやま職業訓練</v>
      </c>
      <c r="B714" s="1" t="str">
        <f t="shared" si="38"/>
        <v>おかやま職業訓練</v>
      </c>
      <c r="C714" t="str">
        <f>"オカヤマ　ショクギョウ　クンレン"</f>
        <v>オカヤマ　ショクギョウ　クンレン</v>
      </c>
      <c r="D714" t="str">
        <f>"岡山県民生労働部職業訓練課"</f>
        <v>岡山県民生労働部職業訓練課</v>
      </c>
      <c r="E714" t="str">
        <f>"オカヤマケンミンセイロウドウブショクギョウクンレンカ"</f>
        <v>オカヤマケンミンセイロウドウブショクギョウクンレンカ</v>
      </c>
      <c r="F714" t="str">
        <f>""</f>
        <v/>
      </c>
      <c r="G714" t="str">
        <f>"頻度不明"</f>
        <v>頻度不明</v>
      </c>
      <c r="H714" t="str">
        <f>"2002222288311"</f>
        <v>2002222288311</v>
      </c>
      <c r="I714" t="str">
        <f>HYPERLINK("#", "https://opac.libnet.pref.okayama.jp/licsxp-opac/WOpacMsgNewListToTifTilDetailAction.do?tilcod=2002222288311")</f>
        <v>https://opac.libnet.pref.okayama.jp/licsxp-opac/WOpacMsgNewListToTifTilDetailAction.do?tilcod=2002222288311</v>
      </c>
    </row>
    <row r="715" spans="1:9" x14ac:dyDescent="0.4">
      <c r="A715" t="str">
        <f>"おかやま食糧"</f>
        <v>おかやま食糧</v>
      </c>
      <c r="B715" s="1" t="str">
        <f t="shared" si="38"/>
        <v>おかやま食糧</v>
      </c>
      <c r="C715" t="str">
        <f>"オカヤマ　ショクリョウ"</f>
        <v>オカヤマ　ショクリョウ</v>
      </c>
      <c r="D715" t="str">
        <f>"農林水産省岡山食糧事務所"</f>
        <v>農林水産省岡山食糧事務所</v>
      </c>
      <c r="E715" t="str">
        <f>"ノウリンスイサンショウオカヤマショクリョウジムショ"</f>
        <v>ノウリンスイサンショウオカヤマショクリョウジムショ</v>
      </c>
      <c r="F715" t="str">
        <f>"岡山"</f>
        <v>岡山</v>
      </c>
      <c r="G715" t="str">
        <f>"季刊"</f>
        <v>季刊</v>
      </c>
      <c r="H715" t="str">
        <f>"2002222292141"</f>
        <v>2002222292141</v>
      </c>
      <c r="I715" t="str">
        <f>HYPERLINK("#", "https://opac.libnet.pref.okayama.jp/licsxp-opac/WOpacMsgNewListToTifTilDetailAction.do?tilcod=2002222292141")</f>
        <v>https://opac.libnet.pref.okayama.jp/licsxp-opac/WOpacMsgNewListToTifTilDetailAction.do?tilcod=2002222292141</v>
      </c>
    </row>
    <row r="716" spans="1:9" x14ac:dyDescent="0.4">
      <c r="A716" t="str">
        <f>"〔岡山県女子師範学校校友会〕学友"</f>
        <v>〔岡山県女子師範学校校友会〕学友</v>
      </c>
      <c r="B716" s="1" t="str">
        <f t="shared" si="38"/>
        <v>〔岡山県女子師範学校校友会〕学友</v>
      </c>
      <c r="C716" t="str">
        <f>"オカヤマ　ジョシ　シハン　ガッコウ　ケン　コウユウ　カイ　ガクユウ"</f>
        <v>オカヤマ　ジョシ　シハン　ガッコウ　ケン　コウユウ　カイ　ガクユウ</v>
      </c>
      <c r="D716" t="str">
        <f>"岡山県女子師範学校校友会"</f>
        <v>岡山県女子師範学校校友会</v>
      </c>
      <c r="E716" t="str">
        <f>"オカヤマケンジョシシハンガッコウコウユウカイ"</f>
        <v>オカヤマケンジョシシハンガッコウコウユウカイ</v>
      </c>
      <c r="F716" t="str">
        <f>"岡山"</f>
        <v>岡山</v>
      </c>
      <c r="G716" t="str">
        <f>"頻度不明"</f>
        <v>頻度不明</v>
      </c>
      <c r="H716" t="str">
        <f>"2002222289813"</f>
        <v>2002222289813</v>
      </c>
      <c r="I716" t="str">
        <f>HYPERLINK("#", "https://opac.libnet.pref.okayama.jp/licsxp-opac/WOpacMsgNewListToTifTilDetailAction.do?tilcod=2002222289813")</f>
        <v>https://opac.libnet.pref.okayama.jp/licsxp-opac/WOpacMsgNewListToTifTilDetailAction.do?tilcod=2002222289813</v>
      </c>
    </row>
    <row r="717" spans="1:9" x14ac:dyDescent="0.4">
      <c r="A717" t="str">
        <f>"〔岡山女子短期大学〕紀要"</f>
        <v>〔岡山女子短期大学〕紀要</v>
      </c>
      <c r="B717" s="1" t="str">
        <f t="shared" si="38"/>
        <v>〔岡山女子短期大学〕紀要</v>
      </c>
      <c r="C717" t="str">
        <f>"オカヤマ　ジョシ　タンキ　ダイガク＊キヨウ"</f>
        <v>オカヤマ　ジョシ　タンキ　ダイガク＊キヨウ</v>
      </c>
      <c r="D717" t="str">
        <f>"岡山女子短期大学"</f>
        <v>岡山女子短期大学</v>
      </c>
      <c r="E717" t="str">
        <f>"オカヤマジョシタンキダイガク"</f>
        <v>オカヤマジョシタンキダイガク</v>
      </c>
      <c r="F717" t="str">
        <f>"岡山"</f>
        <v>岡山</v>
      </c>
      <c r="G717" t="str">
        <f>"年刊"</f>
        <v>年刊</v>
      </c>
      <c r="H717" t="str">
        <f>"2002222283131"</f>
        <v>2002222283131</v>
      </c>
      <c r="I717" t="str">
        <f>HYPERLINK("#", "https://opac.libnet.pref.okayama.jp/licsxp-opac/WOpacMsgNewListToTifTilDetailAction.do?tilcod=2002222283131")</f>
        <v>https://opac.libnet.pref.okayama.jp/licsxp-opac/WOpacMsgNewListToTifTilDetailAction.do?tilcod=2002222283131</v>
      </c>
    </row>
    <row r="718" spans="1:9" x14ac:dyDescent="0.4">
      <c r="A718" t="str">
        <f>"〔岡山女子短期大学〕研究論文集"</f>
        <v>〔岡山女子短期大学〕研究論文集</v>
      </c>
      <c r="B718" s="1" t="str">
        <f t="shared" si="38"/>
        <v>〔岡山女子短期大学〕研究論文集</v>
      </c>
      <c r="C718" t="str">
        <f>"オカヤマ　ジョシ　タンキ　ダイガク＊ケンキュウ　ロンブンシュウ"</f>
        <v>オカヤマ　ジョシ　タンキ　ダイガク＊ケンキュウ　ロンブンシュウ</v>
      </c>
      <c r="D718" t="str">
        <f>"岡山女子短期大学"</f>
        <v>岡山女子短期大学</v>
      </c>
      <c r="E718" t="str">
        <f>"オカヤマジョシタンキダイガク"</f>
        <v>オカヤマジョシタンキダイガク</v>
      </c>
      <c r="F718" t="str">
        <f>""</f>
        <v/>
      </c>
      <c r="G718" t="str">
        <f>"年刊"</f>
        <v>年刊</v>
      </c>
      <c r="H718" t="str">
        <f>"2002222288363"</f>
        <v>2002222288363</v>
      </c>
      <c r="I718" t="str">
        <f>HYPERLINK("#", "https://opac.libnet.pref.okayama.jp/licsxp-opac/WOpacMsgNewListToTifTilDetailAction.do?tilcod=2002222288363")</f>
        <v>https://opac.libnet.pref.okayama.jp/licsxp-opac/WOpacMsgNewListToTifTilDetailAction.do?tilcod=2002222288363</v>
      </c>
    </row>
    <row r="719" spans="1:9" x14ac:dyDescent="0.4">
      <c r="A719" t="str">
        <f>"おかやま女性情報誌"</f>
        <v>おかやま女性情報誌</v>
      </c>
      <c r="B719" s="1" t="str">
        <f t="shared" si="38"/>
        <v>おかやま女性情報誌</v>
      </c>
      <c r="C719" t="str">
        <f>"オカヤマ　ジョセイ　ジョウホウ　シ"</f>
        <v>オカヤマ　ジョセイ　ジョウホウ　シ</v>
      </c>
      <c r="D719" t="str">
        <f>"岡山市民生局民生部女性児童課"</f>
        <v>岡山市民生局民生部女性児童課</v>
      </c>
      <c r="E719" t="str">
        <f>"オカヤマシミンセイキョクミンセイブジョセイジドウカ"</f>
        <v>オカヤマシミンセイキョクミンセイブジョセイジドウカ</v>
      </c>
      <c r="F719" t="str">
        <f>""</f>
        <v/>
      </c>
      <c r="G719" t="str">
        <f>"年２回刊"</f>
        <v>年２回刊</v>
      </c>
      <c r="H719" t="str">
        <f>"2002222288321"</f>
        <v>2002222288321</v>
      </c>
      <c r="I719" t="str">
        <f>HYPERLINK("#", "https://opac.libnet.pref.okayama.jp/licsxp-opac/WOpacMsgNewListToTifTilDetailAction.do?tilcod=2002222288321")</f>
        <v>https://opac.libnet.pref.okayama.jp/licsxp-opac/WOpacMsgNewListToTifTilDetailAction.do?tilcod=2002222288321</v>
      </c>
    </row>
    <row r="720" spans="1:9" x14ac:dyDescent="0.4">
      <c r="A720" t="str">
        <f>"岡山書壇"</f>
        <v>岡山書壇</v>
      </c>
      <c r="B720" s="1" t="str">
        <f t="shared" si="38"/>
        <v>岡山書壇</v>
      </c>
      <c r="C720" t="str">
        <f>"オカヤマ　ショダン"</f>
        <v>オカヤマ　ショダン</v>
      </c>
      <c r="D720" t="str">
        <f>"岡山書道院"</f>
        <v>岡山書道院</v>
      </c>
      <c r="E720" t="str">
        <f>"オカヤマショドウイン"</f>
        <v>オカヤマショドウイン</v>
      </c>
      <c r="F720" t="str">
        <f>""</f>
        <v/>
      </c>
      <c r="G720" t="str">
        <f>"頻度不明"</f>
        <v>頻度不明</v>
      </c>
      <c r="H720" t="str">
        <f>"2002222288331"</f>
        <v>2002222288331</v>
      </c>
      <c r="I720" t="str">
        <f>HYPERLINK("#", "https://opac.libnet.pref.okayama.jp/licsxp-opac/WOpacMsgNewListToTifTilDetailAction.do?tilcod=2002222288331")</f>
        <v>https://opac.libnet.pref.okayama.jp/licsxp-opac/WOpacMsgNewListToTifTilDetailAction.do?tilcod=2002222288331</v>
      </c>
    </row>
    <row r="721" spans="1:9" x14ac:dyDescent="0.4">
      <c r="A721" t="str">
        <f>"[岡山市立足守中学校]学校要覧"</f>
        <v>[岡山市立足守中学校]学校要覧</v>
      </c>
      <c r="B721" s="1" t="str">
        <f t="shared" si="38"/>
        <v>[岡山市立足守中学校]学校要覧</v>
      </c>
      <c r="C721" t="str">
        <f>"オカヤマ シリツ アシモリ チュウガッコウ ガッコウ ヨウラン"</f>
        <v>オカヤマ シリツ アシモリ チュウガッコウ ガッコウ ヨウラン</v>
      </c>
      <c r="D721" t="str">
        <f>"岡山市立足守中学校"</f>
        <v>岡山市立足守中学校</v>
      </c>
      <c r="E721" t="str">
        <f>"オカヤマシリツ アシモリ チュウガッコウ"</f>
        <v>オカヤマシリツ アシモリ チュウガッコウ</v>
      </c>
      <c r="F721" t="str">
        <f t="shared" ref="F721:F730" si="39">"岡山"</f>
        <v>岡山</v>
      </c>
      <c r="G721" t="str">
        <f>"年刊"</f>
        <v>年刊</v>
      </c>
      <c r="H721" t="str">
        <f>"2002222336660"</f>
        <v>2002222336660</v>
      </c>
      <c r="I721" t="str">
        <f>HYPERLINK("#", "https://opac.libnet.pref.okayama.jp/licsxp-opac/WOpacMsgNewListToTifTilDetailAction.do?tilcod=2002222336660")</f>
        <v>https://opac.libnet.pref.okayama.jp/licsxp-opac/WOpacMsgNewListToTifTilDetailAction.do?tilcod=2002222336660</v>
      </c>
    </row>
    <row r="722" spans="1:9" x14ac:dyDescent="0.4">
      <c r="A722" t="str">
        <f>"[岡山市立石井中学校]学校要覧"</f>
        <v>[岡山市立石井中学校]学校要覧</v>
      </c>
      <c r="B722" s="1" t="str">
        <f t="shared" si="38"/>
        <v>[岡山市立石井中学校]学校要覧</v>
      </c>
      <c r="C722" t="str">
        <f>"オカヤマ シリツ イシイ チュウガッコウ ガッコウ ヨウラン"</f>
        <v>オカヤマ シリツ イシイ チュウガッコウ ガッコウ ヨウラン</v>
      </c>
      <c r="D722" t="str">
        <f>"岡山市立石井中学校"</f>
        <v>岡山市立石井中学校</v>
      </c>
      <c r="E722" t="str">
        <f>"オカヤマシリツ イシイ チュウガッコウ"</f>
        <v>オカヤマシリツ イシイ チュウガッコウ</v>
      </c>
      <c r="F722" t="str">
        <f t="shared" si="39"/>
        <v>岡山</v>
      </c>
      <c r="G722" t="str">
        <f>"日刊"</f>
        <v>日刊</v>
      </c>
      <c r="H722" t="str">
        <f>"2002222336659"</f>
        <v>2002222336659</v>
      </c>
      <c r="I722" t="str">
        <f>HYPERLINK("#", "https://opac.libnet.pref.okayama.jp/licsxp-opac/WOpacMsgNewListToTifTilDetailAction.do?tilcod=2002222336659")</f>
        <v>https://opac.libnet.pref.okayama.jp/licsxp-opac/WOpacMsgNewListToTifTilDetailAction.do?tilcod=2002222336659</v>
      </c>
    </row>
    <row r="723" spans="1:9" x14ac:dyDescent="0.4">
      <c r="A723" t="str">
        <f>"[岡山市立犬島幼稚園 犬島小学校 犬島中学校]学校要覧"</f>
        <v>[岡山市立犬島幼稚園 犬島小学校 犬島中学校]学校要覧</v>
      </c>
      <c r="B723" s="1" t="str">
        <f t="shared" si="38"/>
        <v>[岡山市立犬島幼稚園 犬島小学校 犬島中学校]学校要覧</v>
      </c>
      <c r="C723" t="str">
        <f>"オカヤマ シリツ イヌジマ ヨウチエン イヌジマ ショウガッコウ イヌジマ チュウガッコウ ガッコウ ヨウラン"</f>
        <v>オカヤマ シリツ イヌジマ ヨウチエン イヌジマ ショウガッコウ イヌジマ チュウガッコウ ガッコウ ヨウラン</v>
      </c>
      <c r="D723" t="str">
        <f>"岡山市立犬島幼稚園"</f>
        <v>岡山市立犬島幼稚園</v>
      </c>
      <c r="E723" t="str">
        <f>"オカヤマ シリツ イヌジマ ヨウチエン"</f>
        <v>オカヤマ シリツ イヌジマ ヨウチエン</v>
      </c>
      <c r="F723" t="str">
        <f t="shared" si="39"/>
        <v>岡山</v>
      </c>
      <c r="G723" t="str">
        <f>"年刊"</f>
        <v>年刊</v>
      </c>
      <c r="H723" t="str">
        <f>"2002222336669"</f>
        <v>2002222336669</v>
      </c>
      <c r="I723" t="str">
        <f>HYPERLINK("#", "https://opac.libnet.pref.okayama.jp/licsxp-opac/WOpacMsgNewListToTifTilDetailAction.do?tilcod=2002222336669")</f>
        <v>https://opac.libnet.pref.okayama.jp/licsxp-opac/WOpacMsgNewListToTifTilDetailAction.do?tilcod=2002222336669</v>
      </c>
    </row>
    <row r="724" spans="1:9" x14ac:dyDescent="0.4">
      <c r="A724" t="str">
        <f>"〔岡山市立岡山後楽館高等学校〕愛と創造"</f>
        <v>〔岡山市立岡山後楽館高等学校〕愛と創造</v>
      </c>
      <c r="B724" s="1" t="str">
        <f t="shared" si="38"/>
        <v>〔岡山市立岡山後楽館高等学校〕愛と創造</v>
      </c>
      <c r="C724" t="str">
        <f>"オカヤマ　シリツ　オカヤマ　コウラクカン　コウトウ　ガッコウ＊アイ　ト　ソウゾウ"</f>
        <v>オカヤマ　シリツ　オカヤマ　コウラクカン　コウトウ　ガッコウ＊アイ　ト　ソウゾウ</v>
      </c>
      <c r="D724" t="str">
        <f>"岡山市立岡山後楽館高等学校"</f>
        <v>岡山市立岡山後楽館高等学校</v>
      </c>
      <c r="E724" t="str">
        <f>"オカヤマシリツオカヤマコウラクカンコウトウガッコウ"</f>
        <v>オカヤマシリツオカヤマコウラクカンコウトウガッコウ</v>
      </c>
      <c r="F724" t="str">
        <f t="shared" si="39"/>
        <v>岡山</v>
      </c>
      <c r="G724" t="str">
        <f>"頻度不明"</f>
        <v>頻度不明</v>
      </c>
      <c r="H724" t="str">
        <f>"2002222302050"</f>
        <v>2002222302050</v>
      </c>
      <c r="I724" t="str">
        <f>HYPERLINK("#", "https://opac.libnet.pref.okayama.jp/licsxp-opac/WOpacMsgNewListToTifTilDetailAction.do?tilcod=2002222302050")</f>
        <v>https://opac.libnet.pref.okayama.jp/licsxp-opac/WOpacMsgNewListToTifTilDetailAction.do?tilcod=2002222302050</v>
      </c>
    </row>
    <row r="725" spans="1:9" x14ac:dyDescent="0.4">
      <c r="A725" t="str">
        <f>"[岡山市立吉備中学校]学校要覧"</f>
        <v>[岡山市立吉備中学校]学校要覧</v>
      </c>
      <c r="B725" s="1" t="str">
        <f t="shared" si="38"/>
        <v>[岡山市立吉備中学校]学校要覧</v>
      </c>
      <c r="C725" t="str">
        <f>"オカヤマ シリツ キビ チュウガッコウ ガッコウ ヨウラン"</f>
        <v>オカヤマ シリツ キビ チュウガッコウ ガッコウ ヨウラン</v>
      </c>
      <c r="D725" t="str">
        <f>"岡山市立吉備中学校"</f>
        <v>岡山市立吉備中学校</v>
      </c>
      <c r="E725" t="str">
        <f>"オカヤマシリツキビチュウガッコウ"</f>
        <v>オカヤマシリツキビチュウガッコウ</v>
      </c>
      <c r="F725" t="str">
        <f t="shared" si="39"/>
        <v>岡山</v>
      </c>
      <c r="G725" t="str">
        <f t="shared" ref="G725:G739" si="40">"年刊"</f>
        <v>年刊</v>
      </c>
      <c r="H725" t="str">
        <f>"2002222336661"</f>
        <v>2002222336661</v>
      </c>
      <c r="I725" t="str">
        <f>HYPERLINK("#", "https://opac.libnet.pref.okayama.jp/licsxp-opac/WOpacMsgNewListToTifTilDetailAction.do?tilcod=2002222336661")</f>
        <v>https://opac.libnet.pref.okayama.jp/licsxp-opac/WOpacMsgNewListToTifTilDetailAction.do?tilcod=2002222336661</v>
      </c>
    </row>
    <row r="726" spans="1:9" x14ac:dyDescent="0.4">
      <c r="A726" t="str">
        <f>"[岡山市立興除中学校]学校要覧"</f>
        <v>[岡山市立興除中学校]学校要覧</v>
      </c>
      <c r="B726" s="1" t="str">
        <f t="shared" si="38"/>
        <v>[岡山市立興除中学校]学校要覧</v>
      </c>
      <c r="C726" t="str">
        <f>"オカヤマ シリツ コウジョ チュウガッコウ ガッコウ ヨウラン"</f>
        <v>オカヤマ シリツ コウジョ チュウガッコウ ガッコウ ヨウラン</v>
      </c>
      <c r="D726" t="str">
        <f>"岡山市立興除中学校"</f>
        <v>岡山市立興除中学校</v>
      </c>
      <c r="E726" t="str">
        <f>"オカヤマシリツ コウジョ チュウガッコウ"</f>
        <v>オカヤマシリツ コウジョ チュウガッコウ</v>
      </c>
      <c r="F726" t="str">
        <f t="shared" si="39"/>
        <v>岡山</v>
      </c>
      <c r="G726" t="str">
        <f t="shared" si="40"/>
        <v>年刊</v>
      </c>
      <c r="H726" t="str">
        <f>"2002222336664"</f>
        <v>2002222336664</v>
      </c>
      <c r="I726" t="str">
        <f>HYPERLINK("#", "https://opac.libnet.pref.okayama.jp/licsxp-opac/WOpacMsgNewListToTifTilDetailAction.do?tilcod=2002222336664")</f>
        <v>https://opac.libnet.pref.okayama.jp/licsxp-opac/WOpacMsgNewListToTifTilDetailAction.do?tilcod=2002222336664</v>
      </c>
    </row>
    <row r="727" spans="1:9" x14ac:dyDescent="0.4">
      <c r="A727" t="str">
        <f>"[岡山市立岡北中学校]学校要覧"</f>
        <v>[岡山市立岡北中学校]学校要覧</v>
      </c>
      <c r="B727" s="1" t="str">
        <f t="shared" si="38"/>
        <v>[岡山市立岡北中学校]学校要覧</v>
      </c>
      <c r="C727" t="str">
        <f>"オカヤマ シリツ コウホク チュウガッコウ ガッコウ ヨウラン"</f>
        <v>オカヤマ シリツ コウホク チュウガッコウ ガッコウ ヨウラン</v>
      </c>
      <c r="D727" t="str">
        <f>"岡山市立岡北中学校"</f>
        <v>岡山市立岡北中学校</v>
      </c>
      <c r="E727" t="str">
        <f>"オカヤマシリツ コウホク チュウガッコウ"</f>
        <v>オカヤマシリツ コウホク チュウガッコウ</v>
      </c>
      <c r="F727" t="str">
        <f t="shared" si="39"/>
        <v>岡山</v>
      </c>
      <c r="G727" t="str">
        <f t="shared" si="40"/>
        <v>年刊</v>
      </c>
      <c r="H727" t="str">
        <f>"2002222336667"</f>
        <v>2002222336667</v>
      </c>
      <c r="I727" t="str">
        <f>HYPERLINK("#", "https://opac.libnet.pref.okayama.jp/licsxp-opac/WOpacMsgNewListToTifTilDetailAction.do?tilcod=2002222336667")</f>
        <v>https://opac.libnet.pref.okayama.jp/licsxp-opac/WOpacMsgNewListToTifTilDetailAction.do?tilcod=2002222336667</v>
      </c>
    </row>
    <row r="728" spans="1:9" x14ac:dyDescent="0.4">
      <c r="A728" t="str">
        <f>"[岡山市立香和中学校]学校要覧"</f>
        <v>[岡山市立香和中学校]学校要覧</v>
      </c>
      <c r="B728" s="1" t="str">
        <f t="shared" si="38"/>
        <v>[岡山市立香和中学校]学校要覧</v>
      </c>
      <c r="C728" t="str">
        <f>"オカヤマ シリツ コウワ チュウガッコウ ガッコウ ヨウラン"</f>
        <v>オカヤマ シリツ コウワ チュウガッコウ ガッコウ ヨウラン</v>
      </c>
      <c r="D728" t="str">
        <f>"岡山市立香和中学校"</f>
        <v>岡山市立香和中学校</v>
      </c>
      <c r="E728" t="str">
        <f>"オカヤマシリツ コウワ チュウガッコウ"</f>
        <v>オカヤマシリツ コウワ チュウガッコウ</v>
      </c>
      <c r="F728" t="str">
        <f t="shared" si="39"/>
        <v>岡山</v>
      </c>
      <c r="G728" t="str">
        <f t="shared" si="40"/>
        <v>年刊</v>
      </c>
      <c r="H728" t="str">
        <f>"2002222336666"</f>
        <v>2002222336666</v>
      </c>
      <c r="I728" t="str">
        <f>HYPERLINK("#", "https://opac.libnet.pref.okayama.jp/licsxp-opac/WOpacMsgNewListToTifTilDetailAction.do?tilcod=2002222336666")</f>
        <v>https://opac.libnet.pref.okayama.jp/licsxp-opac/WOpacMsgNewListToTifTilDetailAction.do?tilcod=2002222336666</v>
      </c>
    </row>
    <row r="729" spans="1:9" x14ac:dyDescent="0.4">
      <c r="A729" t="str">
        <f>"[岡山市立西大寺中学校]学校要覧"</f>
        <v>[岡山市立西大寺中学校]学校要覧</v>
      </c>
      <c r="B729" s="1" t="str">
        <f t="shared" si="38"/>
        <v>[岡山市立西大寺中学校]学校要覧</v>
      </c>
      <c r="C729" t="str">
        <f>"オカヤマ シリツ サイダイジ チュウガッコウ ガッコウ ヨウラン"</f>
        <v>オカヤマ シリツ サイダイジ チュウガッコウ ガッコウ ヨウラン</v>
      </c>
      <c r="D729" t="str">
        <f>"岡山市立西大寺中学校"</f>
        <v>岡山市立西大寺中学校</v>
      </c>
      <c r="E729" t="str">
        <f>"オカヤマ シリツ サイダイジ チュウガッコウ"</f>
        <v>オカヤマ シリツ サイダイジ チュウガッコウ</v>
      </c>
      <c r="F729" t="str">
        <f t="shared" si="39"/>
        <v>岡山</v>
      </c>
      <c r="G729" t="str">
        <f t="shared" si="40"/>
        <v>年刊</v>
      </c>
      <c r="H729" t="str">
        <f>"2002222336662"</f>
        <v>2002222336662</v>
      </c>
      <c r="I729" t="str">
        <f>HYPERLINK("#", "https://opac.libnet.pref.okayama.jp/licsxp-opac/WOpacMsgNewListToTifTilDetailAction.do?tilcod=2002222336662")</f>
        <v>https://opac.libnet.pref.okayama.jp/licsxp-opac/WOpacMsgNewListToTifTilDetailAction.do?tilcod=2002222336662</v>
      </c>
    </row>
    <row r="730" spans="1:9" x14ac:dyDescent="0.4">
      <c r="A730" t="str">
        <f>"岡山市立鹿田小学校学校要覧"</f>
        <v>岡山市立鹿田小学校学校要覧</v>
      </c>
      <c r="B730" s="1" t="str">
        <f t="shared" si="38"/>
        <v>岡山市立鹿田小学校学校要覧</v>
      </c>
      <c r="C730" t="str">
        <f>"オカヤマ シリツ シカタ ショウガッコウ ガッコウ ヨウラン"</f>
        <v>オカヤマ シリツ シカタ ショウガッコウ ガッコウ ヨウラン</v>
      </c>
      <c r="D730" t="str">
        <f>"岡山市立鹿田小学校"</f>
        <v>岡山市立鹿田小学校</v>
      </c>
      <c r="E730" t="str">
        <f>"オカヤマシリツ シカタ ショウガッコウ"</f>
        <v>オカヤマシリツ シカタ ショウガッコウ</v>
      </c>
      <c r="F730" t="str">
        <f t="shared" si="39"/>
        <v>岡山</v>
      </c>
      <c r="G730" t="str">
        <f t="shared" si="40"/>
        <v>年刊</v>
      </c>
      <c r="H730" t="str">
        <f>"2002222313066"</f>
        <v>2002222313066</v>
      </c>
      <c r="I730" t="str">
        <f>HYPERLINK("#", "https://opac.libnet.pref.okayama.jp/licsxp-opac/WOpacMsgNewListToTifTilDetailAction.do?tilcod=2002222313066")</f>
        <v>https://opac.libnet.pref.okayama.jp/licsxp-opac/WOpacMsgNewListToTifTilDetailAction.do?tilcod=2002222313066</v>
      </c>
    </row>
    <row r="731" spans="1:9" x14ac:dyDescent="0.4">
      <c r="A731" t="str">
        <f>"〔岡山市立青年の家〕所報"</f>
        <v>〔岡山市立青年の家〕所報</v>
      </c>
      <c r="B731" s="1" t="str">
        <f t="shared" si="38"/>
        <v>〔岡山市立青年の家〕所報</v>
      </c>
      <c r="C731" t="str">
        <f>"オカヤマ　シリツ　セイネン　ノ　イエ＊ショホウ"</f>
        <v>オカヤマ　シリツ　セイネン　ノ　イエ＊ショホウ</v>
      </c>
      <c r="D731" t="str">
        <f>"岡山市立青年の家"</f>
        <v>岡山市立青年の家</v>
      </c>
      <c r="E731" t="str">
        <f>"オカヤマ　シリツ　セイネン　ノ　イエ"</f>
        <v>オカヤマ　シリツ　セイネン　ノ　イエ</v>
      </c>
      <c r="F731" t="str">
        <f>""</f>
        <v/>
      </c>
      <c r="G731" t="str">
        <f t="shared" si="40"/>
        <v>年刊</v>
      </c>
      <c r="H731" t="str">
        <f>"2002222288341"</f>
        <v>2002222288341</v>
      </c>
      <c r="I731" t="str">
        <f>HYPERLINK("#", "https://opac.libnet.pref.okayama.jp/licsxp-opac/WOpacMsgNewListToTifTilDetailAction.do?tilcod=2002222288341")</f>
        <v>https://opac.libnet.pref.okayama.jp/licsxp-opac/WOpacMsgNewListToTifTilDetailAction.do?tilcod=2002222288341</v>
      </c>
    </row>
    <row r="732" spans="1:9" x14ac:dyDescent="0.4">
      <c r="A732" t="str">
        <f>"[岡山市立妹尾中学校]学校要覧"</f>
        <v>[岡山市立妹尾中学校]学校要覧</v>
      </c>
      <c r="B732" s="1" t="str">
        <f t="shared" si="38"/>
        <v>[岡山市立妹尾中学校]学校要覧</v>
      </c>
      <c r="C732" t="str">
        <f>"オカヤマ シリツ セノオ チュウガッコウ ガッコウ ヨウラン"</f>
        <v>オカヤマ シリツ セノオ チュウガッコウ ガッコウ ヨウラン</v>
      </c>
      <c r="D732" t="str">
        <f>"岡山市立妹尾中学校"</f>
        <v>岡山市立妹尾中学校</v>
      </c>
      <c r="E732" t="str">
        <f>"オカヤマシリツ セノオ チュウガッコウ"</f>
        <v>オカヤマシリツ セノオ チュウガッコウ</v>
      </c>
      <c r="F732" t="str">
        <f t="shared" ref="F732:F740" si="41">"岡山"</f>
        <v>岡山</v>
      </c>
      <c r="G732" t="str">
        <f t="shared" si="40"/>
        <v>年刊</v>
      </c>
      <c r="H732" t="str">
        <f>"2002222336658"</f>
        <v>2002222336658</v>
      </c>
      <c r="I732" t="str">
        <f>HYPERLINK("#", "https://opac.libnet.pref.okayama.jp/licsxp-opac/WOpacMsgNewListToTifTilDetailAction.do?tilcod=2002222336658")</f>
        <v>https://opac.libnet.pref.okayama.jp/licsxp-opac/WOpacMsgNewListToTifTilDetailAction.do?tilcod=2002222336658</v>
      </c>
    </row>
    <row r="733" spans="1:9" x14ac:dyDescent="0.4">
      <c r="A733" t="str">
        <f>"[岡山市立操南中学校]学校要覧"</f>
        <v>[岡山市立操南中学校]学校要覧</v>
      </c>
      <c r="B733" s="1" t="str">
        <f t="shared" si="38"/>
        <v>[岡山市立操南中学校]学校要覧</v>
      </c>
      <c r="C733" t="str">
        <f>"オカヤマ シリツ ソウナン チュウガッコウ ガッコウ ヨウラン"</f>
        <v>オカヤマ シリツ ソウナン チュウガッコウ ガッコウ ヨウラン</v>
      </c>
      <c r="D733" t="str">
        <f>"岡山市立操南中学校"</f>
        <v>岡山市立操南中学校</v>
      </c>
      <c r="E733" t="str">
        <f>"オカヤマシリツ ソウナン チュウガッコウ"</f>
        <v>オカヤマシリツ ソウナン チュウガッコウ</v>
      </c>
      <c r="F733" t="str">
        <f t="shared" si="41"/>
        <v>岡山</v>
      </c>
      <c r="G733" t="str">
        <f t="shared" si="40"/>
        <v>年刊</v>
      </c>
      <c r="H733" t="str">
        <f>"2002222336663"</f>
        <v>2002222336663</v>
      </c>
      <c r="I733" t="str">
        <f>HYPERLINK("#", "https://opac.libnet.pref.okayama.jp/licsxp-opac/WOpacMsgNewListToTifTilDetailAction.do?tilcod=2002222336663")</f>
        <v>https://opac.libnet.pref.okayama.jp/licsxp-opac/WOpacMsgNewListToTifTilDetailAction.do?tilcod=2002222336663</v>
      </c>
    </row>
    <row r="734" spans="1:9" x14ac:dyDescent="0.4">
      <c r="A734" t="str">
        <f>"[岡山市立中山中学校]学校要覧"</f>
        <v>[岡山市立中山中学校]学校要覧</v>
      </c>
      <c r="B734" s="1" t="str">
        <f t="shared" si="38"/>
        <v>[岡山市立中山中学校]学校要覧</v>
      </c>
      <c r="C734" t="str">
        <f>"オカヤマ シリツ チュウザン チュウガッコウ ガッコウ ヨウラン"</f>
        <v>オカヤマ シリツ チュウザン チュウガッコウ ガッコウ ヨウラン</v>
      </c>
      <c r="D734" t="str">
        <f>"岡山市立中山中学校"</f>
        <v>岡山市立中山中学校</v>
      </c>
      <c r="E734" t="str">
        <f>"オカヤマシリツ チュウザン チュウガッコウ"</f>
        <v>オカヤマシリツ チュウザン チュウガッコウ</v>
      </c>
      <c r="F734" t="str">
        <f t="shared" si="41"/>
        <v>岡山</v>
      </c>
      <c r="G734" t="str">
        <f t="shared" si="40"/>
        <v>年刊</v>
      </c>
      <c r="H734" t="str">
        <f>"2002222336665"</f>
        <v>2002222336665</v>
      </c>
      <c r="I734" t="str">
        <f>HYPERLINK("#", "https://opac.libnet.pref.okayama.jp/licsxp-opac/WOpacMsgNewListToTifTilDetailAction.do?tilcod=2002222336665")</f>
        <v>https://opac.libnet.pref.okayama.jp/licsxp-opac/WOpacMsgNewListToTifTilDetailAction.do?tilcod=2002222336665</v>
      </c>
    </row>
    <row r="735" spans="1:9" x14ac:dyDescent="0.4">
      <c r="A735" t="str">
        <f>"[岡山市立南輝小学校]学校要覧"</f>
        <v>[岡山市立南輝小学校]学校要覧</v>
      </c>
      <c r="B735" s="1" t="str">
        <f t="shared" si="38"/>
        <v>[岡山市立南輝小学校]学校要覧</v>
      </c>
      <c r="C735" t="str">
        <f>"オカヤマ シリツ ナンキ ショウガッコウ ガッコウ ヨウラン"</f>
        <v>オカヤマ シリツ ナンキ ショウガッコウ ガッコウ ヨウラン</v>
      </c>
      <c r="D735" t="str">
        <f>"岡山市立南輝小学校"</f>
        <v>岡山市立南輝小学校</v>
      </c>
      <c r="E735" t="str">
        <f>""</f>
        <v/>
      </c>
      <c r="F735" t="str">
        <f t="shared" si="41"/>
        <v>岡山</v>
      </c>
      <c r="G735" t="str">
        <f t="shared" si="40"/>
        <v>年刊</v>
      </c>
      <c r="H735" t="str">
        <f>"2002222338950"</f>
        <v>2002222338950</v>
      </c>
      <c r="I735" t="str">
        <f>HYPERLINK("#", "https://opac.libnet.pref.okayama.jp/licsxp-opac/WOpacMsgNewListToTifTilDetailAction.do?tilcod=2002222338950")</f>
        <v>https://opac.libnet.pref.okayama.jp/licsxp-opac/WOpacMsgNewListToTifTilDetailAction.do?tilcod=2002222338950</v>
      </c>
    </row>
    <row r="736" spans="1:9" x14ac:dyDescent="0.4">
      <c r="A736" t="str">
        <f>"[岡山市立東山中学校]学校要覧"</f>
        <v>[岡山市立東山中学校]学校要覧</v>
      </c>
      <c r="B736" s="1" t="str">
        <f t="shared" si="38"/>
        <v>[岡山市立東山中学校]学校要覧</v>
      </c>
      <c r="C736" t="str">
        <f>"オカヤマ シリツ ヒガシヤマ チュウガッコウ ガッコウ ヨウラン"</f>
        <v>オカヤマ シリツ ヒガシヤマ チュウガッコウ ガッコウ ヨウラン</v>
      </c>
      <c r="D736" t="str">
        <f>"岡山市立東山中学校"</f>
        <v>岡山市立東山中学校</v>
      </c>
      <c r="E736" t="str">
        <f>"オカヤマシリツ ヒガシヤマ チュウガッコウ"</f>
        <v>オカヤマシリツ ヒガシヤマ チュウガッコウ</v>
      </c>
      <c r="F736" t="str">
        <f t="shared" si="41"/>
        <v>岡山</v>
      </c>
      <c r="G736" t="str">
        <f t="shared" si="40"/>
        <v>年刊</v>
      </c>
      <c r="H736" t="str">
        <f>"2002222336657"</f>
        <v>2002222336657</v>
      </c>
      <c r="I736" t="str">
        <f>HYPERLINK("#", "https://opac.libnet.pref.okayama.jp/licsxp-opac/WOpacMsgNewListToTifTilDetailAction.do?tilcod=2002222336657")</f>
        <v>https://opac.libnet.pref.okayama.jp/licsxp-opac/WOpacMsgNewListToTifTilDetailAction.do?tilcod=2002222336657</v>
      </c>
    </row>
    <row r="737" spans="1:9" x14ac:dyDescent="0.4">
      <c r="A737" t="str">
        <f>"[岡山市立福南中学校]学校要覧"</f>
        <v>[岡山市立福南中学校]学校要覧</v>
      </c>
      <c r="B737" s="1" t="str">
        <f t="shared" si="38"/>
        <v>[岡山市立福南中学校]学校要覧</v>
      </c>
      <c r="C737" t="str">
        <f>"オカヤマ シリツ フクナン チュウガッコウ ガッコウ ヨウラン"</f>
        <v>オカヤマ シリツ フクナン チュウガッコウ ガッコウ ヨウラン</v>
      </c>
      <c r="D737" t="str">
        <f>"岡山市立福南中学校"</f>
        <v>岡山市立福南中学校</v>
      </c>
      <c r="E737" t="str">
        <f>"オカヤマシリツフクナンチュウガッコウ"</f>
        <v>オカヤマシリツフクナンチュウガッコウ</v>
      </c>
      <c r="F737" t="str">
        <f t="shared" si="41"/>
        <v>岡山</v>
      </c>
      <c r="G737" t="str">
        <f t="shared" si="40"/>
        <v>年刊</v>
      </c>
      <c r="H737" t="str">
        <f>"2002222338133"</f>
        <v>2002222338133</v>
      </c>
      <c r="I737" t="str">
        <f>HYPERLINK("#", "https://opac.libnet.pref.okayama.jp/licsxp-opac/WOpacMsgNewListToTifTilDetailAction.do?tilcod=2002222338133")</f>
        <v>https://opac.libnet.pref.okayama.jp/licsxp-opac/WOpacMsgNewListToTifTilDetailAction.do?tilcod=2002222338133</v>
      </c>
    </row>
    <row r="738" spans="1:9" x14ac:dyDescent="0.4">
      <c r="A738" t="str">
        <f>"[岡山市立芳泉中学校]学校要覧"</f>
        <v>[岡山市立芳泉中学校]学校要覧</v>
      </c>
      <c r="B738" s="1" t="str">
        <f t="shared" si="38"/>
        <v>[岡山市立芳泉中学校]学校要覧</v>
      </c>
      <c r="C738" t="str">
        <f>"オカヤマ シリツ ホウセン チュウガッコウ ガッコウ ヨウラン"</f>
        <v>オカヤマ シリツ ホウセン チュウガッコウ ガッコウ ヨウラン</v>
      </c>
      <c r="D738" t="str">
        <f>"岡山市立芳泉中学校"</f>
        <v>岡山市立芳泉中学校</v>
      </c>
      <c r="E738" t="str">
        <f>"オカヤマ シリツ ホウセン チュウガッコウ"</f>
        <v>オカヤマ シリツ ホウセン チュウガッコウ</v>
      </c>
      <c r="F738" t="str">
        <f t="shared" si="41"/>
        <v>岡山</v>
      </c>
      <c r="G738" t="str">
        <f t="shared" si="40"/>
        <v>年刊</v>
      </c>
      <c r="H738" t="str">
        <f>"2002222338131"</f>
        <v>2002222338131</v>
      </c>
      <c r="I738" t="str">
        <f>HYPERLINK("#", "https://opac.libnet.pref.okayama.jp/licsxp-opac/WOpacMsgNewListToTifTilDetailAction.do?tilcod=2002222338131")</f>
        <v>https://opac.libnet.pref.okayama.jp/licsxp-opac/WOpacMsgNewListToTifTilDetailAction.do?tilcod=2002222338131</v>
      </c>
    </row>
    <row r="739" spans="1:9" x14ac:dyDescent="0.4">
      <c r="A739" t="str">
        <f>"[岡山市立芳田小学校]学校要覧"</f>
        <v>[岡山市立芳田小学校]学校要覧</v>
      </c>
      <c r="B739" s="1" t="str">
        <f t="shared" si="38"/>
        <v>[岡山市立芳田小学校]学校要覧</v>
      </c>
      <c r="C739" t="str">
        <f>"オカヤマ シリツ ヨシダ ショウガッコウ ガッコウ ヨウラン"</f>
        <v>オカヤマ シリツ ヨシダ ショウガッコウ ガッコウ ヨウラン</v>
      </c>
      <c r="D739" t="str">
        <f>"岡山市立芳田小学校"</f>
        <v>岡山市立芳田小学校</v>
      </c>
      <c r="E739" t="str">
        <f>"オカヤマシリツ ヨシダ ショウガッコウ"</f>
        <v>オカヤマシリツ ヨシダ ショウガッコウ</v>
      </c>
      <c r="F739" t="str">
        <f t="shared" si="41"/>
        <v>岡山</v>
      </c>
      <c r="G739" t="str">
        <f t="shared" si="40"/>
        <v>年刊</v>
      </c>
      <c r="H739" t="str">
        <f>"2002222338132"</f>
        <v>2002222338132</v>
      </c>
      <c r="I739" t="str">
        <f>HYPERLINK("#", "https://opac.libnet.pref.okayama.jp/licsxp-opac/WOpacMsgNewListToTifTilDetailAction.do?tilcod=2002222338132")</f>
        <v>https://opac.libnet.pref.okayama.jp/licsxp-opac/WOpacMsgNewListToTifTilDetailAction.do?tilcod=2002222338132</v>
      </c>
    </row>
    <row r="740" spans="1:9" x14ac:dyDescent="0.4">
      <c r="A740" t="str">
        <f>"岡山史料ネットNewsletter"</f>
        <v>岡山史料ネットNewsletter</v>
      </c>
      <c r="B740" s="1" t="str">
        <f t="shared" si="38"/>
        <v>岡山史料ネットNewsletter</v>
      </c>
      <c r="C740" t="str">
        <f>"オカヤマ シリョウ ネット ニュース レター"</f>
        <v>オカヤマ シリョウ ネット ニュース レター</v>
      </c>
      <c r="D740" t="str">
        <f>"岡山史料ネット"</f>
        <v>岡山史料ネット</v>
      </c>
      <c r="E740" t="str">
        <f>"オカヤマ シリョウ ネット"</f>
        <v>オカヤマ シリョウ ネット</v>
      </c>
      <c r="F740" t="str">
        <f t="shared" si="41"/>
        <v>岡山</v>
      </c>
      <c r="G740" t="str">
        <f>"年２回刊"</f>
        <v>年２回刊</v>
      </c>
      <c r="H740" t="str">
        <f>"2002222334848"</f>
        <v>2002222334848</v>
      </c>
      <c r="I740" t="str">
        <f>HYPERLINK("#", "https://opac.libnet.pref.okayama.jp/licsxp-opac/WOpacMsgNewListToTifTilDetailAction.do?tilcod=2002222334848")</f>
        <v>https://opac.libnet.pref.okayama.jp/licsxp-opac/WOpacMsgNewListToTifTilDetailAction.do?tilcod=2002222334848</v>
      </c>
    </row>
    <row r="741" spans="1:9" x14ac:dyDescent="0.4">
      <c r="A741" t="str">
        <f>"岡山振興局だよりおかやまエリアアイ"</f>
        <v>岡山振興局だよりおかやまエリアアイ</v>
      </c>
      <c r="B741" s="1" t="str">
        <f t="shared" si="38"/>
        <v>岡山振興局だよりおかやまエリアアイ</v>
      </c>
      <c r="C741" t="str">
        <f>"オカヤマ　シンコウキョク　ダヨリ　オカヤマ　エリア　アイ"</f>
        <v>オカヤマ　シンコウキョク　ダヨリ　オカヤマ　エリア　アイ</v>
      </c>
      <c r="D741" t="str">
        <f>"岡山地方振興局地域振興室"</f>
        <v>岡山地方振興局地域振興室</v>
      </c>
      <c r="E741" t="str">
        <f>"オカヤマチホウシンコウキョクチイキシンコウシツ"</f>
        <v>オカヤマチホウシンコウキョクチイキシンコウシツ</v>
      </c>
      <c r="F741" t="str">
        <f>"岡山市"</f>
        <v>岡山市</v>
      </c>
      <c r="G741" t="str">
        <f>"不定期刊"</f>
        <v>不定期刊</v>
      </c>
      <c r="H741" t="str">
        <f>"2002222281801"</f>
        <v>2002222281801</v>
      </c>
      <c r="I741" t="str">
        <f>HYPERLINK("#", "https://opac.libnet.pref.okayama.jp/licsxp-opac/WOpacMsgNewListToTifTilDetailAction.do?tilcod=2002222281801")</f>
        <v>https://opac.libnet.pref.okayama.jp/licsxp-opac/WOpacMsgNewListToTifTilDetailAction.do?tilcod=2002222281801</v>
      </c>
    </row>
    <row r="742" spans="1:9" x14ac:dyDescent="0.4">
      <c r="A742" t="str">
        <f>"おかやま人材銀行"</f>
        <v>おかやま人材銀行</v>
      </c>
      <c r="B742" s="1" t="str">
        <f t="shared" si="38"/>
        <v>おかやま人材銀行</v>
      </c>
      <c r="C742" t="str">
        <f>"オカヤマ　ジンザイ　ギンコウ"</f>
        <v>オカヤマ　ジンザイ　ギンコウ</v>
      </c>
      <c r="D742" t="str">
        <f>"岡山人材銀行"</f>
        <v>岡山人材銀行</v>
      </c>
      <c r="E742" t="str">
        <f>"オカヤマジンザイギンコウ"</f>
        <v>オカヤマジンザイギンコウ</v>
      </c>
      <c r="F742" t="str">
        <f>""</f>
        <v/>
      </c>
      <c r="G742" t="str">
        <f>"年刊"</f>
        <v>年刊</v>
      </c>
      <c r="H742" t="str">
        <f>"2002222280494"</f>
        <v>2002222280494</v>
      </c>
      <c r="I742" t="str">
        <f>HYPERLINK("#", "https://opac.libnet.pref.okayama.jp/licsxp-opac/WOpacMsgNewListToTifTilDetailAction.do?tilcod=2002222280494")</f>
        <v>https://opac.libnet.pref.okayama.jp/licsxp-opac/WOpacMsgNewListToTifTilDetailAction.do?tilcod=2002222280494</v>
      </c>
    </row>
    <row r="743" spans="1:9" x14ac:dyDescent="0.4">
      <c r="A743" t="str">
        <f>"岡山人材銀行ニュース"</f>
        <v>岡山人材銀行ニュース</v>
      </c>
      <c r="B743" s="1" t="str">
        <f t="shared" si="38"/>
        <v>岡山人材銀行ニュース</v>
      </c>
      <c r="C743" t="str">
        <f>"オカヤマ　ジンザイ　ギンコウ　ニュース"</f>
        <v>オカヤマ　ジンザイ　ギンコウ　ニュース</v>
      </c>
      <c r="D743" t="str">
        <f>"岡山人材銀行・岡山パートバンク"</f>
        <v>岡山人材銀行・岡山パートバンク</v>
      </c>
      <c r="E743" t="str">
        <f>"オカヤマジンザイギンコウオカヤマパートバンク"</f>
        <v>オカヤマジンザイギンコウオカヤマパートバンク</v>
      </c>
      <c r="F743" t="str">
        <f>"岡山"</f>
        <v>岡山</v>
      </c>
      <c r="G743" t="str">
        <f>"月刊"</f>
        <v>月刊</v>
      </c>
      <c r="H743" t="str">
        <f>"2002222288361"</f>
        <v>2002222288361</v>
      </c>
      <c r="I743" t="str">
        <f>HYPERLINK("#", "https://opac.libnet.pref.okayama.jp/licsxp-opac/WOpacMsgNewListToTifTilDetailAction.do?tilcod=2002222288361")</f>
        <v>https://opac.libnet.pref.okayama.jp/licsxp-opac/WOpacMsgNewListToTifTilDetailAction.do?tilcod=2002222288361</v>
      </c>
    </row>
    <row r="744" spans="1:9" x14ac:dyDescent="0.4">
      <c r="A744" t="str">
        <f>"おかやま人材プラザ"</f>
        <v>おかやま人材プラザ</v>
      </c>
      <c r="B744" s="1" t="str">
        <f t="shared" si="38"/>
        <v>おかやま人材プラザ</v>
      </c>
      <c r="C744" t="str">
        <f>"オカヤマ　ジンザイ　プラザ"</f>
        <v>オカヤマ　ジンザイ　プラザ</v>
      </c>
      <c r="D744" t="str">
        <f>"ハローワークプラザ岡山"</f>
        <v>ハローワークプラザ岡山</v>
      </c>
      <c r="E744" t="str">
        <f>"ハローワークプラザオカヤマ"</f>
        <v>ハローワークプラザオカヤマ</v>
      </c>
      <c r="F744" t="str">
        <f>"岡山"</f>
        <v>岡山</v>
      </c>
      <c r="G744" t="str">
        <f>"月刊"</f>
        <v>月刊</v>
      </c>
      <c r="H744" t="str">
        <f>"2002222292161"</f>
        <v>2002222292161</v>
      </c>
      <c r="I744" t="str">
        <f>HYPERLINK("#", "https://opac.libnet.pref.okayama.jp/licsxp-opac/WOpacMsgNewListToTifTilDetailAction.do?tilcod=2002222292161")</f>
        <v>https://opac.libnet.pref.okayama.jp/licsxp-opac/WOpacMsgNewListToTifTilDetailAction.do?tilcod=2002222292161</v>
      </c>
    </row>
    <row r="745" spans="1:9" x14ac:dyDescent="0.4">
      <c r="A745" t="str">
        <f>"岡山身障のあゆみ"</f>
        <v>岡山身障のあゆみ</v>
      </c>
      <c r="B745" s="1" t="str">
        <f t="shared" si="38"/>
        <v>岡山身障のあゆみ</v>
      </c>
      <c r="C745" t="str">
        <f>"オカヤマ シンショウ ノ アユミ"</f>
        <v>オカヤマ シンショウ ノ アユミ</v>
      </c>
      <c r="D745" t="str">
        <f>"岡山市身体障害者福祉協会"</f>
        <v>岡山市身体障害者福祉協会</v>
      </c>
      <c r="E745" t="str">
        <f>"オカヤマシ シンタイ ショウガイシャ フクシ キョウカイ"</f>
        <v>オカヤマシ シンタイ ショウガイシャ フクシ キョウカイ</v>
      </c>
      <c r="F745" t="str">
        <f>"岡山"</f>
        <v>岡山</v>
      </c>
      <c r="G745" t="str">
        <f>"頻度不明"</f>
        <v>頻度不明</v>
      </c>
      <c r="H745" t="str">
        <f>"2002222331926"</f>
        <v>2002222331926</v>
      </c>
      <c r="I745" t="str">
        <f>HYPERLINK("#", "https://opac.libnet.pref.okayama.jp/licsxp-opac/WOpacMsgNewListToTifTilDetailAction.do?tilcod=2002222331926")</f>
        <v>https://opac.libnet.pref.okayama.jp/licsxp-opac/WOpacMsgNewListToTifTilDetailAction.do?tilcod=2002222331926</v>
      </c>
    </row>
    <row r="746" spans="1:9" x14ac:dyDescent="0.4">
      <c r="A746" t="str">
        <f>"岡山神青"</f>
        <v>岡山神青</v>
      </c>
      <c r="B746" s="1" t="str">
        <f t="shared" si="38"/>
        <v>岡山神青</v>
      </c>
      <c r="C746" t="str">
        <f>"オカヤマ シンセイ"</f>
        <v>オカヤマ シンセイ</v>
      </c>
      <c r="D746" t="str">
        <f>"岡山県神道青年協議会"</f>
        <v>岡山県神道青年協議会</v>
      </c>
      <c r="E746" t="str">
        <f>"オカヤマケン シントウ セイネン キョウギカイ"</f>
        <v>オカヤマケン シントウ セイネン キョウギカイ</v>
      </c>
      <c r="F746" t="str">
        <f>"[総社]"</f>
        <v>[総社]</v>
      </c>
      <c r="G746" t="str">
        <f>"頻度不明"</f>
        <v>頻度不明</v>
      </c>
      <c r="H746" t="str">
        <f>"2002222342770"</f>
        <v>2002222342770</v>
      </c>
      <c r="I746" t="str">
        <f>HYPERLINK("#", "https://opac.libnet.pref.okayama.jp/licsxp-opac/WOpacMsgNewListToTifTilDetailAction.do?tilcod=2002222342770")</f>
        <v>https://opac.libnet.pref.okayama.jp/licsxp-opac/WOpacMsgNewListToTifTilDetailAction.do?tilcod=2002222342770</v>
      </c>
    </row>
    <row r="747" spans="1:9" x14ac:dyDescent="0.4">
      <c r="A747" t="str">
        <f>"Okayama Symphony Hall EVENT GUIDE；岡山シンフォニーホールイベント情報"</f>
        <v>Okayama Symphony Hall EVENT GUIDE；岡山シンフォニーホールイベント情報</v>
      </c>
      <c r="B747" s="1" t="str">
        <f t="shared" si="38"/>
        <v>Okayama Symphony Hall EVENT GUIDE；岡山シンフォニーホールイベント情報</v>
      </c>
      <c r="C747" t="str">
        <f>"オカヤマ シンフォニー ホール イベント ガイド＊オカヤマ シンフォニー ホール イベント ジョウホウ"</f>
        <v>オカヤマ シンフォニー ホール イベント ガイド＊オカヤマ シンフォニー ホール イベント ジョウホウ</v>
      </c>
      <c r="D747" t="str">
        <f>"岡山文化芸術創造"</f>
        <v>岡山文化芸術創造</v>
      </c>
      <c r="E747" t="str">
        <f>"オカヤマ ブンカ ゲイジュツ ソウゾウ"</f>
        <v>オカヤマ ブンカ ゲイジュツ ソウゾウ</v>
      </c>
      <c r="F747" t="str">
        <f t="shared" ref="F747:F764" si="42">"岡山"</f>
        <v>岡山</v>
      </c>
      <c r="G747" t="str">
        <f>"隔月刊"</f>
        <v>隔月刊</v>
      </c>
      <c r="H747" t="str">
        <f>"2002222326027"</f>
        <v>2002222326027</v>
      </c>
      <c r="I747" t="str">
        <f>HYPERLINK("#", "https://opac.libnet.pref.okayama.jp/licsxp-opac/WOpacMsgNewListToTifTilDetailAction.do?tilcod=2002222326027")</f>
        <v>https://opac.libnet.pref.okayama.jp/licsxp-opac/WOpacMsgNewListToTifTilDetailAction.do?tilcod=2002222326027</v>
      </c>
    </row>
    <row r="748" spans="1:9" x14ac:dyDescent="0.4">
      <c r="A748" t="str">
        <f>"岡山シンフォニーホール催物ご案内"</f>
        <v>岡山シンフォニーホール催物ご案内</v>
      </c>
      <c r="B748" s="1" t="str">
        <f t="shared" si="38"/>
        <v>岡山シンフォニーホール催物ご案内</v>
      </c>
      <c r="C748" t="str">
        <f>"オカヤマ　シンフォニー　ホール　モヨオシモノ　ゴ　アンナイ"</f>
        <v>オカヤマ　シンフォニー　ホール　モヨオシモノ　ゴ　アンナイ</v>
      </c>
      <c r="D748" t="str">
        <f>"岡山シンフォニーホール"</f>
        <v>岡山シンフォニーホール</v>
      </c>
      <c r="E748" t="str">
        <f>"オカヤマ シンフォニー ホール"</f>
        <v>オカヤマ シンフォニー ホール</v>
      </c>
      <c r="F748" t="str">
        <f t="shared" si="42"/>
        <v>岡山</v>
      </c>
      <c r="G748" t="str">
        <f>"隔月刊"</f>
        <v>隔月刊</v>
      </c>
      <c r="H748" t="str">
        <f>"2002222292181"</f>
        <v>2002222292181</v>
      </c>
      <c r="I748" t="str">
        <f>HYPERLINK("#", "https://opac.libnet.pref.okayama.jp/licsxp-opac/WOpacMsgNewListToTifTilDetailAction.do?tilcod=2002222292181")</f>
        <v>https://opac.libnet.pref.okayama.jp/licsxp-opac/WOpacMsgNewListToTifTilDetailAction.do?tilcod=2002222292181</v>
      </c>
    </row>
    <row r="749" spans="1:9" x14ac:dyDescent="0.4">
      <c r="A749" t="str">
        <f>"岡山シンフォニーホール友の会"</f>
        <v>岡山シンフォニーホール友の会</v>
      </c>
      <c r="B749" s="1" t="str">
        <f t="shared" si="38"/>
        <v>岡山シンフォニーホール友の会</v>
      </c>
      <c r="C749" t="str">
        <f>"オカヤマ　シンフォニーホール　トモ　ノ　カイ"</f>
        <v>オカヤマ　シンフォニーホール　トモ　ノ　カイ</v>
      </c>
      <c r="D749" t="str">
        <f>"岡山シンフォニーホール"</f>
        <v>岡山シンフォニーホール</v>
      </c>
      <c r="E749" t="str">
        <f>"オカヤマ シンフォニー ホール"</f>
        <v>オカヤマ シンフォニー ホール</v>
      </c>
      <c r="F749" t="str">
        <f t="shared" si="42"/>
        <v>岡山</v>
      </c>
      <c r="G749" t="str">
        <f>"頻度不明"</f>
        <v>頻度不明</v>
      </c>
      <c r="H749" t="str">
        <f>"2002222288371"</f>
        <v>2002222288371</v>
      </c>
      <c r="I749" t="str">
        <f>HYPERLINK("#", "https://opac.libnet.pref.okayama.jp/licsxp-opac/WOpacMsgNewListToTifTilDetailAction.do?tilcod=2002222288371")</f>
        <v>https://opac.libnet.pref.okayama.jp/licsxp-opac/WOpacMsgNewListToTifTilDetailAction.do?tilcod=2002222288371</v>
      </c>
    </row>
    <row r="750" spans="1:9" x14ac:dyDescent="0.4">
      <c r="A750" t="str">
        <f>"岡山新聞"</f>
        <v>岡山新聞</v>
      </c>
      <c r="B750" s="1" t="str">
        <f t="shared" si="38"/>
        <v>岡山新聞</v>
      </c>
      <c r="C750" t="str">
        <f>"オカヤマ　シンブン"</f>
        <v>オカヤマ　シンブン</v>
      </c>
      <c r="D750" t="str">
        <f>"岡山新聞社"</f>
        <v>岡山新聞社</v>
      </c>
      <c r="E750" t="str">
        <f>"オカヤマシンブンシャ"</f>
        <v>オカヤマシンブンシャ</v>
      </c>
      <c r="F750" t="str">
        <f t="shared" si="42"/>
        <v>岡山</v>
      </c>
      <c r="G750" t="str">
        <f>"日刊"</f>
        <v>日刊</v>
      </c>
      <c r="H750" t="str">
        <f>"2002222300832"</f>
        <v>2002222300832</v>
      </c>
      <c r="I750" t="str">
        <f>HYPERLINK("#", "https://opac.libnet.pref.okayama.jp/licsxp-opac/WOpacMsgNewListToTifTilDetailAction.do?tilcod=2002222300832")</f>
        <v>https://opac.libnet.pref.okayama.jp/licsxp-opac/WOpacMsgNewListToTifTilDetailAction.do?tilcod=2002222300832</v>
      </c>
    </row>
    <row r="751" spans="1:9" x14ac:dyDescent="0.4">
      <c r="A751" t="str">
        <f>"岡山新報"</f>
        <v>岡山新報</v>
      </c>
      <c r="B751" s="1" t="str">
        <f t="shared" si="38"/>
        <v>岡山新報</v>
      </c>
      <c r="C751" t="str">
        <f>"オカヤマ　シンポウ"</f>
        <v>オカヤマ　シンポウ</v>
      </c>
      <c r="D751" t="str">
        <f>"岡山新報社"</f>
        <v>岡山新報社</v>
      </c>
      <c r="E751" t="str">
        <f>"オカヤマ シンポウシャ"</f>
        <v>オカヤマ シンポウシャ</v>
      </c>
      <c r="F751" t="str">
        <f t="shared" si="42"/>
        <v>岡山</v>
      </c>
      <c r="G751" t="str">
        <f>"旬刊"</f>
        <v>旬刊</v>
      </c>
      <c r="H751" t="str">
        <f>"2002222300833"</f>
        <v>2002222300833</v>
      </c>
      <c r="I751" t="str">
        <f>HYPERLINK("#", "https://opac.libnet.pref.okayama.jp/licsxp-opac/WOpacMsgNewListToTifTilDetailAction.do?tilcod=2002222300833")</f>
        <v>https://opac.libnet.pref.okayama.jp/licsxp-opac/WOpacMsgNewListToTifTilDetailAction.do?tilcod=2002222300833</v>
      </c>
    </row>
    <row r="752" spans="1:9" x14ac:dyDescent="0.4">
      <c r="A752" t="str">
        <f>"岡山粋人"</f>
        <v>岡山粋人</v>
      </c>
      <c r="B752" s="1" t="str">
        <f t="shared" si="38"/>
        <v>岡山粋人</v>
      </c>
      <c r="C752" t="str">
        <f>"オカヤマ　スイジン"</f>
        <v>オカヤマ　スイジン</v>
      </c>
      <c r="D752" t="str">
        <f>"丸の内ジャーニー"</f>
        <v>丸の内ジャーニー</v>
      </c>
      <c r="E752" t="str">
        <f>"マルノウチ ジャーニー"</f>
        <v>マルノウチ ジャーニー</v>
      </c>
      <c r="F752" t="str">
        <f t="shared" si="42"/>
        <v>岡山</v>
      </c>
      <c r="G752" t="str">
        <f>"季刊"</f>
        <v>季刊</v>
      </c>
      <c r="H752" t="str">
        <f>"2002222302108"</f>
        <v>2002222302108</v>
      </c>
      <c r="I752" t="str">
        <f>HYPERLINK("#", "https://opac.libnet.pref.okayama.jp/licsxp-opac/WOpacMsgNewListToTifTilDetailAction.do?tilcod=2002222302108")</f>
        <v>https://opac.libnet.pref.okayama.jp/licsxp-opac/WOpacMsgNewListToTifTilDetailAction.do?tilcod=2002222302108</v>
      </c>
    </row>
    <row r="753" spans="1:9" x14ac:dyDescent="0.4">
      <c r="A753" t="str">
        <f>"ＯＫＡＹＡＭＡ　ＳＴＹＬＥ（オカヤマスタイル）"</f>
        <v>ＯＫＡＹＡＭＡ　ＳＴＹＬＥ（オカヤマスタイル）</v>
      </c>
      <c r="B753" s="1" t="str">
        <f t="shared" si="38"/>
        <v>ＯＫＡＹＡＭＡ　ＳＴＹＬＥ（オカヤマスタイル）</v>
      </c>
      <c r="C753" t="str">
        <f>"オカヤマ　スタイル"</f>
        <v>オカヤマ　スタイル</v>
      </c>
      <c r="D753" t="str">
        <f>"鹿嶋商店"</f>
        <v>鹿嶋商店</v>
      </c>
      <c r="E753" t="str">
        <f>"カシマショウテン"</f>
        <v>カシマショウテン</v>
      </c>
      <c r="F753" t="str">
        <f t="shared" si="42"/>
        <v>岡山</v>
      </c>
      <c r="G753" t="str">
        <f>"季刊"</f>
        <v>季刊</v>
      </c>
      <c r="H753" t="str">
        <f>"2002222302316"</f>
        <v>2002222302316</v>
      </c>
      <c r="I753" t="str">
        <f>HYPERLINK("#", "https://opac.libnet.pref.okayama.jp/licsxp-opac/WOpacMsgNewListToTifTilDetailAction.do?tilcod=2002222302316")</f>
        <v>https://opac.libnet.pref.okayama.jp/licsxp-opac/WOpacMsgNewListToTifTilDetailAction.do?tilcod=2002222302316</v>
      </c>
    </row>
    <row r="754" spans="1:9" x14ac:dyDescent="0.4">
      <c r="A754" t="str">
        <f>"〔岡山・生と死を考える会〕会報"</f>
        <v>〔岡山・生と死を考える会〕会報</v>
      </c>
      <c r="B754" s="1" t="str">
        <f t="shared" si="38"/>
        <v>〔岡山・生と死を考える会〕会報</v>
      </c>
      <c r="C754" t="str">
        <f>"オカヤマ　セイ　ト　シ　オ　カンガエル　カイ　カイホウ"</f>
        <v>オカヤマ　セイ　ト　シ　オ　カンガエル　カイ　カイホウ</v>
      </c>
      <c r="D754" t="str">
        <f>"岡山・生と死を考える会"</f>
        <v>岡山・生と死を考える会</v>
      </c>
      <c r="E754" t="str">
        <f>"オカヤマセイトシオカンガエルカイ"</f>
        <v>オカヤマセイトシオカンガエルカイ</v>
      </c>
      <c r="F754" t="str">
        <f t="shared" si="42"/>
        <v>岡山</v>
      </c>
      <c r="G754" t="str">
        <f>"頻度不明"</f>
        <v>頻度不明</v>
      </c>
      <c r="H754" t="str">
        <f>"2002222288391"</f>
        <v>2002222288391</v>
      </c>
      <c r="I754" t="str">
        <f>HYPERLINK("#", "https://opac.libnet.pref.okayama.jp/licsxp-opac/WOpacMsgNewListToTifTilDetailAction.do?tilcod=2002222288391")</f>
        <v>https://opac.libnet.pref.okayama.jp/licsxp-opac/WOpacMsgNewListToTifTilDetailAction.do?tilcod=2002222288391</v>
      </c>
    </row>
    <row r="755" spans="1:9" x14ac:dyDescent="0.4">
      <c r="A755" t="str">
        <f>"岡山政経展望"</f>
        <v>岡山政経展望</v>
      </c>
      <c r="B755" s="1" t="str">
        <f t="shared" si="38"/>
        <v>岡山政経展望</v>
      </c>
      <c r="C755" t="str">
        <f>"オカヤマ　セイケイ　テンボウ"</f>
        <v>オカヤマ　セイケイ　テンボウ</v>
      </c>
      <c r="D755" t="str">
        <f>"生活社"</f>
        <v>生活社</v>
      </c>
      <c r="E755" t="str">
        <f>"セイカツシャ"</f>
        <v>セイカツシャ</v>
      </c>
      <c r="F755" t="str">
        <f t="shared" si="42"/>
        <v>岡山</v>
      </c>
      <c r="G755" t="str">
        <f>"頻度不明"</f>
        <v>頻度不明</v>
      </c>
      <c r="H755" t="str">
        <f>"2002222288381"</f>
        <v>2002222288381</v>
      </c>
      <c r="I755" t="str">
        <f>HYPERLINK("#", "https://opac.libnet.pref.okayama.jp/licsxp-opac/WOpacMsgNewListToTifTilDetailAction.do?tilcod=2002222288381")</f>
        <v>https://opac.libnet.pref.okayama.jp/licsxp-opac/WOpacMsgNewListToTifTilDetailAction.do?tilcod=2002222288381</v>
      </c>
    </row>
    <row r="756" spans="1:9" x14ac:dyDescent="0.4">
      <c r="A756" t="str">
        <f>"岡山精神医療"</f>
        <v>岡山精神医療</v>
      </c>
      <c r="B756" s="1" t="str">
        <f t="shared" si="38"/>
        <v>岡山精神医療</v>
      </c>
      <c r="C756" t="str">
        <f>"オカヤマ セイシン イリョウ"</f>
        <v>オカヤマ セイシン イリョウ</v>
      </c>
      <c r="D756" t="str">
        <f>"岡山精神医療懇話会"</f>
        <v>岡山精神医療懇話会</v>
      </c>
      <c r="E756" t="str">
        <f>"オカヤマ セイシン イリョウ コンワカイ"</f>
        <v>オカヤマ セイシン イリョウ コンワカイ</v>
      </c>
      <c r="F756" t="str">
        <f t="shared" si="42"/>
        <v>岡山</v>
      </c>
      <c r="G756" t="str">
        <f>"頻度不明"</f>
        <v>頻度不明</v>
      </c>
      <c r="H756" t="str">
        <f>"2002222319730"</f>
        <v>2002222319730</v>
      </c>
      <c r="I756" t="str">
        <f>HYPERLINK("#", "https://opac.libnet.pref.okayama.jp/licsxp-opac/WOpacMsgNewListToTifTilDetailAction.do?tilcod=2002222319730")</f>
        <v>https://opac.libnet.pref.okayama.jp/licsxp-opac/WOpacMsgNewListToTifTilDetailAction.do?tilcod=2002222319730</v>
      </c>
    </row>
    <row r="757" spans="1:9" x14ac:dyDescent="0.4">
      <c r="A757" t="str">
        <f>"〔岡山西南ロータリークラブ〕"</f>
        <v>〔岡山西南ロータリークラブ〕</v>
      </c>
      <c r="B757" s="1" t="str">
        <f t="shared" si="38"/>
        <v>〔岡山西南ロータリークラブ〕</v>
      </c>
      <c r="C757" t="str">
        <f>"オカヤマ　セイナン　ロータリー　クラブ"</f>
        <v>オカヤマ　セイナン　ロータリー　クラブ</v>
      </c>
      <c r="D757" t="str">
        <f>"岡山西南ロータリークラブ"</f>
        <v>岡山西南ロータリークラブ</v>
      </c>
      <c r="E757" t="str">
        <f>"オカヤマセイナンロータリークラブ"</f>
        <v>オカヤマセイナンロータリークラブ</v>
      </c>
      <c r="F757" t="str">
        <f t="shared" si="42"/>
        <v>岡山</v>
      </c>
      <c r="G757" t="str">
        <f>"頻度不明"</f>
        <v>頻度不明</v>
      </c>
      <c r="H757" t="str">
        <f>"2002222288401"</f>
        <v>2002222288401</v>
      </c>
      <c r="I757" t="str">
        <f>HYPERLINK("#", "https://opac.libnet.pref.okayama.jp/licsxp-opac/WOpacMsgNewListToTifTilDetailAction.do?tilcod=2002222288401")</f>
        <v>https://opac.libnet.pref.okayama.jp/licsxp-opac/WOpacMsgNewListToTifTilDetailAction.do?tilcod=2002222288401</v>
      </c>
    </row>
    <row r="758" spans="1:9" x14ac:dyDescent="0.4">
      <c r="A758" t="str">
        <f>"岡山青年"</f>
        <v>岡山青年</v>
      </c>
      <c r="B758" s="1" t="str">
        <f t="shared" si="38"/>
        <v>岡山青年</v>
      </c>
      <c r="C758" t="str">
        <f>"オカヤマ　セイネン"</f>
        <v>オカヤマ　セイネン</v>
      </c>
      <c r="D758" t="str">
        <f>"岡山県連合青年団"</f>
        <v>岡山県連合青年団</v>
      </c>
      <c r="E758" t="str">
        <f>"オカヤマケンレンゴウセイネンダン"</f>
        <v>オカヤマケンレンゴウセイネンダン</v>
      </c>
      <c r="F758" t="str">
        <f t="shared" si="42"/>
        <v>岡山</v>
      </c>
      <c r="G758" t="str">
        <f>"月刊"</f>
        <v>月刊</v>
      </c>
      <c r="H758" t="str">
        <f>"2002222288411"</f>
        <v>2002222288411</v>
      </c>
      <c r="I758" t="str">
        <f>HYPERLINK("#", "https://opac.libnet.pref.okayama.jp/licsxp-opac/WOpacMsgNewListToTifTilDetailAction.do?tilcod=2002222288411")</f>
        <v>https://opac.libnet.pref.okayama.jp/licsxp-opac/WOpacMsgNewListToTifTilDetailAction.do?tilcod=2002222288411</v>
      </c>
    </row>
    <row r="759" spans="1:9" x14ac:dyDescent="0.4">
      <c r="A759" t="str">
        <f>"岡山赤十字病院医学雑誌"</f>
        <v>岡山赤十字病院医学雑誌</v>
      </c>
      <c r="B759" s="1" t="str">
        <f t="shared" si="38"/>
        <v>岡山赤十字病院医学雑誌</v>
      </c>
      <c r="C759" t="str">
        <f>"オカヤマ　セキジュウジ　ビョウイン　イガク　ザッシ"</f>
        <v>オカヤマ　セキジュウジ　ビョウイン　イガク　ザッシ</v>
      </c>
      <c r="D759" t="str">
        <f>"岡山赤十字病院医学雑誌編集委員会"</f>
        <v>岡山赤十字病院医学雑誌編集委員会</v>
      </c>
      <c r="E759" t="str">
        <f>"オカヤマセキジュウジビョウインイガクザッシヘンシュウイインカイ"</f>
        <v>オカヤマセキジュウジビョウインイガクザッシヘンシュウイインカイ</v>
      </c>
      <c r="F759" t="str">
        <f t="shared" si="42"/>
        <v>岡山</v>
      </c>
      <c r="G759" t="str">
        <f>"年刊"</f>
        <v>年刊</v>
      </c>
      <c r="H759" t="str">
        <f>"2002222294851"</f>
        <v>2002222294851</v>
      </c>
      <c r="I759" t="str">
        <f>HYPERLINK("#", "https://opac.libnet.pref.okayama.jp/licsxp-opac/WOpacMsgNewListToTifTilDetailAction.do?tilcod=2002222294851")</f>
        <v>https://opac.libnet.pref.okayama.jp/licsxp-opac/WOpacMsgNewListToTifTilDetailAction.do?tilcod=2002222294851</v>
      </c>
    </row>
    <row r="760" spans="1:9" x14ac:dyDescent="0.4">
      <c r="A760" t="str">
        <f>"岡山赤十字病院広報"</f>
        <v>岡山赤十字病院広報</v>
      </c>
      <c r="B760" s="1" t="str">
        <f t="shared" si="38"/>
        <v>岡山赤十字病院広報</v>
      </c>
      <c r="C760" t="str">
        <f>"オカヤマ　セキジュウジ　ビョウイン　コウホウ"</f>
        <v>オカヤマ　セキジュウジ　ビョウイン　コウホウ</v>
      </c>
      <c r="D760" t="str">
        <f>"岡山赤十字病院"</f>
        <v>岡山赤十字病院</v>
      </c>
      <c r="E760" t="str">
        <f>"オカヤマセキジュウジビョウイン"</f>
        <v>オカヤマセキジュウジビョウイン</v>
      </c>
      <c r="F760" t="str">
        <f t="shared" si="42"/>
        <v>岡山</v>
      </c>
      <c r="G760" t="str">
        <f>"月刊"</f>
        <v>月刊</v>
      </c>
      <c r="H760" t="str">
        <f>"2002222288421"</f>
        <v>2002222288421</v>
      </c>
      <c r="I760" t="str">
        <f>HYPERLINK("#", "https://opac.libnet.pref.okayama.jp/licsxp-opac/WOpacMsgNewListToTifTilDetailAction.do?tilcod=2002222288421")</f>
        <v>https://opac.libnet.pref.okayama.jp/licsxp-opac/WOpacMsgNewListToTifTilDetailAction.do?tilcod=2002222288421</v>
      </c>
    </row>
    <row r="761" spans="1:9" x14ac:dyDescent="0.4">
      <c r="A761" t="str">
        <f>"岡山瀬戸高等支援学校学校案内"</f>
        <v>岡山瀬戸高等支援学校学校案内</v>
      </c>
      <c r="B761" s="1" t="str">
        <f t="shared" si="38"/>
        <v>岡山瀬戸高等支援学校学校案内</v>
      </c>
      <c r="C761" t="str">
        <f>"オカヤマ　セト　コウトウ　シエン　ガッコウ　ガッコウ　アンナイ"</f>
        <v>オカヤマ　セト　コウトウ　シエン　ガッコウ　ガッコウ　アンナイ</v>
      </c>
      <c r="D761" t="str">
        <f>"岡山瀬戸高等支援学校"</f>
        <v>岡山瀬戸高等支援学校</v>
      </c>
      <c r="E761" t="str">
        <f>"オカヤマ セト コウトウ シエン ガッコウ"</f>
        <v>オカヤマ セト コウトウ シエン ガッコウ</v>
      </c>
      <c r="F761" t="str">
        <f t="shared" si="42"/>
        <v>岡山</v>
      </c>
      <c r="G761" t="str">
        <f>"年刊"</f>
        <v>年刊</v>
      </c>
      <c r="H761" t="str">
        <f>"2002222302054"</f>
        <v>2002222302054</v>
      </c>
      <c r="I761" t="str">
        <f>HYPERLINK("#", "https://opac.libnet.pref.okayama.jp/licsxp-opac/WOpacMsgNewListToTifTilDetailAction.do?tilcod=2002222302054")</f>
        <v>https://opac.libnet.pref.okayama.jp/licsxp-opac/WOpacMsgNewListToTifTilDetailAction.do?tilcod=2002222302054</v>
      </c>
    </row>
    <row r="762" spans="1:9" x14ac:dyDescent="0.4">
      <c r="A762" t="str">
        <f>"岡山瀬戸高等支援学校学校要覧"</f>
        <v>岡山瀬戸高等支援学校学校要覧</v>
      </c>
      <c r="B762" s="1" t="str">
        <f t="shared" si="38"/>
        <v>岡山瀬戸高等支援学校学校要覧</v>
      </c>
      <c r="C762" t="str">
        <f>"オカヤマ　セト　コウトウ　シエン　ガッコウ＊ガッコウ　ヨウラン"</f>
        <v>オカヤマ　セト　コウトウ　シエン　ガッコウ＊ガッコウ　ヨウラン</v>
      </c>
      <c r="D762" t="str">
        <f>"岡山瀬戸高等支援学校"</f>
        <v>岡山瀬戸高等支援学校</v>
      </c>
      <c r="E762" t="str">
        <f>"オカヤマ セト コウトウ シエン ガッコウ"</f>
        <v>オカヤマ セト コウトウ シエン ガッコウ</v>
      </c>
      <c r="F762" t="str">
        <f t="shared" si="42"/>
        <v>岡山</v>
      </c>
      <c r="G762" t="str">
        <f>"年刊"</f>
        <v>年刊</v>
      </c>
      <c r="H762" t="str">
        <f>"2002222302053"</f>
        <v>2002222302053</v>
      </c>
      <c r="I762" t="str">
        <f>HYPERLINK("#", "https://opac.libnet.pref.okayama.jp/licsxp-opac/WOpacMsgNewListToTifTilDetailAction.do?tilcod=2002222302053")</f>
        <v>https://opac.libnet.pref.okayama.jp/licsxp-opac/WOpacMsgNewListToTifTilDetailAction.do?tilcod=2002222302053</v>
      </c>
    </row>
    <row r="763" spans="1:9" x14ac:dyDescent="0.4">
      <c r="A763" t="str">
        <f>"〔岡山瀬戸高等支援学校〕研究紀要"</f>
        <v>〔岡山瀬戸高等支援学校〕研究紀要</v>
      </c>
      <c r="B763" s="1" t="str">
        <f t="shared" si="38"/>
        <v>〔岡山瀬戸高等支援学校〕研究紀要</v>
      </c>
      <c r="C763" t="str">
        <f>"オカヤマ　セト　コウトウ　シエン　ガッコウ＊ケンキュウ　キヨウ"</f>
        <v>オカヤマ　セト　コウトウ　シエン　ガッコウ＊ケンキュウ　キヨウ</v>
      </c>
      <c r="D763" t="str">
        <f>"岡山瀬戸高等支援学校"</f>
        <v>岡山瀬戸高等支援学校</v>
      </c>
      <c r="E763" t="str">
        <f>"オカヤマ セト コウトウ シエン ガッコウ"</f>
        <v>オカヤマ セト コウトウ シエン ガッコウ</v>
      </c>
      <c r="F763" t="str">
        <f t="shared" si="42"/>
        <v>岡山</v>
      </c>
      <c r="G763" t="str">
        <f>"年刊"</f>
        <v>年刊</v>
      </c>
      <c r="H763" t="str">
        <f>"2002222315607"</f>
        <v>2002222315607</v>
      </c>
      <c r="I763" t="str">
        <f>HYPERLINK("#", "https://opac.libnet.pref.okayama.jp/licsxp-opac/WOpacMsgNewListToTifTilDetailAction.do?tilcod=2002222315607")</f>
        <v>https://opac.libnet.pref.okayama.jp/licsxp-opac/WOpacMsgNewListToTifTilDetailAction.do?tilcod=2002222315607</v>
      </c>
    </row>
    <row r="764" spans="1:9" x14ac:dyDescent="0.4">
      <c r="A764" t="str">
        <f>"おかやま瀬戸大橋博'88"</f>
        <v>おかやま瀬戸大橋博'88</v>
      </c>
      <c r="B764" s="1" t="str">
        <f t="shared" si="38"/>
        <v>おかやま瀬戸大橋博'88</v>
      </c>
      <c r="C764" t="str">
        <f>"オカヤマ セトオオハシハク ハチジュウハチ"</f>
        <v>オカヤマ セトオオハシハク ハチジュウハチ</v>
      </c>
      <c r="D764" t="str">
        <f>"岡山県瀬戸大橋架橋記念博覧会協会"</f>
        <v>岡山県瀬戸大橋架橋記念博覧会協会</v>
      </c>
      <c r="E764" t="str">
        <f>"オカヤマケンセトオオハシカキョウキネンハクランカイキョウカイ"</f>
        <v>オカヤマケンセトオオハシカキョウキネンハクランカイキョウカイ</v>
      </c>
      <c r="F764" t="str">
        <f t="shared" si="42"/>
        <v>岡山</v>
      </c>
      <c r="G764" t="str">
        <f>"不定期刊"</f>
        <v>不定期刊</v>
      </c>
      <c r="H764" t="str">
        <f>"2002222288431"</f>
        <v>2002222288431</v>
      </c>
      <c r="I764" t="str">
        <f>HYPERLINK("#", "https://opac.libnet.pref.okayama.jp/licsxp-opac/WOpacMsgNewListToTifTilDetailAction.do?tilcod=2002222288431")</f>
        <v>https://opac.libnet.pref.okayama.jp/licsxp-opac/WOpacMsgNewListToTifTilDetailAction.do?tilcod=2002222288431</v>
      </c>
    </row>
    <row r="765" spans="1:9" x14ac:dyDescent="0.4">
      <c r="A765" t="str">
        <f>"おかやま総合畜産"</f>
        <v>おかやま総合畜産</v>
      </c>
      <c r="B765" s="1" t="str">
        <f t="shared" si="38"/>
        <v>おかやま総合畜産</v>
      </c>
      <c r="C765" t="str">
        <f>"オカヤマ ソウゴウ チクサン"</f>
        <v>オカヤマ ソウゴウ チクサン</v>
      </c>
      <c r="D765" t="str">
        <f>"岡山県総合畜産農業協同組合連合会"</f>
        <v>岡山県総合畜産農業協同組合連合会</v>
      </c>
      <c r="E765" t="str">
        <f>"オカヤマケン ソウゴウ チクサン ノウギョウ キョウドウ クミアイ レンゴウカイ"</f>
        <v>オカヤマケン ソウゴウ チクサン ノウギョウ キョウドウ クミアイ レンゴウカイ</v>
      </c>
      <c r="F765" t="str">
        <f>"[岡山]"</f>
        <v>[岡山]</v>
      </c>
      <c r="G765" t="str">
        <f>"頻度不明"</f>
        <v>頻度不明</v>
      </c>
      <c r="H765" t="str">
        <f>"2002222334570"</f>
        <v>2002222334570</v>
      </c>
      <c r="I765" t="str">
        <f>HYPERLINK("#", "https://opac.libnet.pref.okayama.jp/licsxp-opac/WOpacMsgNewListToTifTilDetailAction.do?tilcod=2002222334570")</f>
        <v>https://opac.libnet.pref.okayama.jp/licsxp-opac/WOpacMsgNewListToTifTilDetailAction.do?tilcod=2002222334570</v>
      </c>
    </row>
    <row r="766" spans="1:9" x14ac:dyDescent="0.4">
      <c r="A766" t="str">
        <f>"岡山操山高等学校学校案内"</f>
        <v>岡山操山高等学校学校案内</v>
      </c>
      <c r="B766" s="1" t="str">
        <f t="shared" si="38"/>
        <v>岡山操山高等学校学校案内</v>
      </c>
      <c r="C766" t="str">
        <f>"オカヤマ ソウザン コウトウ ガッコウ ガッコウ アンナイ"</f>
        <v>オカヤマ ソウザン コウトウ ガッコウ ガッコウ アンナイ</v>
      </c>
      <c r="D766" t="str">
        <f>"岡山操山高等学校"</f>
        <v>岡山操山高等学校</v>
      </c>
      <c r="E766" t="str">
        <f>"オカヤマソウザンコウトウガッコウ"</f>
        <v>オカヤマソウザンコウトウガッコウ</v>
      </c>
      <c r="F766" t="str">
        <f>"岡山"</f>
        <v>岡山</v>
      </c>
      <c r="G766" t="str">
        <f>"年刊"</f>
        <v>年刊</v>
      </c>
      <c r="H766" t="str">
        <f>"2002222301173"</f>
        <v>2002222301173</v>
      </c>
      <c r="I766" t="str">
        <f>HYPERLINK("#", "https://opac.libnet.pref.okayama.jp/licsxp-opac/WOpacMsgNewListToTifTilDetailAction.do?tilcod=2002222301173")</f>
        <v>https://opac.libnet.pref.okayama.jp/licsxp-opac/WOpacMsgNewListToTifTilDetailAction.do?tilcod=2002222301173</v>
      </c>
    </row>
    <row r="767" spans="1:9" x14ac:dyDescent="0.4">
      <c r="A767" t="str">
        <f>"岡山操山高等学校学校要覧"</f>
        <v>岡山操山高等学校学校要覧</v>
      </c>
      <c r="B767" s="1" t="str">
        <f t="shared" si="38"/>
        <v>岡山操山高等学校学校要覧</v>
      </c>
      <c r="C767" t="str">
        <f>"オカヤマ　ソウザン　コウトウ　ガッコウ　ガッコウ　ヨウラン"</f>
        <v>オカヤマ　ソウザン　コウトウ　ガッコウ　ガッコウ　ヨウラン</v>
      </c>
      <c r="D767" t="str">
        <f>"岡山操山高等学校"</f>
        <v>岡山操山高等学校</v>
      </c>
      <c r="E767" t="str">
        <f>"オカヤマソウザンコウトウガッコウ"</f>
        <v>オカヤマソウザンコウトウガッコウ</v>
      </c>
      <c r="F767" t="str">
        <f>"岡山"</f>
        <v>岡山</v>
      </c>
      <c r="G767" t="str">
        <f>"年刊"</f>
        <v>年刊</v>
      </c>
      <c r="H767" t="str">
        <f>"2002222300480"</f>
        <v>2002222300480</v>
      </c>
      <c r="I767" t="str">
        <f>HYPERLINK("#", "https://opac.libnet.pref.okayama.jp/licsxp-opac/WOpacMsgNewListToTifTilDetailAction.do?tilcod=2002222300480")</f>
        <v>https://opac.libnet.pref.okayama.jp/licsxp-opac/WOpacMsgNewListToTifTilDetailAction.do?tilcod=2002222300480</v>
      </c>
    </row>
    <row r="768" spans="1:9" x14ac:dyDescent="0.4">
      <c r="A768" t="str">
        <f>"〔岡山操山高等学校〕探求"</f>
        <v>〔岡山操山高等学校〕探求</v>
      </c>
      <c r="B768" s="1" t="str">
        <f t="shared" si="38"/>
        <v>〔岡山操山高等学校〕探求</v>
      </c>
      <c r="C768" t="str">
        <f>"オカヤマ ソウザン コウトウ ガッコウ タンキュウ"</f>
        <v>オカヤマ ソウザン コウトウ ガッコウ タンキュウ</v>
      </c>
      <c r="D768" t="str">
        <f>"〔出版者不明〕"</f>
        <v>〔出版者不明〕</v>
      </c>
      <c r="E768" t="str">
        <f>"シュッパンシャフメイ"</f>
        <v>シュッパンシャフメイ</v>
      </c>
      <c r="F768" t="str">
        <f>"〔岡山〕"</f>
        <v>〔岡山〕</v>
      </c>
      <c r="G768" t="str">
        <f>"頻度不明"</f>
        <v>頻度不明</v>
      </c>
      <c r="H768" t="str">
        <f>"2002222325848"</f>
        <v>2002222325848</v>
      </c>
      <c r="I768" t="str">
        <f>HYPERLINK("#", "https://opac.libnet.pref.okayama.jp/licsxp-opac/WOpacMsgNewListToTifTilDetailAction.do?tilcod=2002222325848")</f>
        <v>https://opac.libnet.pref.okayama.jp/licsxp-opac/WOpacMsgNewListToTifTilDetailAction.do?tilcod=2002222325848</v>
      </c>
    </row>
    <row r="769" spans="1:9" x14ac:dyDescent="0.4">
      <c r="A769" t="str">
        <f>"〔岡山操山高等学校通信制課程普通科〕学校案内"</f>
        <v>〔岡山操山高等学校通信制課程普通科〕学校案内</v>
      </c>
      <c r="B769" s="1" t="str">
        <f t="shared" si="38"/>
        <v>〔岡山操山高等学校通信制課程普通科〕学校案内</v>
      </c>
      <c r="C769" t="str">
        <f>"オカヤマ ソウザン コウトウ ガッコウ ツウシンセイ カテイ フツウカ＊ガッコウ アンナイ"</f>
        <v>オカヤマ ソウザン コウトウ ガッコウ ツウシンセイ カテイ フツウカ＊ガッコウ アンナイ</v>
      </c>
      <c r="D769" t="str">
        <f>"岡山操山高等学校通信制課程"</f>
        <v>岡山操山高等学校通信制課程</v>
      </c>
      <c r="E769" t="str">
        <f>"オカヤマソウザンコウトウガッコウツウシンセイカテイ"</f>
        <v>オカヤマソウザンコウトウガッコウツウシンセイカテイ</v>
      </c>
      <c r="F769" t="str">
        <f t="shared" ref="F769:F799" si="43">"岡山"</f>
        <v>岡山</v>
      </c>
      <c r="G769" t="str">
        <f>"頻度不明"</f>
        <v>頻度不明</v>
      </c>
      <c r="H769" t="str">
        <f>"2002222311906"</f>
        <v>2002222311906</v>
      </c>
      <c r="I769" t="str">
        <f>HYPERLINK("#", "https://opac.libnet.pref.okayama.jp/licsxp-opac/WOpacMsgNewListToTifTilDetailAction.do?tilcod=2002222311906")</f>
        <v>https://opac.libnet.pref.okayama.jp/licsxp-opac/WOpacMsgNewListToTifTilDetailAction.do?tilcod=2002222311906</v>
      </c>
    </row>
    <row r="770" spans="1:9" x14ac:dyDescent="0.4">
      <c r="A770" t="str">
        <f>"〔岡山操山高等学校通信制課程〕シラバス"</f>
        <v>〔岡山操山高等学校通信制課程〕シラバス</v>
      </c>
      <c r="B770" s="1" t="str">
        <f t="shared" si="38"/>
        <v>〔岡山操山高等学校通信制課程〕シラバス</v>
      </c>
      <c r="C770" t="str">
        <f>"オカヤマ　ソウザン　コウトウ　ガッコウ　ツウシンセイ　カテイ＊シラバス"</f>
        <v>オカヤマ　ソウザン　コウトウ　ガッコウ　ツウシンセイ　カテイ＊シラバス</v>
      </c>
      <c r="D770" t="str">
        <f>"岡山操山高等学校通信制課程"</f>
        <v>岡山操山高等学校通信制課程</v>
      </c>
      <c r="E770" t="str">
        <f>"オカヤマソウザンコウトウガッコウツウシンセイカテイ"</f>
        <v>オカヤマソウザンコウトウガッコウツウシンセイカテイ</v>
      </c>
      <c r="F770" t="str">
        <f t="shared" si="43"/>
        <v>岡山</v>
      </c>
      <c r="G770" t="str">
        <f>"年刊"</f>
        <v>年刊</v>
      </c>
      <c r="H770" t="str">
        <f>"2002222301810"</f>
        <v>2002222301810</v>
      </c>
      <c r="I770" t="str">
        <f>HYPERLINK("#", "https://opac.libnet.pref.okayama.jp/licsxp-opac/WOpacMsgNewListToTifTilDetailAction.do?tilcod=2002222301810")</f>
        <v>https://opac.libnet.pref.okayama.jp/licsxp-opac/WOpacMsgNewListToTifTilDetailAction.do?tilcod=2002222301810</v>
      </c>
    </row>
    <row r="771" spans="1:9" x14ac:dyDescent="0.4">
      <c r="A771" t="str">
        <f>"[岡山操山高等学校] 図書館だより"</f>
        <v>[岡山操山高等学校] 図書館だより</v>
      </c>
      <c r="B771" s="1" t="str">
        <f t="shared" si="38"/>
        <v>[岡山操山高等学校] 図書館だより</v>
      </c>
      <c r="C771" t="str">
        <f>"オカヤマ ソウザン コウトウ ガッコウ トショカン ダヨリ"</f>
        <v>オカヤマ ソウザン コウトウ ガッコウ トショカン ダヨリ</v>
      </c>
      <c r="D771" t="str">
        <f>"岡山操山高等学校図書委員会"</f>
        <v>岡山操山高等学校図書委員会</v>
      </c>
      <c r="E771" t="str">
        <f>"オカヤマソウザンコウトウガッコウトショイインカイ"</f>
        <v>オカヤマソウザンコウトウガッコウトショイインカイ</v>
      </c>
      <c r="F771" t="str">
        <f t="shared" si="43"/>
        <v>岡山</v>
      </c>
      <c r="G771" t="str">
        <f>"頻度不明"</f>
        <v>頻度不明</v>
      </c>
      <c r="H771" t="str">
        <f>"2002222343972"</f>
        <v>2002222343972</v>
      </c>
      <c r="I771" t="str">
        <f>HYPERLINK("#", "https://opac.libnet.pref.okayama.jp/licsxp-opac/WOpacMsgNewListToTifTilDetailAction.do?tilcod=2002222343972")</f>
        <v>https://opac.libnet.pref.okayama.jp/licsxp-opac/WOpacMsgNewListToTifTilDetailAction.do?tilcod=2002222343972</v>
      </c>
    </row>
    <row r="772" spans="1:9" x14ac:dyDescent="0.4">
      <c r="A772" t="str">
        <f>"[岡山操山高等学校]操苑"</f>
        <v>[岡山操山高等学校]操苑</v>
      </c>
      <c r="B772" s="1" t="str">
        <f t="shared" ref="B772:B835" si="44">HYPERLINK("#", A772)</f>
        <v>[岡山操山高等学校]操苑</v>
      </c>
      <c r="C772" t="str">
        <f>"オカヤマ ソウザン コウトウ ガッコウ*ソウエン"</f>
        <v>オカヤマ ソウザン コウトウ ガッコウ*ソウエン</v>
      </c>
      <c r="D772" t="str">
        <f>"岡山操山高等学校文学部"</f>
        <v>岡山操山高等学校文学部</v>
      </c>
      <c r="E772" t="str">
        <f>"オカヤマソウザンコウトウガッコウブンガクブ"</f>
        <v>オカヤマソウザンコウトウガッコウブンガクブ</v>
      </c>
      <c r="F772" t="str">
        <f t="shared" si="43"/>
        <v>岡山</v>
      </c>
      <c r="G772" t="str">
        <f>"不定期刊"</f>
        <v>不定期刊</v>
      </c>
      <c r="H772" t="str">
        <f>"2002222301799"</f>
        <v>2002222301799</v>
      </c>
      <c r="I772" t="str">
        <f>HYPERLINK("#", "https://opac.libnet.pref.okayama.jp/licsxp-opac/WOpacMsgNewListToTifTilDetailAction.do?tilcod=2002222301799")</f>
        <v>https://opac.libnet.pref.okayama.jp/licsxp-opac/WOpacMsgNewListToTifTilDetailAction.do?tilcod=2002222301799</v>
      </c>
    </row>
    <row r="773" spans="1:9" x14ac:dyDescent="0.4">
      <c r="A773" t="str">
        <f>"〔岡山操山高等学校〕操陵新聞"</f>
        <v>〔岡山操山高等学校〕操陵新聞</v>
      </c>
      <c r="B773" s="1" t="str">
        <f t="shared" si="44"/>
        <v>〔岡山操山高等学校〕操陵新聞</v>
      </c>
      <c r="C773" t="str">
        <f>"オカヤマ　ソウザン　コウトウ　ガッコウ＊ソウリョウ　シンブン"</f>
        <v>オカヤマ　ソウザン　コウトウ　ガッコウ＊ソウリョウ　シンブン</v>
      </c>
      <c r="D773" t="str">
        <f>"岡山操山高等学校新聞部"</f>
        <v>岡山操山高等学校新聞部</v>
      </c>
      <c r="E773" t="str">
        <f>"オカヤマ ソウザン コウトウ ガッコウ シンブンブ"</f>
        <v>オカヤマ ソウザン コウトウ ガッコウ シンブンブ</v>
      </c>
      <c r="F773" t="str">
        <f t="shared" si="43"/>
        <v>岡山</v>
      </c>
      <c r="G773" t="str">
        <f>"年３回刊"</f>
        <v>年３回刊</v>
      </c>
      <c r="H773" t="str">
        <f>"2002222288683"</f>
        <v>2002222288683</v>
      </c>
      <c r="I773" t="str">
        <f>HYPERLINK("#", "https://opac.libnet.pref.okayama.jp/licsxp-opac/WOpacMsgNewListToTifTilDetailAction.do?tilcod=2002222288683")</f>
        <v>https://opac.libnet.pref.okayama.jp/licsxp-opac/WOpacMsgNewListToTifTilDetailAction.do?tilcod=2002222288683</v>
      </c>
    </row>
    <row r="774" spans="1:9" x14ac:dyDescent="0.4">
      <c r="A774" t="str">
        <f>"〔岡山操山高等学校〕図書館報"</f>
        <v>〔岡山操山高等学校〕図書館報</v>
      </c>
      <c r="B774" s="1" t="str">
        <f t="shared" si="44"/>
        <v>〔岡山操山高等学校〕図書館報</v>
      </c>
      <c r="C774" t="str">
        <f>"オカヤマ　ソウザン　コウトウ　ガッコウ＊トショカンポウ"</f>
        <v>オカヤマ　ソウザン　コウトウ　ガッコウ＊トショカンポウ</v>
      </c>
      <c r="D774" t="str">
        <f>"岡山操山高等学校図書委員会"</f>
        <v>岡山操山高等学校図書委員会</v>
      </c>
      <c r="E774" t="str">
        <f>"オカヤマソウザンコウトウガッコウトショイインカイ"</f>
        <v>オカヤマソウザンコウトウガッコウトショイインカイ</v>
      </c>
      <c r="F774" t="str">
        <f t="shared" si="43"/>
        <v>岡山</v>
      </c>
      <c r="G774" t="str">
        <f>"年３回刊"</f>
        <v>年３回刊</v>
      </c>
      <c r="H774" t="str">
        <f>"2002222301860"</f>
        <v>2002222301860</v>
      </c>
      <c r="I774" t="str">
        <f>HYPERLINK("#", "https://opac.libnet.pref.okayama.jp/licsxp-opac/WOpacMsgNewListToTifTilDetailAction.do?tilcod=2002222301860")</f>
        <v>https://opac.libnet.pref.okayama.jp/licsxp-opac/WOpacMsgNewListToTifTilDetailAction.do?tilcod=2002222301860</v>
      </c>
    </row>
    <row r="775" spans="1:9" x14ac:dyDescent="0.4">
      <c r="A775" t="str">
        <f>"[岡山操山中学校] 学校案内"</f>
        <v>[岡山操山中学校] 学校案内</v>
      </c>
      <c r="B775" s="1" t="str">
        <f t="shared" si="44"/>
        <v>[岡山操山中学校] 学校案内</v>
      </c>
      <c r="C775" t="str">
        <f>"オカヤマ ソウザン チュウガッコウ ガッコウ アンナイ"</f>
        <v>オカヤマ ソウザン チュウガッコウ ガッコウ アンナイ</v>
      </c>
      <c r="D775" t="str">
        <f>"岡山操山中学校"</f>
        <v>岡山操山中学校</v>
      </c>
      <c r="E775" t="str">
        <f>"オカヤマ ソウザン チュウガッコウ"</f>
        <v>オカヤマ ソウザン チュウガッコウ</v>
      </c>
      <c r="F775" t="str">
        <f t="shared" si="43"/>
        <v>岡山</v>
      </c>
      <c r="G775" t="str">
        <f>"年刊"</f>
        <v>年刊</v>
      </c>
      <c r="H775" t="str">
        <f>"2002222307466"</f>
        <v>2002222307466</v>
      </c>
      <c r="I775" t="str">
        <f>HYPERLINK("#", "https://opac.libnet.pref.okayama.jp/licsxp-opac/WOpacMsgNewListToTifTilDetailAction.do?tilcod=2002222307466")</f>
        <v>https://opac.libnet.pref.okayama.jp/licsxp-opac/WOpacMsgNewListToTifTilDetailAction.do?tilcod=2002222307466</v>
      </c>
    </row>
    <row r="776" spans="1:9" x14ac:dyDescent="0.4">
      <c r="A776" t="str">
        <f>"〔岡山操山中学校〕学校要覧"</f>
        <v>〔岡山操山中学校〕学校要覧</v>
      </c>
      <c r="B776" s="1" t="str">
        <f t="shared" si="44"/>
        <v>〔岡山操山中学校〕学校要覧</v>
      </c>
      <c r="C776" t="str">
        <f>"オカヤマ　ソウザン　チュウガッコウ　ガッコウ　ヨウラン"</f>
        <v>オカヤマ　ソウザン　チュウガッコウ　ガッコウ　ヨウラン</v>
      </c>
      <c r="D776" t="str">
        <f>"岡山操山中学校"</f>
        <v>岡山操山中学校</v>
      </c>
      <c r="E776" t="str">
        <f>"オカヤマ ソウザン チュウガッコウ"</f>
        <v>オカヤマ ソウザン チュウガッコウ</v>
      </c>
      <c r="F776" t="str">
        <f t="shared" si="43"/>
        <v>岡山</v>
      </c>
      <c r="G776" t="str">
        <f>"年刊"</f>
        <v>年刊</v>
      </c>
      <c r="H776" t="str">
        <f>"2002222326949"</f>
        <v>2002222326949</v>
      </c>
      <c r="I776" t="str">
        <f>HYPERLINK("#", "https://opac.libnet.pref.okayama.jp/licsxp-opac/WOpacMsgNewListToTifTilDetailAction.do?tilcod=2002222326949")</f>
        <v>https://opac.libnet.pref.okayama.jp/licsxp-opac/WOpacMsgNewListToTifTilDetailAction.do?tilcod=2002222326949</v>
      </c>
    </row>
    <row r="777" spans="1:9" x14ac:dyDescent="0.4">
      <c r="A777" t="str">
        <f>"岡山ソーシャルワーカー協会会報"</f>
        <v>岡山ソーシャルワーカー協会会報</v>
      </c>
      <c r="B777" s="1" t="str">
        <f t="shared" si="44"/>
        <v>岡山ソーシャルワーカー協会会報</v>
      </c>
      <c r="C777" t="str">
        <f>"オカヤマ　ソーシャル　ワーカー　キョウカイ　カイホウ"</f>
        <v>オカヤマ　ソーシャル　ワーカー　キョウカイ　カイホウ</v>
      </c>
      <c r="D777" t="str">
        <f>"岡山ソーシャルワーカー協会"</f>
        <v>岡山ソーシャルワーカー協会</v>
      </c>
      <c r="E777" t="str">
        <f>"オカヤマソーシャルワーカーキョウカイ"</f>
        <v>オカヤマソーシャルワーカーキョウカイ</v>
      </c>
      <c r="F777" t="str">
        <f t="shared" si="43"/>
        <v>岡山</v>
      </c>
      <c r="G777" t="str">
        <f>"年２回刊"</f>
        <v>年２回刊</v>
      </c>
      <c r="H777" t="str">
        <f>"2002222329170"</f>
        <v>2002222329170</v>
      </c>
      <c r="I777" t="str">
        <f>HYPERLINK("#", "https://opac.libnet.pref.okayama.jp/licsxp-opac/WOpacMsgNewListToTifTilDetailAction.do?tilcod=2002222329170")</f>
        <v>https://opac.libnet.pref.okayama.jp/licsxp-opac/WOpacMsgNewListToTifTilDetailAction.do?tilcod=2002222329170</v>
      </c>
    </row>
    <row r="778" spans="1:9" x14ac:dyDescent="0.4">
      <c r="A778" t="str">
        <f>"岡山大安寺高等学校学校案内"</f>
        <v>岡山大安寺高等学校学校案内</v>
      </c>
      <c r="B778" s="1" t="str">
        <f t="shared" si="44"/>
        <v>岡山大安寺高等学校学校案内</v>
      </c>
      <c r="C778" t="str">
        <f>"オカヤマ　ダイアンジ　コウトウ　ガッコウ　ガッコウ　アンナイ"</f>
        <v>オカヤマ　ダイアンジ　コウトウ　ガッコウ　ガッコウ　アンナイ</v>
      </c>
      <c r="D778" t="str">
        <f>"岡山大安寺高等学校"</f>
        <v>岡山大安寺高等学校</v>
      </c>
      <c r="E778" t="str">
        <f>"オカヤマ ダイアンジ コウトウ ガッコウ"</f>
        <v>オカヤマ ダイアンジ コウトウ ガッコウ</v>
      </c>
      <c r="F778" t="str">
        <f t="shared" si="43"/>
        <v>岡山</v>
      </c>
      <c r="G778" t="str">
        <f>"年刊"</f>
        <v>年刊</v>
      </c>
      <c r="H778" t="str">
        <f>"2002222301172"</f>
        <v>2002222301172</v>
      </c>
      <c r="I778" t="str">
        <f>HYPERLINK("#", "https://opac.libnet.pref.okayama.jp/licsxp-opac/WOpacMsgNewListToTifTilDetailAction.do?tilcod=2002222301172")</f>
        <v>https://opac.libnet.pref.okayama.jp/licsxp-opac/WOpacMsgNewListToTifTilDetailAction.do?tilcod=2002222301172</v>
      </c>
    </row>
    <row r="779" spans="1:9" x14ac:dyDescent="0.4">
      <c r="A779" t="str">
        <f>"岡山大安寺高等学校学校要覧"</f>
        <v>岡山大安寺高等学校学校要覧</v>
      </c>
      <c r="B779" s="1" t="str">
        <f t="shared" si="44"/>
        <v>岡山大安寺高等学校学校要覧</v>
      </c>
      <c r="C779" t="str">
        <f>"オカヤマ　ダイアンジ　コウトウ　ガッコウ　ガッコウ　ヨウラン"</f>
        <v>オカヤマ　ダイアンジ　コウトウ　ガッコウ　ガッコウ　ヨウラン</v>
      </c>
      <c r="D779" t="str">
        <f>"岡山大安寺高等学校"</f>
        <v>岡山大安寺高等学校</v>
      </c>
      <c r="E779" t="str">
        <f>"オカヤマ ダイアンジ コウトウ ガッコウ"</f>
        <v>オカヤマ ダイアンジ コウトウ ガッコウ</v>
      </c>
      <c r="F779" t="str">
        <f t="shared" si="43"/>
        <v>岡山</v>
      </c>
      <c r="G779" t="str">
        <f>"年刊"</f>
        <v>年刊</v>
      </c>
      <c r="H779" t="str">
        <f>"2002222300482"</f>
        <v>2002222300482</v>
      </c>
      <c r="I779" t="str">
        <f>HYPERLINK("#", "https://opac.libnet.pref.okayama.jp/licsxp-opac/WOpacMsgNewListToTifTilDetailAction.do?tilcod=2002222300482")</f>
        <v>https://opac.libnet.pref.okayama.jp/licsxp-opac/WOpacMsgNewListToTifTilDetailAction.do?tilcod=2002222300482</v>
      </c>
    </row>
    <row r="780" spans="1:9" x14ac:dyDescent="0.4">
      <c r="A780" t="str">
        <f>"〔岡山大安寺高等学校〕図書室だより"</f>
        <v>〔岡山大安寺高等学校〕図書室だより</v>
      </c>
      <c r="B780" s="1" t="str">
        <f t="shared" si="44"/>
        <v>〔岡山大安寺高等学校〕図書室だより</v>
      </c>
      <c r="C780" t="str">
        <f>"オカヤマ　ダイアンジ　コウトウ　ガッコウ　トショシツ　ダヨリ"</f>
        <v>オカヤマ　ダイアンジ　コウトウ　ガッコウ　トショシツ　ダヨリ</v>
      </c>
      <c r="D780" t="str">
        <f>"岡山大安寺高等学校"</f>
        <v>岡山大安寺高等学校</v>
      </c>
      <c r="E780" t="str">
        <f>"オカヤマ ダイアンジ コウトウ ガッコウ"</f>
        <v>オカヤマ ダイアンジ コウトウ ガッコウ</v>
      </c>
      <c r="F780" t="str">
        <f t="shared" si="43"/>
        <v>岡山</v>
      </c>
      <c r="G780" t="str">
        <f>"年刊"</f>
        <v>年刊</v>
      </c>
      <c r="H780" t="str">
        <f>"2002222301657"</f>
        <v>2002222301657</v>
      </c>
      <c r="I780" t="str">
        <f>HYPERLINK("#", "https://opac.libnet.pref.okayama.jp/licsxp-opac/WOpacMsgNewListToTifTilDetailAction.do?tilcod=2002222301657")</f>
        <v>https://opac.libnet.pref.okayama.jp/licsxp-opac/WOpacMsgNewListToTifTilDetailAction.do?tilcod=2002222301657</v>
      </c>
    </row>
    <row r="781" spans="1:9" x14ac:dyDescent="0.4">
      <c r="A781" t="str">
        <f>"〔岡山大安寺高等学校〕同窓会報"</f>
        <v>〔岡山大安寺高等学校〕同窓会報</v>
      </c>
      <c r="B781" s="1" t="str">
        <f t="shared" si="44"/>
        <v>〔岡山大安寺高等学校〕同窓会報</v>
      </c>
      <c r="C781" t="str">
        <f>"オカヤマ　ダイアンジ　コウトウ　ガッコウ＊ドウソウカイホウ"</f>
        <v>オカヤマ　ダイアンジ　コウトウ　ガッコウ＊ドウソウカイホウ</v>
      </c>
      <c r="D781" t="str">
        <f>"岡山大安寺高等学校同窓会"</f>
        <v>岡山大安寺高等学校同窓会</v>
      </c>
      <c r="E781" t="str">
        <f>"オカヤマ　ダイアンジ　コウトウ　ガッコウ　ドウソウカイ"</f>
        <v>オカヤマ　ダイアンジ　コウトウ　ガッコウ　ドウソウカイ</v>
      </c>
      <c r="F781" t="str">
        <f t="shared" si="43"/>
        <v>岡山</v>
      </c>
      <c r="G781" t="str">
        <f>"年刊"</f>
        <v>年刊</v>
      </c>
      <c r="H781" t="str">
        <f>"2002222301948"</f>
        <v>2002222301948</v>
      </c>
      <c r="I781" t="str">
        <f>HYPERLINK("#", "https://opac.libnet.pref.okayama.jp/licsxp-opac/WOpacMsgNewListToTifTilDetailAction.do?tilcod=2002222301948")</f>
        <v>https://opac.libnet.pref.okayama.jp/licsxp-opac/WOpacMsgNewListToTifTilDetailAction.do?tilcod=2002222301948</v>
      </c>
    </row>
    <row r="782" spans="1:9" x14ac:dyDescent="0.4">
      <c r="A782" t="str">
        <f>"〔岡山大安寺高等学校〕常盤樹"</f>
        <v>〔岡山大安寺高等学校〕常盤樹</v>
      </c>
      <c r="B782" s="1" t="str">
        <f t="shared" si="44"/>
        <v>〔岡山大安寺高等学校〕常盤樹</v>
      </c>
      <c r="C782" t="str">
        <f>"オカヤマ　ダイアンジ　コウトウ　ガッコウ＊トキワギ"</f>
        <v>オカヤマ　ダイアンジ　コウトウ　ガッコウ＊トキワギ</v>
      </c>
      <c r="D782" t="str">
        <f>"岡山大安寺高等学校文芸部"</f>
        <v>岡山大安寺高等学校文芸部</v>
      </c>
      <c r="E782" t="str">
        <f>"オカヤマダイアンジコウトウガッコウプンゲイブ"</f>
        <v>オカヤマダイアンジコウトウガッコウプンゲイブ</v>
      </c>
      <c r="F782" t="str">
        <f t="shared" si="43"/>
        <v>岡山</v>
      </c>
      <c r="G782" t="str">
        <f>"頻度不明"</f>
        <v>頻度不明</v>
      </c>
      <c r="H782" t="str">
        <f>"2002222301389"</f>
        <v>2002222301389</v>
      </c>
      <c r="I782" t="str">
        <f>HYPERLINK("#", "https://opac.libnet.pref.okayama.jp/licsxp-opac/WOpacMsgNewListToTifTilDetailAction.do?tilcod=2002222301389")</f>
        <v>https://opac.libnet.pref.okayama.jp/licsxp-opac/WOpacMsgNewListToTifTilDetailAction.do?tilcod=2002222301389</v>
      </c>
    </row>
    <row r="783" spans="1:9" x14ac:dyDescent="0.4">
      <c r="A783" t="str">
        <f>"[岡山大安寺中等教育学校] 学校案内"</f>
        <v>[岡山大安寺中等教育学校] 学校案内</v>
      </c>
      <c r="B783" s="1" t="str">
        <f t="shared" si="44"/>
        <v>[岡山大安寺中等教育学校] 学校案内</v>
      </c>
      <c r="C783" t="str">
        <f>"オカヤマ　ダイアンジ　チュウトウ　キョウイク　ガッコウ　ガッコウ　アンナイ"</f>
        <v>オカヤマ　ダイアンジ　チュウトウ　キョウイク　ガッコウ　ガッコウ　アンナイ</v>
      </c>
      <c r="D783" t="str">
        <f>"岡山大安寺中等教育学校"</f>
        <v>岡山大安寺中等教育学校</v>
      </c>
      <c r="E783" t="str">
        <f>"オカヤマ　ダイアンジ　チュウトウ　キョウイク　ガッコウ"</f>
        <v>オカヤマ　ダイアンジ　チュウトウ　キョウイク　ガッコウ</v>
      </c>
      <c r="F783" t="str">
        <f t="shared" si="43"/>
        <v>岡山</v>
      </c>
      <c r="G783" t="str">
        <f>"年刊"</f>
        <v>年刊</v>
      </c>
      <c r="H783" t="str">
        <f>"2002222311867"</f>
        <v>2002222311867</v>
      </c>
      <c r="I783" t="str">
        <f>HYPERLINK("#", "https://opac.libnet.pref.okayama.jp/licsxp-opac/WOpacMsgNewListToTifTilDetailAction.do?tilcod=2002222311867")</f>
        <v>https://opac.libnet.pref.okayama.jp/licsxp-opac/WOpacMsgNewListToTifTilDetailAction.do?tilcod=2002222311867</v>
      </c>
    </row>
    <row r="784" spans="1:9" x14ac:dyDescent="0.4">
      <c r="A784" t="str">
        <f>"[岡山大安寺中等教育学校] 学校要覧"</f>
        <v>[岡山大安寺中等教育学校] 学校要覧</v>
      </c>
      <c r="B784" s="1" t="str">
        <f t="shared" si="44"/>
        <v>[岡山大安寺中等教育学校] 学校要覧</v>
      </c>
      <c r="C784" t="str">
        <f>"オカヤマ　ダイアンジ　チュウトウ　キョウイク　ガッコウ　ガッコウ　ヨウラン"</f>
        <v>オカヤマ　ダイアンジ　チュウトウ　キョウイク　ガッコウ　ガッコウ　ヨウラン</v>
      </c>
      <c r="D784" t="str">
        <f>"岡山大安寺中等教育学校"</f>
        <v>岡山大安寺中等教育学校</v>
      </c>
      <c r="E784" t="str">
        <f>"オカヤマ　ダイアンジ　チュウトウ　キョウイク　ガッコウ"</f>
        <v>オカヤマ　ダイアンジ　チュウトウ　キョウイク　ガッコウ</v>
      </c>
      <c r="F784" t="str">
        <f t="shared" si="43"/>
        <v>岡山</v>
      </c>
      <c r="G784" t="str">
        <f>"年刊"</f>
        <v>年刊</v>
      </c>
      <c r="H784" t="str">
        <f>"2002222311869"</f>
        <v>2002222311869</v>
      </c>
      <c r="I784" t="str">
        <f>HYPERLINK("#", "https://opac.libnet.pref.okayama.jp/licsxp-opac/WOpacMsgNewListToTifTilDetailAction.do?tilcod=2002222311869")</f>
        <v>https://opac.libnet.pref.okayama.jp/licsxp-opac/WOpacMsgNewListToTifTilDetailAction.do?tilcod=2002222311869</v>
      </c>
    </row>
    <row r="785" spans="1:9" x14ac:dyDescent="0.4">
      <c r="A785" t="str">
        <f>"[岡山大安寺中等教育学校]図書館だより"</f>
        <v>[岡山大安寺中等教育学校]図書館だより</v>
      </c>
      <c r="B785" s="1" t="str">
        <f t="shared" si="44"/>
        <v>[岡山大安寺中等教育学校]図書館だより</v>
      </c>
      <c r="C785" t="str">
        <f>"オカヤマ ダイアンジ チュウトウ キョウイク ガッコウ トショカン ダヨリ"</f>
        <v>オカヤマ ダイアンジ チュウトウ キョウイク ガッコウ トショカン ダヨリ</v>
      </c>
      <c r="D785" t="str">
        <f>"岡山大安寺中等教育学校図書館"</f>
        <v>岡山大安寺中等教育学校図書館</v>
      </c>
      <c r="E785" t="str">
        <f>"オカヤマ ダイアンジ チュウトウ キョウイク ガッコウ"</f>
        <v>オカヤマ ダイアンジ チュウトウ キョウイク ガッコウ</v>
      </c>
      <c r="F785" t="str">
        <f t="shared" si="43"/>
        <v>岡山</v>
      </c>
      <c r="G785" t="str">
        <f>"年刊"</f>
        <v>年刊</v>
      </c>
      <c r="H785" t="str">
        <f>"2002222331930"</f>
        <v>2002222331930</v>
      </c>
      <c r="I785" t="str">
        <f>HYPERLINK("#", "https://opac.libnet.pref.okayama.jp/licsxp-opac/WOpacMsgNewListToTifTilDetailAction.do?tilcod=2002222331930")</f>
        <v>https://opac.libnet.pref.okayama.jp/licsxp-opac/WOpacMsgNewListToTifTilDetailAction.do?tilcod=2002222331930</v>
      </c>
    </row>
    <row r="786" spans="1:9" x14ac:dyDescent="0.4">
      <c r="A786" t="str">
        <f>"岡山大学医学部アジア伝統医学研究会会誌"</f>
        <v>岡山大学医学部アジア伝統医学研究会会誌</v>
      </c>
      <c r="B786" s="1" t="str">
        <f t="shared" si="44"/>
        <v>岡山大学医学部アジア伝統医学研究会会誌</v>
      </c>
      <c r="C786" t="str">
        <f>"オカヤマ　ダイガク　イガクブ　アジア　デントウ　イガク　ケンキュウカイ　カイシ"</f>
        <v>オカヤマ　ダイガク　イガクブ　アジア　デントウ　イガク　ケンキュウカイ　カイシ</v>
      </c>
      <c r="D786" t="str">
        <f>"岡山大学医学部アジア伝統医学研究会"</f>
        <v>岡山大学医学部アジア伝統医学研究会</v>
      </c>
      <c r="E786" t="str">
        <f>"オカヤマ ダイガク イガクブ アジア デントウ イガク ケンキュウカイ"</f>
        <v>オカヤマ ダイガク イガクブ アジア デントウ イガク ケンキュウカイ</v>
      </c>
      <c r="F786" t="str">
        <f t="shared" si="43"/>
        <v>岡山</v>
      </c>
      <c r="G786" t="str">
        <f>"頻度不明"</f>
        <v>頻度不明</v>
      </c>
      <c r="H786" t="str">
        <f>"2002222288383"</f>
        <v>2002222288383</v>
      </c>
      <c r="I786" t="str">
        <f>HYPERLINK("#", "https://opac.libnet.pref.okayama.jp/licsxp-opac/WOpacMsgNewListToTifTilDetailAction.do?tilcod=2002222288383")</f>
        <v>https://opac.libnet.pref.okayama.jp/licsxp-opac/WOpacMsgNewListToTifTilDetailAction.do?tilcod=2002222288383</v>
      </c>
    </row>
    <row r="787" spans="1:9" x14ac:dyDescent="0.4">
      <c r="A787" t="str">
        <f>"岡山大学医学部神経精神医学教室年報"</f>
        <v>岡山大学医学部神経精神医学教室年報</v>
      </c>
      <c r="B787" s="1" t="str">
        <f t="shared" si="44"/>
        <v>岡山大学医学部神経精神医学教室年報</v>
      </c>
      <c r="C787" t="str">
        <f>"オカヤマ　ダイガク　イガクブ　シンケイ　セイシン　イガク　キョウシツ　ネンポウ"</f>
        <v>オカヤマ　ダイガク　イガクブ　シンケイ　セイシン　イガク　キョウシツ　ネンポウ</v>
      </c>
      <c r="D787" t="str">
        <f>"岡山大学医学部神経精神医学教室"</f>
        <v>岡山大学医学部神経精神医学教室</v>
      </c>
      <c r="E787" t="str">
        <f>"オカヤマダイガクイガクブシンケイセイシンイガクキョウシツ"</f>
        <v>オカヤマダイガクイガクブシンケイセイシンイガクキョウシツ</v>
      </c>
      <c r="F787" t="str">
        <f t="shared" si="43"/>
        <v>岡山</v>
      </c>
      <c r="G787" t="str">
        <f>"年刊"</f>
        <v>年刊</v>
      </c>
      <c r="H787" t="str">
        <f>"2002222301685"</f>
        <v>2002222301685</v>
      </c>
      <c r="I787" t="str">
        <f>HYPERLINK("#", "https://opac.libnet.pref.okayama.jp/licsxp-opac/WOpacMsgNewListToTifTilDetailAction.do?tilcod=2002222301685")</f>
        <v>https://opac.libnet.pref.okayama.jp/licsxp-opac/WOpacMsgNewListToTifTilDetailAction.do?tilcod=2002222301685</v>
      </c>
    </row>
    <row r="788" spans="1:9" x14ac:dyDescent="0.4">
      <c r="A788" t="str">
        <f>"岡山大学医学部第一外科開講記念会会誌"</f>
        <v>岡山大学医学部第一外科開講記念会会誌</v>
      </c>
      <c r="B788" s="1" t="str">
        <f t="shared" si="44"/>
        <v>岡山大学医学部第一外科開講記念会会誌</v>
      </c>
      <c r="C788" t="str">
        <f>"オカヤマ　ダイガク　イガクブ　ダイイチ　ゲカ　カイコウ　キネンカイ　カイシ"</f>
        <v>オカヤマ　ダイガク　イガクブ　ダイイチ　ゲカ　カイコウ　キネンカイ　カイシ</v>
      </c>
      <c r="D788" t="str">
        <f>"岡山大学医学部第一外科開講記念会"</f>
        <v>岡山大学医学部第一外科開講記念会</v>
      </c>
      <c r="E788" t="str">
        <f>"オカヤマダイガクイガクブダイイチゲカカイコウキネンカイ"</f>
        <v>オカヤマダイガクイガクブダイイチゲカカイコウキネンカイ</v>
      </c>
      <c r="F788" t="str">
        <f t="shared" si="43"/>
        <v>岡山</v>
      </c>
      <c r="G788" t="str">
        <f t="shared" ref="G788:G794" si="45">"頻度不明"</f>
        <v>頻度不明</v>
      </c>
      <c r="H788" t="str">
        <f>"2002222288441"</f>
        <v>2002222288441</v>
      </c>
      <c r="I788" t="str">
        <f>HYPERLINK("#", "https://opac.libnet.pref.okayama.jp/licsxp-opac/WOpacMsgNewListToTifTilDetailAction.do?tilcod=2002222288441")</f>
        <v>https://opac.libnet.pref.okayama.jp/licsxp-opac/WOpacMsgNewListToTifTilDetailAction.do?tilcod=2002222288441</v>
      </c>
    </row>
    <row r="789" spans="1:9" x14ac:dyDescent="0.4">
      <c r="A789" t="str">
        <f>"岡山大学医学部第一外科教室開講記念会会誌"</f>
        <v>岡山大学医学部第一外科教室開講記念会会誌</v>
      </c>
      <c r="B789" s="1" t="str">
        <f t="shared" si="44"/>
        <v>岡山大学医学部第一外科教室開講記念会会誌</v>
      </c>
      <c r="C789" t="str">
        <f>"オカヤマ　ダイガク　イガクブ　ダイイチ　ゲカ　キョウシツ カイコウ　キネンカイ　カイシ"</f>
        <v>オカヤマ　ダイガク　イガクブ　ダイイチ　ゲカ　キョウシツ カイコウ　キネンカイ　カイシ</v>
      </c>
      <c r="D789" t="str">
        <f>"岡山大学医学部第一外科教室開講記念会"</f>
        <v>岡山大学医学部第一外科教室開講記念会</v>
      </c>
      <c r="E789" t="str">
        <f>"オカヤマ ダイガク イガクブ ダイイチ ゲカ キョシツ カイコウ キネンカイ"</f>
        <v>オカヤマ ダイガク イガクブ ダイイチ ゲカ キョシツ カイコウ キネンカイ</v>
      </c>
      <c r="F789" t="str">
        <f t="shared" si="43"/>
        <v>岡山</v>
      </c>
      <c r="G789" t="str">
        <f t="shared" si="45"/>
        <v>頻度不明</v>
      </c>
      <c r="H789" t="str">
        <f>"2002222316287"</f>
        <v>2002222316287</v>
      </c>
      <c r="I789" t="str">
        <f>HYPERLINK("#", "https://opac.libnet.pref.okayama.jp/licsxp-opac/WOpacMsgNewListToTifTilDetailAction.do?tilcod=2002222316287")</f>
        <v>https://opac.libnet.pref.okayama.jp/licsxp-opac/WOpacMsgNewListToTifTilDetailAction.do?tilcod=2002222316287</v>
      </c>
    </row>
    <row r="790" spans="1:9" x14ac:dyDescent="0.4">
      <c r="A790" t="str">
        <f>"[岡山大学医学部第一内科学教室]同門会誌"</f>
        <v>[岡山大学医学部第一内科学教室]同門会誌</v>
      </c>
      <c r="B790" s="1" t="str">
        <f t="shared" si="44"/>
        <v>[岡山大学医学部第一内科学教室]同門会誌</v>
      </c>
      <c r="C790" t="str">
        <f>"オカヤマ ダイガク イガクブ ダイイチ ナイカガク キョウシツ＊ドウモンカイシ"</f>
        <v>オカヤマ ダイガク イガクブ ダイイチ ナイカガク キョウシツ＊ドウモンカイシ</v>
      </c>
      <c r="D790" t="str">
        <f>"岡山大学医学部第一内科学教室同門会"</f>
        <v>岡山大学医学部第一内科学教室同門会</v>
      </c>
      <c r="E790" t="str">
        <f>"オカヤマ ダイガク イガクブ ダイイチ ナイカガク キョウシツ ドウモンカイ"</f>
        <v>オカヤマ ダイガク イガクブ ダイイチ ナイカガク キョウシツ ドウモンカイ</v>
      </c>
      <c r="F790" t="str">
        <f t="shared" si="43"/>
        <v>岡山</v>
      </c>
      <c r="G790" t="str">
        <f t="shared" si="45"/>
        <v>頻度不明</v>
      </c>
      <c r="H790" t="str">
        <f>"2002222314706"</f>
        <v>2002222314706</v>
      </c>
      <c r="I790" t="str">
        <f>HYPERLINK("#", "https://opac.libnet.pref.okayama.jp/licsxp-opac/WOpacMsgNewListToTifTilDetailAction.do?tilcod=2002222314706")</f>
        <v>https://opac.libnet.pref.okayama.jp/licsxp-opac/WOpacMsgNewListToTifTilDetailAction.do?tilcod=2002222314706</v>
      </c>
    </row>
    <row r="791" spans="1:9" x14ac:dyDescent="0.4">
      <c r="A791" t="str">
        <f>"[岡山大学医学部第一病理学教室]同門会々誌"</f>
        <v>[岡山大学医学部第一病理学教室]同門会々誌</v>
      </c>
      <c r="B791" s="1" t="str">
        <f t="shared" si="44"/>
        <v>[岡山大学医学部第一病理学教室]同門会々誌</v>
      </c>
      <c r="C791" t="str">
        <f>"オカヤマ ダイガク イガクブ ダイイチ ビョウリガク キョウシツ＊ドウモンカイ カイシ"</f>
        <v>オカヤマ ダイガク イガクブ ダイイチ ビョウリガク キョウシツ＊ドウモンカイ カイシ</v>
      </c>
      <c r="D791" t="str">
        <f>"岡山大学医学部第一病理学教室"</f>
        <v>岡山大学医学部第一病理学教室</v>
      </c>
      <c r="E791" t="str">
        <f>"オカヤマ ダイガク イガクブ ダイイチ ビョウリガク キョウシツ"</f>
        <v>オカヤマ ダイガク イガクブ ダイイチ ビョウリガク キョウシツ</v>
      </c>
      <c r="F791" t="str">
        <f t="shared" si="43"/>
        <v>岡山</v>
      </c>
      <c r="G791" t="str">
        <f t="shared" si="45"/>
        <v>頻度不明</v>
      </c>
      <c r="H791" t="str">
        <f>"2002222313327"</f>
        <v>2002222313327</v>
      </c>
      <c r="I791" t="str">
        <f>HYPERLINK("#", "https://opac.libnet.pref.okayama.jp/licsxp-opac/WOpacMsgNewListToTifTilDetailAction.do?tilcod=2002222313327")</f>
        <v>https://opac.libnet.pref.okayama.jp/licsxp-opac/WOpacMsgNewListToTifTilDetailAction.do?tilcod=2002222313327</v>
      </c>
    </row>
    <row r="792" spans="1:9" x14ac:dyDescent="0.4">
      <c r="A792" t="str">
        <f>"岡山大学医学部第二外科同門会誌"</f>
        <v>岡山大学医学部第二外科同門会誌</v>
      </c>
      <c r="B792" s="1" t="str">
        <f t="shared" si="44"/>
        <v>岡山大学医学部第二外科同門会誌</v>
      </c>
      <c r="C792" t="str">
        <f>"オカヤマ ダイガク イガクブ ダイニ ゲカ ドウモンカイシ"</f>
        <v>オカヤマ ダイガク イガクブ ダイニ ゲカ ドウモンカイシ</v>
      </c>
      <c r="D792" t="str">
        <f>"岡山大学医学部第二外科同門会"</f>
        <v>岡山大学医学部第二外科同門会</v>
      </c>
      <c r="E792" t="str">
        <f>"オカヤマ ダイガク イガクブ ダイニ ゲカ ドウモンカイ"</f>
        <v>オカヤマ ダイガク イガクブ ダイニ ゲカ ドウモンカイ</v>
      </c>
      <c r="F792" t="str">
        <f t="shared" si="43"/>
        <v>岡山</v>
      </c>
      <c r="G792" t="str">
        <f t="shared" si="45"/>
        <v>頻度不明</v>
      </c>
      <c r="H792" t="str">
        <f>"2002222312306"</f>
        <v>2002222312306</v>
      </c>
      <c r="I792" t="str">
        <f>HYPERLINK("#", "https://opac.libnet.pref.okayama.jp/licsxp-opac/WOpacMsgNewListToTifTilDetailAction.do?tilcod=2002222312306")</f>
        <v>https://opac.libnet.pref.okayama.jp/licsxp-opac/WOpacMsgNewListToTifTilDetailAction.do?tilcod=2002222312306</v>
      </c>
    </row>
    <row r="793" spans="1:9" x14ac:dyDescent="0.4">
      <c r="A793" t="str">
        <f>"[岡山大学医学部]第二内科同門会誌"</f>
        <v>[岡山大学医学部]第二内科同門会誌</v>
      </c>
      <c r="B793" s="1" t="str">
        <f t="shared" si="44"/>
        <v>[岡山大学医学部]第二内科同門会誌</v>
      </c>
      <c r="C793" t="str">
        <f>"オカヤマ ダイガク イガクブ ダイニ ナイカ ドウモン カイシ"</f>
        <v>オカヤマ ダイガク イガクブ ダイニ ナイカ ドウモン カイシ</v>
      </c>
      <c r="D793" t="str">
        <f>"[岡山大学医学部]第二内科同門会"</f>
        <v>[岡山大学医学部]第二内科同門会</v>
      </c>
      <c r="E793" t="str">
        <f>"オカヤマ ダイガク イガクブ ダイニ ナイカ ドウモンカイ"</f>
        <v>オカヤマ ダイガク イガクブ ダイニ ナイカ ドウモンカイ</v>
      </c>
      <c r="F793" t="str">
        <f t="shared" si="43"/>
        <v>岡山</v>
      </c>
      <c r="G793" t="str">
        <f t="shared" si="45"/>
        <v>頻度不明</v>
      </c>
      <c r="H793" t="str">
        <f>"2002222333652"</f>
        <v>2002222333652</v>
      </c>
      <c r="I793" t="str">
        <f>HYPERLINK("#", "https://opac.libnet.pref.okayama.jp/licsxp-opac/WOpacMsgNewListToTifTilDetailAction.do?tilcod=2002222333652")</f>
        <v>https://opac.libnet.pref.okayama.jp/licsxp-opac/WOpacMsgNewListToTifTilDetailAction.do?tilcod=2002222333652</v>
      </c>
    </row>
    <row r="794" spans="1:9" x14ac:dyDescent="0.4">
      <c r="A794" t="str">
        <f>"岡山大学医学部脳神経外科同門会誌"</f>
        <v>岡山大学医学部脳神経外科同門会誌</v>
      </c>
      <c r="B794" s="1" t="str">
        <f t="shared" si="44"/>
        <v>岡山大学医学部脳神経外科同門会誌</v>
      </c>
      <c r="C794" t="str">
        <f>"オカヤマ　ダイガク　イガクブ　ノウ　シンケイ　ゲカ　ドウモン　カイシ"</f>
        <v>オカヤマ　ダイガク　イガクブ　ノウ　シンケイ　ゲカ　ドウモン　カイシ</v>
      </c>
      <c r="D794" t="str">
        <f>"岡山大学医学部脳神経外科同門会"</f>
        <v>岡山大学医学部脳神経外科同門会</v>
      </c>
      <c r="E794" t="str">
        <f>"オカヤマダイガクイガクブノウシンケイゲカドウモンカイ"</f>
        <v>オカヤマダイガクイガクブノウシンケイゲカドウモンカイ</v>
      </c>
      <c r="F794" t="str">
        <f t="shared" si="43"/>
        <v>岡山</v>
      </c>
      <c r="G794" t="str">
        <f t="shared" si="45"/>
        <v>頻度不明</v>
      </c>
      <c r="H794" t="str">
        <f>"2002222288451"</f>
        <v>2002222288451</v>
      </c>
      <c r="I794" t="str">
        <f>HYPERLINK("#", "https://opac.libnet.pref.okayama.jp/licsxp-opac/WOpacMsgNewListToTifTilDetailAction.do?tilcod=2002222288451")</f>
        <v>https://opac.libnet.pref.okayama.jp/licsxp-opac/WOpacMsgNewListToTifTilDetailAction.do?tilcod=2002222288451</v>
      </c>
    </row>
    <row r="795" spans="1:9" x14ac:dyDescent="0.4">
      <c r="A795" t="str">
        <f>"[岡山大学医学部泌尿器科学教室同門会]同門会誌"</f>
        <v>[岡山大学医学部泌尿器科学教室同門会]同門会誌</v>
      </c>
      <c r="B795" s="1" t="str">
        <f t="shared" si="44"/>
        <v>[岡山大学医学部泌尿器科学教室同門会]同門会誌</v>
      </c>
      <c r="C795" t="str">
        <f>"オカヤマ ダイガク イガクブ ヒニョウキカガク キョウシツ ドウモンカイ ドウモンカイシ"</f>
        <v>オカヤマ ダイガク イガクブ ヒニョウキカガク キョウシツ ドウモンカイ ドウモンカイシ</v>
      </c>
      <c r="D795" t="str">
        <f>"岡山大学医学部泌尿器科学教室同門会事務局"</f>
        <v>岡山大学医学部泌尿器科学教室同門会事務局</v>
      </c>
      <c r="E795" t="str">
        <f>"オカヤマ ダイガク イガクブ ヒニョウキカガク キョウシツ ドウモンカイ ジムキョク"</f>
        <v>オカヤマ ダイガク イガクブ ヒニョウキカガク キョウシツ ドウモンカイ ジムキョク</v>
      </c>
      <c r="F795" t="str">
        <f t="shared" si="43"/>
        <v>岡山</v>
      </c>
      <c r="G795" t="str">
        <f>"年刊"</f>
        <v>年刊</v>
      </c>
      <c r="H795" t="str">
        <f>"2002222334090"</f>
        <v>2002222334090</v>
      </c>
      <c r="I795" t="str">
        <f>HYPERLINK("#", "https://opac.libnet.pref.okayama.jp/licsxp-opac/WOpacMsgNewListToTifTilDetailAction.do?tilcod=2002222334090")</f>
        <v>https://opac.libnet.pref.okayama.jp/licsxp-opac/WOpacMsgNewListToTifTilDetailAction.do?tilcod=2002222334090</v>
      </c>
    </row>
    <row r="796" spans="1:9" x14ac:dyDescent="0.4">
      <c r="A796" t="str">
        <f>"岡山大学医学部皮膚科学教室同門会誌；DERMATOPIA"</f>
        <v>岡山大学医学部皮膚科学教室同門会誌；DERMATOPIA</v>
      </c>
      <c r="B796" s="1" t="str">
        <f t="shared" si="44"/>
        <v>岡山大学医学部皮膚科学教室同門会誌；DERMATOPIA</v>
      </c>
      <c r="C796" t="str">
        <f>"オカヤマ ダイガク イガクブ ヒフカガク キョウシツ ドウモンカイシ＊デルマトピア"</f>
        <v>オカヤマ ダイガク イガクブ ヒフカガク キョウシツ ドウモンカイシ＊デルマトピア</v>
      </c>
      <c r="D796" t="str">
        <f>"岡山大学医学部皮膚科学教室同門会"</f>
        <v>岡山大学医学部皮膚科学教室同門会</v>
      </c>
      <c r="E796" t="str">
        <f>"オカヤマ ダイガク イガクブ ヒフカガク キョウシツ ドウモンカイ"</f>
        <v>オカヤマ ダイガク イガクブ ヒフカガク キョウシツ ドウモンカイ</v>
      </c>
      <c r="F796" t="str">
        <f t="shared" si="43"/>
        <v>岡山</v>
      </c>
      <c r="G796" t="str">
        <f>"年刊"</f>
        <v>年刊</v>
      </c>
      <c r="H796" t="str">
        <f>"2002222334091"</f>
        <v>2002222334091</v>
      </c>
      <c r="I796" t="str">
        <f>HYPERLINK("#", "https://opac.libnet.pref.okayama.jp/licsxp-opac/WOpacMsgNewListToTifTilDetailAction.do?tilcod=2002222334091")</f>
        <v>https://opac.libnet.pref.okayama.jp/licsxp-opac/WOpacMsgNewListToTifTilDetailAction.do?tilcod=2002222334091</v>
      </c>
    </row>
    <row r="797" spans="1:9" x14ac:dyDescent="0.4">
      <c r="A797" t="str">
        <f>"岡山大学医学部保健学科紀要"</f>
        <v>岡山大学医学部保健学科紀要</v>
      </c>
      <c r="B797" s="1" t="str">
        <f t="shared" si="44"/>
        <v>岡山大学医学部保健学科紀要</v>
      </c>
      <c r="C797" t="str">
        <f>"オカヤマ　ダイガク　イガクブ　ホケン　ガッカ　キヨウ"</f>
        <v>オカヤマ　ダイガク　イガクブ　ホケン　ガッカ　キヨウ</v>
      </c>
      <c r="D797" t="str">
        <f>"岡山大学医学部保健学科"</f>
        <v>岡山大学医学部保健学科</v>
      </c>
      <c r="E797" t="str">
        <f>"オカヤマダイガクイガクブホケンガッカ"</f>
        <v>オカヤマダイガクイガクブホケンガッカ</v>
      </c>
      <c r="F797" t="str">
        <f t="shared" si="43"/>
        <v>岡山</v>
      </c>
      <c r="G797" t="str">
        <f>"年刊"</f>
        <v>年刊</v>
      </c>
      <c r="H797" t="str">
        <f>"2002222284351"</f>
        <v>2002222284351</v>
      </c>
      <c r="I797" t="str">
        <f>HYPERLINK("#", "https://opac.libnet.pref.okayama.jp/licsxp-opac/WOpacMsgNewListToTifTilDetailAction.do?tilcod=2002222284351")</f>
        <v>https://opac.libnet.pref.okayama.jp/licsxp-opac/WOpacMsgNewListToTifTilDetailAction.do?tilcod=2002222284351</v>
      </c>
    </row>
    <row r="798" spans="1:9" x14ac:dyDescent="0.4">
      <c r="A798" t="str">
        <f>"岡山大学　ＯＵ-Ｖｏｉｃｅ（オーユーボイス）"</f>
        <v>岡山大学　ＯＵ-Ｖｏｉｃｅ（オーユーボイス）</v>
      </c>
      <c r="B798" s="1" t="str">
        <f t="shared" si="44"/>
        <v>岡山大学　ＯＵ-Ｖｏｉｃｅ（オーユーボイス）</v>
      </c>
      <c r="C798" t="str">
        <f>"オカヤマ　ダイガク　オー　ユー　ボイス"</f>
        <v>オカヤマ　ダイガク　オー　ユー　ボイス</v>
      </c>
      <c r="D798" t="str">
        <f>"岡山大学教育開発センター広報専門委員会"</f>
        <v>岡山大学教育開発センター広報専門委員会</v>
      </c>
      <c r="E798" t="str">
        <f>"オカヤマダイガクキョウイクカイハツセンターコウホウセンモンイインカイ"</f>
        <v>オカヤマダイガクキョウイクカイハツセンターコウホウセンモンイインカイ</v>
      </c>
      <c r="F798" t="str">
        <f t="shared" si="43"/>
        <v>岡山</v>
      </c>
      <c r="G798" t="str">
        <f>"頻度不明"</f>
        <v>頻度不明</v>
      </c>
      <c r="H798" t="str">
        <f>"2002222302413"</f>
        <v>2002222302413</v>
      </c>
      <c r="I798" t="str">
        <f>HYPERLINK("#", "https://opac.libnet.pref.okayama.jp/licsxp-opac/WOpacMsgNewListToTifTilDetailAction.do?tilcod=2002222302413")</f>
        <v>https://opac.libnet.pref.okayama.jp/licsxp-opac/WOpacMsgNewListToTifTilDetailAction.do?tilcod=2002222302413</v>
      </c>
    </row>
    <row r="799" spans="1:9" x14ac:dyDescent="0.4">
      <c r="A799" t="str">
        <f>"[岡山大学]お知らせ"</f>
        <v>[岡山大学]お知らせ</v>
      </c>
      <c r="B799" s="1" t="str">
        <f t="shared" si="44"/>
        <v>[岡山大学]お知らせ</v>
      </c>
      <c r="C799" t="str">
        <f>"オカヤマ ダイガク オシラセ"</f>
        <v>オカヤマ ダイガク オシラセ</v>
      </c>
      <c r="D799" t="str">
        <f>"岡山大学"</f>
        <v>岡山大学</v>
      </c>
      <c r="E799" t="str">
        <f>"オカヤマ ダイガク"</f>
        <v>オカヤマ ダイガク</v>
      </c>
      <c r="F799" t="str">
        <f t="shared" si="43"/>
        <v>岡山</v>
      </c>
      <c r="G799" t="str">
        <f>"頻度不明"</f>
        <v>頻度不明</v>
      </c>
      <c r="H799" t="str">
        <f>"2002222322388"</f>
        <v>2002222322388</v>
      </c>
      <c r="I799" t="str">
        <f>HYPERLINK("#", "https://opac.libnet.pref.okayama.jp/licsxp-opac/WOpacMsgNewListToTifTilDetailAction.do?tilcod=2002222322388")</f>
        <v>https://opac.libnet.pref.okayama.jp/licsxp-opac/WOpacMsgNewListToTifTilDetailAction.do?tilcod=2002222322388</v>
      </c>
    </row>
    <row r="800" spans="1:9" x14ac:dyDescent="0.4">
      <c r="A800" t="str">
        <f>"岡山大学温泉研究所報告"</f>
        <v>岡山大学温泉研究所報告</v>
      </c>
      <c r="B800" s="1" t="str">
        <f t="shared" si="44"/>
        <v>岡山大学温泉研究所報告</v>
      </c>
      <c r="C800" t="str">
        <f>"オカヤマ　ダイガク　オンセン　ケンキュウジョ　ホウコク"</f>
        <v>オカヤマ　ダイガク　オンセン　ケンキュウジョ　ホウコク</v>
      </c>
      <c r="D800" t="str">
        <f>"岡山大学温泉研究所"</f>
        <v>岡山大学温泉研究所</v>
      </c>
      <c r="E800" t="str">
        <f>"オカヤマダイガクオンセンケンキュウジョ"</f>
        <v>オカヤマダイガクオンセンケンキュウジョ</v>
      </c>
      <c r="F800" t="str">
        <f>""</f>
        <v/>
      </c>
      <c r="G800" t="str">
        <f>"年刊"</f>
        <v>年刊</v>
      </c>
      <c r="H800" t="str">
        <f>"2002222288553"</f>
        <v>2002222288553</v>
      </c>
      <c r="I800" t="str">
        <f>HYPERLINK("#", "https://opac.libnet.pref.okayama.jp/licsxp-opac/WOpacMsgNewListToTifTilDetailAction.do?tilcod=2002222288553")</f>
        <v>https://opac.libnet.pref.okayama.jp/licsxp-opac/WOpacMsgNewListToTifTilDetailAction.do?tilcod=2002222288553</v>
      </c>
    </row>
    <row r="801" spans="1:9" x14ac:dyDescent="0.4">
      <c r="A801" t="str">
        <f>"岡山大学学生支援センター年報"</f>
        <v>岡山大学学生支援センター年報</v>
      </c>
      <c r="B801" s="1" t="str">
        <f t="shared" si="44"/>
        <v>岡山大学学生支援センター年報</v>
      </c>
      <c r="C801" t="str">
        <f>"オカヤマ　ダイガク　ガクセイ　シエン　センター　ネンポウ"</f>
        <v>オカヤマ　ダイガク　ガクセイ　シエン　センター　ネンポウ</v>
      </c>
      <c r="D801" t="str">
        <f>"岡山大学学生支援センター"</f>
        <v>岡山大学学生支援センター</v>
      </c>
      <c r="E801" t="str">
        <f>"オカヤマダイガクガクセイシエンセンター　"</f>
        <v>オカヤマダイガクガクセイシエンセンター　</v>
      </c>
      <c r="F801" t="str">
        <f t="shared" ref="F801:F830" si="46">"岡山"</f>
        <v>岡山</v>
      </c>
      <c r="G801" t="str">
        <f>"年２回刊"</f>
        <v>年２回刊</v>
      </c>
      <c r="H801" t="str">
        <f>"2002222302424"</f>
        <v>2002222302424</v>
      </c>
      <c r="I801" t="str">
        <f>HYPERLINK("#", "https://opac.libnet.pref.okayama.jp/licsxp-opac/WOpacMsgNewListToTifTilDetailAction.do?tilcod=2002222302424")</f>
        <v>https://opac.libnet.pref.okayama.jp/licsxp-opac/WOpacMsgNewListToTifTilDetailAction.do?tilcod=2002222302424</v>
      </c>
    </row>
    <row r="802" spans="1:9" x14ac:dyDescent="0.4">
      <c r="A802" t="str">
        <f>"岡山大学学報"</f>
        <v>岡山大学学報</v>
      </c>
      <c r="B802" s="1" t="str">
        <f t="shared" si="44"/>
        <v>岡山大学学報</v>
      </c>
      <c r="C802" t="str">
        <f>"オカヤマ　ダイガク　ガクホウ"</f>
        <v>オカヤマ　ダイガク　ガクホウ</v>
      </c>
      <c r="D802" t="str">
        <f>"岡山大学庶務部庶務課"</f>
        <v>岡山大学庶務部庶務課</v>
      </c>
      <c r="E802" t="str">
        <f>"オカヤマ ダイガク ショムブ ショムカ"</f>
        <v>オカヤマ ダイガク ショムブ ショムカ</v>
      </c>
      <c r="F802" t="str">
        <f t="shared" si="46"/>
        <v>岡山</v>
      </c>
      <c r="G802" t="str">
        <f>"月刊"</f>
        <v>月刊</v>
      </c>
      <c r="H802" t="str">
        <f>"2002222300653"</f>
        <v>2002222300653</v>
      </c>
      <c r="I802" t="str">
        <f>HYPERLINK("#", "https://opac.libnet.pref.okayama.jp/licsxp-opac/WOpacMsgNewListToTifTilDetailAction.do?tilcod=2002222300653")</f>
        <v>https://opac.libnet.pref.okayama.jp/licsxp-opac/WOpacMsgNewListToTifTilDetailAction.do?tilcod=2002222300653</v>
      </c>
    </row>
    <row r="803" spans="1:9" x14ac:dyDescent="0.4">
      <c r="A803" t="str">
        <f>"[岡山大学学友会 法文学部第二部分局学友会] 学友会誌"</f>
        <v>[岡山大学学友会 法文学部第二部分局学友会] 学友会誌</v>
      </c>
      <c r="B803" s="1" t="str">
        <f t="shared" si="44"/>
        <v>[岡山大学学友会 法文学部第二部分局学友会] 学友会誌</v>
      </c>
      <c r="C803" t="str">
        <f>"オカヤマ ダイガク ガクユウカイ ホウブンガクブ ダイニブ ブンキョク ガクユウカイ ガクユウ カイシ"</f>
        <v>オカヤマ ダイガク ガクユウカイ ホウブンガクブ ダイニブ ブンキョク ガクユウカイ ガクユウ カイシ</v>
      </c>
      <c r="D803" t="str">
        <f>"岡山大学学友会 法文学部第二部分局学友会"</f>
        <v>岡山大学学友会 法文学部第二部分局学友会</v>
      </c>
      <c r="E803" t="str">
        <f>"オカヤマ ダイガク ガクユウカイ ホウブンガクブ ダイニブ ブンキョク ガクユウカイ "</f>
        <v xml:space="preserve">オカヤマ ダイガク ガクユウカイ ホウブンガクブ ダイニブ ブンキョク ガクユウカイ </v>
      </c>
      <c r="F803" t="str">
        <f t="shared" si="46"/>
        <v>岡山</v>
      </c>
      <c r="G803" t="str">
        <f>"頻度不明"</f>
        <v>頻度不明</v>
      </c>
      <c r="H803" t="str">
        <f>"2002222344012"</f>
        <v>2002222344012</v>
      </c>
      <c r="I803" t="str">
        <f>HYPERLINK("#", "https://opac.libnet.pref.okayama.jp/licsxp-opac/WOpacMsgNewListToTifTilDetailAction.do?tilcod=2002222344012")</f>
        <v>https://opac.libnet.pref.okayama.jp/licsxp-opac/WOpacMsgNewListToTifTilDetailAction.do?tilcod=2002222344012</v>
      </c>
    </row>
    <row r="804" spans="1:9" x14ac:dyDescent="0.4">
      <c r="A804" t="str">
        <f>"岡山大学環境管理センター報"</f>
        <v>岡山大学環境管理センター報</v>
      </c>
      <c r="B804" s="1" t="str">
        <f t="shared" si="44"/>
        <v>岡山大学環境管理センター報</v>
      </c>
      <c r="C804" t="str">
        <f>"オカヤマ　ダイガク　カンキョウ　カンリ　センター　ホウ"</f>
        <v>オカヤマ　ダイガク　カンキョウ　カンリ　センター　ホウ</v>
      </c>
      <c r="D804" t="str">
        <f>"岡山大学環境管理センター"</f>
        <v>岡山大学環境管理センター</v>
      </c>
      <c r="E804" t="str">
        <f>"オカヤマ ダイガク カンキョウ カンリ センター"</f>
        <v>オカヤマ ダイガク カンキョウ カンリ センター</v>
      </c>
      <c r="F804" t="str">
        <f t="shared" si="46"/>
        <v>岡山</v>
      </c>
      <c r="G804" t="str">
        <f>"年刊"</f>
        <v>年刊</v>
      </c>
      <c r="H804" t="str">
        <f>"2002222284945"</f>
        <v>2002222284945</v>
      </c>
      <c r="I804" t="str">
        <f>HYPERLINK("#", "https://opac.libnet.pref.okayama.jp/licsxp-opac/WOpacMsgNewListToTifTilDetailAction.do?tilcod=2002222284945")</f>
        <v>https://opac.libnet.pref.okayama.jp/licsxp-opac/WOpacMsgNewListToTifTilDetailAction.do?tilcod=2002222284945</v>
      </c>
    </row>
    <row r="805" spans="1:9" x14ac:dyDescent="0.4">
      <c r="A805" t="str">
        <f>"岡山大学環境理工学部研究報告；Ｊｏｕｒｎａｌ　ｏｆ　Ｔｈｅ　Ｅｎｖｉｒｏｎｍｅｎｔａｌ　Ｓｃｉｅｎｃｅ　ａｎｄ　Ｔｅｃｈｎｏｌｏｇｙ　Ｏｋａｙａｍａ　Ｕｎｉｖｅｒｓｉｔｙ"</f>
        <v>岡山大学環境理工学部研究報告；Ｊｏｕｒｎａｌ　ｏｆ　Ｔｈｅ　Ｅｎｖｉｒｏｎｍｅｎｔａｌ　Ｓｃｉｅｎｃｅ　ａｎｄ　Ｔｅｃｈｎｏｌｏｇｙ　Ｏｋａｙａｍａ　Ｕｎｉｖｅｒｓｉｔｙ</v>
      </c>
      <c r="B805" s="1" t="str">
        <f t="shared" si="44"/>
        <v>岡山大学環境理工学部研究報告；Ｊｏｕｒｎａｌ　ｏｆ　Ｔｈｅ　Ｅｎｖｉｒｏｎｍｅｎｔａｌ　Ｓｃｉｅｎｃｅ　ａｎｄ　Ｔｅｃｈｎｏｌｏｇｙ　Ｏｋａｙａｍａ　Ｕｎｉｖｅｒｓｉｔｙ</v>
      </c>
      <c r="C805" t="str">
        <f>"オカヤマ　ダイガク　カンキョウ　リコウ　ガクブ　ケンキュウ　ホウコク　ＪＯＵＲＮＡＬ　ＯＦ　ＴＨＥ　ＥＮＶＩＲＯＮＭＥＮＴＡＬ　ＳＣＩＥＮＣＥ　ＡＮＤ　ＴＥＣＨＮＯＬＯＧＹ　ＯＫＡＹＡＭＡ　ＵＮＩＶＥＲＳＩＴＹ"</f>
        <v>オカヤマ　ダイガク　カンキョウ　リコウ　ガクブ　ケンキュウ　ホウコク　ＪＯＵＲＮＡＬ　ＯＦ　ＴＨＥ　ＥＮＶＩＲＯＮＭＥＮＴＡＬ　ＳＣＩＥＮＣＥ　ＡＮＤ　ＴＥＣＨＮＯＬＯＧＹ　ＯＫＡＹＡＭＡ　ＵＮＩＶＥＲＳＩＴＹ</v>
      </c>
      <c r="D805" t="str">
        <f>"岡山大学環境理工学部"</f>
        <v>岡山大学環境理工学部</v>
      </c>
      <c r="E805" t="str">
        <f>"オカヤマダイガクカンキョウリコウガクブ"</f>
        <v>オカヤマダイガクカンキョウリコウガクブ</v>
      </c>
      <c r="F805" t="str">
        <f t="shared" si="46"/>
        <v>岡山</v>
      </c>
      <c r="G805" t="str">
        <f>"頻度不明"</f>
        <v>頻度不明</v>
      </c>
      <c r="H805" t="str">
        <f>"2002222285621"</f>
        <v>2002222285621</v>
      </c>
      <c r="I805" t="str">
        <f>HYPERLINK("#", "https://opac.libnet.pref.okayama.jp/licsxp-opac/WOpacMsgNewListToTifTilDetailAction.do?tilcod=2002222285621")</f>
        <v>https://opac.libnet.pref.okayama.jp/licsxp-opac/WOpacMsgNewListToTifTilDetailAction.do?tilcod=2002222285621</v>
      </c>
    </row>
    <row r="806" spans="1:9" x14ac:dyDescent="0.4">
      <c r="A806" t="str">
        <f>"岡山大学機器分析センターＮＥＷＳ"</f>
        <v>岡山大学機器分析センターＮＥＷＳ</v>
      </c>
      <c r="B806" s="1" t="str">
        <f t="shared" si="44"/>
        <v>岡山大学機器分析センターＮＥＷＳ</v>
      </c>
      <c r="C806" t="str">
        <f>"オカヤマ　ダイガク　キキ　ブンセキ　センター　ニュース"</f>
        <v>オカヤマ　ダイガク　キキ　ブンセキ　センター　ニュース</v>
      </c>
      <c r="D806" t="str">
        <f>"岡山大学機器分析センター"</f>
        <v>岡山大学機器分析センター</v>
      </c>
      <c r="E806" t="str">
        <f>"オカヤマダイガクキキブンセキセンター"</f>
        <v>オカヤマダイガクキキブンセキセンター</v>
      </c>
      <c r="F806" t="str">
        <f t="shared" si="46"/>
        <v>岡山</v>
      </c>
      <c r="G806" t="str">
        <f>"不定期刊"</f>
        <v>不定期刊</v>
      </c>
      <c r="H806" t="str">
        <f>"2002222284331"</f>
        <v>2002222284331</v>
      </c>
      <c r="I806" t="str">
        <f>HYPERLINK("#", "https://opac.libnet.pref.okayama.jp/licsxp-opac/WOpacMsgNewListToTifTilDetailAction.do?tilcod=2002222284331")</f>
        <v>https://opac.libnet.pref.okayama.jp/licsxp-opac/WOpacMsgNewListToTifTilDetailAction.do?tilcod=2002222284331</v>
      </c>
    </row>
    <row r="807" spans="1:9" x14ac:dyDescent="0.4">
      <c r="A807" t="str">
        <f>"岡山大学教育学部同窓会報"</f>
        <v>岡山大学教育学部同窓会報</v>
      </c>
      <c r="B807" s="1" t="str">
        <f t="shared" si="44"/>
        <v>岡山大学教育学部同窓会報</v>
      </c>
      <c r="C807" t="str">
        <f>"オカヤマ　ダイガク　キョウイク　ガクブ　ドウソウカイホウ"</f>
        <v>オカヤマ　ダイガク　キョウイク　ガクブ　ドウソウカイホウ</v>
      </c>
      <c r="D807" t="str">
        <f>"岡山大学教育学部同窓会"</f>
        <v>岡山大学教育学部同窓会</v>
      </c>
      <c r="E807" t="str">
        <f>"オカヤマダイガクキョウイクガクブドウソウカイ"</f>
        <v>オカヤマダイガクキョウイクガクブドウソウカイ</v>
      </c>
      <c r="F807" t="str">
        <f t="shared" si="46"/>
        <v>岡山</v>
      </c>
      <c r="G807" t="str">
        <f>"不定期刊"</f>
        <v>不定期刊</v>
      </c>
      <c r="H807" t="str">
        <f>"2002222300754"</f>
        <v>2002222300754</v>
      </c>
      <c r="I807" t="str">
        <f>HYPERLINK("#", "https://opac.libnet.pref.okayama.jp/licsxp-opac/WOpacMsgNewListToTifTilDetailAction.do?tilcod=2002222300754")</f>
        <v>https://opac.libnet.pref.okayama.jp/licsxp-opac/WOpacMsgNewListToTifTilDetailAction.do?tilcod=2002222300754</v>
      </c>
    </row>
    <row r="808" spans="1:9" x14ac:dyDescent="0.4">
      <c r="A808" t="str">
        <f>"岡山大学教育学部附属特別支援学校学校案内"</f>
        <v>岡山大学教育学部附属特別支援学校学校案内</v>
      </c>
      <c r="B808" s="1" t="str">
        <f t="shared" si="44"/>
        <v>岡山大学教育学部附属特別支援学校学校案内</v>
      </c>
      <c r="C808" t="str">
        <f>"オカヤマ ダイガク キョウイク ガクブ フゾク  トクベツ シエン ガッコウ ガッコウ アンナイ"</f>
        <v>オカヤマ ダイガク キョウイク ガクブ フゾク  トクベツ シエン ガッコウ ガッコウ アンナイ</v>
      </c>
      <c r="D808" t="str">
        <f>"岡山大学教育学部附属特別支援学校"</f>
        <v>岡山大学教育学部附属特別支援学校</v>
      </c>
      <c r="E808" t="str">
        <f>"オカヤマダイガクキョウイクガクブフゾクトクベツシエンガッコウ"</f>
        <v>オカヤマダイガクキョウイクガクブフゾクトクベツシエンガッコウ</v>
      </c>
      <c r="F808" t="str">
        <f t="shared" si="46"/>
        <v>岡山</v>
      </c>
      <c r="G808" t="str">
        <f>"年刊"</f>
        <v>年刊</v>
      </c>
      <c r="H808" t="str">
        <f>"2002222311928"</f>
        <v>2002222311928</v>
      </c>
      <c r="I808" t="str">
        <f>HYPERLINK("#", "https://opac.libnet.pref.okayama.jp/licsxp-opac/WOpacMsgNewListToTifTilDetailAction.do?tilcod=2002222311928")</f>
        <v>https://opac.libnet.pref.okayama.jp/licsxp-opac/WOpacMsgNewListToTifTilDetailAction.do?tilcod=2002222311928</v>
      </c>
    </row>
    <row r="809" spans="1:9" x14ac:dyDescent="0.4">
      <c r="A809" t="str">
        <f>"岡山大学教育学部附属小学校学校要覧"</f>
        <v>岡山大学教育学部附属小学校学校要覧</v>
      </c>
      <c r="B809" s="1" t="str">
        <f t="shared" si="44"/>
        <v>岡山大学教育学部附属小学校学校要覧</v>
      </c>
      <c r="C809" t="str">
        <f>"オカヤマ　ダイガク　キョウイク　ガクブ　フゾク　ショウガッコウ　ガッコウ　ヨウラン"</f>
        <v>オカヤマ　ダイガク　キョウイク　ガクブ　フゾク　ショウガッコウ　ガッコウ　ヨウラン</v>
      </c>
      <c r="D809" t="str">
        <f>"岡山大学教育学部附属小学校"</f>
        <v>岡山大学教育学部附属小学校</v>
      </c>
      <c r="E809" t="str">
        <f>"オカヤマダイガクキョウイクガクブフゾクショウガッコウ"</f>
        <v>オカヤマダイガクキョウイクガクブフゾクショウガッコウ</v>
      </c>
      <c r="F809" t="str">
        <f t="shared" si="46"/>
        <v>岡山</v>
      </c>
      <c r="G809" t="str">
        <f>"年刊"</f>
        <v>年刊</v>
      </c>
      <c r="H809" t="str">
        <f>"2002222302398"</f>
        <v>2002222302398</v>
      </c>
      <c r="I809" t="str">
        <f>HYPERLINK("#", "https://opac.libnet.pref.okayama.jp/licsxp-opac/WOpacMsgNewListToTifTilDetailAction.do?tilcod=2002222302398")</f>
        <v>https://opac.libnet.pref.okayama.jp/licsxp-opac/WOpacMsgNewListToTifTilDetailAction.do?tilcod=2002222302398</v>
      </c>
    </row>
    <row r="810" spans="1:9" x14ac:dyDescent="0.4">
      <c r="A810" t="str">
        <f>"岡山大学教育学部附属特別支援学校学校要覧"</f>
        <v>岡山大学教育学部附属特別支援学校学校要覧</v>
      </c>
      <c r="B810" s="1" t="str">
        <f t="shared" si="44"/>
        <v>岡山大学教育学部附属特別支援学校学校要覧</v>
      </c>
      <c r="C810" t="str">
        <f>"オカヤマ　ダイガク　キョウイク　ガクブ　フゾク　トクベツ　シエン　ガッコウ　ガッコウ　ヨウラン"</f>
        <v>オカヤマ　ダイガク　キョウイク　ガクブ　フゾク　トクベツ　シエン　ガッコウ　ガッコウ　ヨウラン</v>
      </c>
      <c r="D810" t="str">
        <f>"岡山大学教育学部附属特別支援学校"</f>
        <v>岡山大学教育学部附属特別支援学校</v>
      </c>
      <c r="E810" t="str">
        <f>"オカヤマダイガクキョウイクガクブフゾクトクベツシエンガッコウ"</f>
        <v>オカヤマダイガクキョウイクガクブフゾクトクベツシエンガッコウ</v>
      </c>
      <c r="F810" t="str">
        <f t="shared" si="46"/>
        <v>岡山</v>
      </c>
      <c r="G810" t="str">
        <f>"年刊"</f>
        <v>年刊</v>
      </c>
      <c r="H810" t="str">
        <f>"2002222301816"</f>
        <v>2002222301816</v>
      </c>
      <c r="I810" t="str">
        <f>HYPERLINK("#", "https://opac.libnet.pref.okayama.jp/licsxp-opac/WOpacMsgNewListToTifTilDetailAction.do?tilcod=2002222301816")</f>
        <v>https://opac.libnet.pref.okayama.jp/licsxp-opac/WOpacMsgNewListToTifTilDetailAction.do?tilcod=2002222301816</v>
      </c>
    </row>
    <row r="811" spans="1:9" x14ac:dyDescent="0.4">
      <c r="A811" t="str">
        <f>"〔岡山大学教育学部附属特別支援学校〕あおぎり"</f>
        <v>〔岡山大学教育学部附属特別支援学校〕あおぎり</v>
      </c>
      <c r="B811" s="1" t="str">
        <f t="shared" si="44"/>
        <v>〔岡山大学教育学部附属特別支援学校〕あおぎり</v>
      </c>
      <c r="C811" t="str">
        <f>"オカヤマ　ダイガク　キョウイク　ガクブ　フゾク　トクベツ　シエン　ガッコウ＊アオギリ"</f>
        <v>オカヤマ　ダイガク　キョウイク　ガクブ　フゾク　トクベツ　シエン　ガッコウ＊アオギリ</v>
      </c>
      <c r="D811" t="str">
        <f>"岡山大学教育学部附属特別支援学校ＰＴＡ文化部"</f>
        <v>岡山大学教育学部附属特別支援学校ＰＴＡ文化部</v>
      </c>
      <c r="E811" t="str">
        <f>"オカヤマダイガクキョウイクガクブフゾクトクベツシエンガッコウピーティーエーブンカブ"</f>
        <v>オカヤマダイガクキョウイクガクブフゾクトクベツシエンガッコウピーティーエーブンカブ</v>
      </c>
      <c r="F811" t="str">
        <f t="shared" si="46"/>
        <v>岡山</v>
      </c>
      <c r="G811" t="str">
        <f>"頻度不明"</f>
        <v>頻度不明</v>
      </c>
      <c r="H811" t="str">
        <f>"2002222302048"</f>
        <v>2002222302048</v>
      </c>
      <c r="I811" t="str">
        <f>HYPERLINK("#", "https://opac.libnet.pref.okayama.jp/licsxp-opac/WOpacMsgNewListToTifTilDetailAction.do?tilcod=2002222302048")</f>
        <v>https://opac.libnet.pref.okayama.jp/licsxp-opac/WOpacMsgNewListToTifTilDetailAction.do?tilcod=2002222302048</v>
      </c>
    </row>
    <row r="812" spans="1:9" x14ac:dyDescent="0.4">
      <c r="A812" t="str">
        <f>"〔岡山大学教育学部附属養護学校〕研究紀要"</f>
        <v>〔岡山大学教育学部附属養護学校〕研究紀要</v>
      </c>
      <c r="B812" s="1" t="str">
        <f t="shared" si="44"/>
        <v>〔岡山大学教育学部附属養護学校〕研究紀要</v>
      </c>
      <c r="C812" t="str">
        <f>"オカヤマ　ダイガク　キョウイク　ガクブ　フゾク　ヨウゴガッコウ　ケンキュウ　キヨウ"</f>
        <v>オカヤマ　ダイガク　キョウイク　ガクブ　フゾク　ヨウゴガッコウ　ケンキュウ　キヨウ</v>
      </c>
      <c r="D812" t="str">
        <f>"岡山大学教育学部附属養護学校"</f>
        <v>岡山大学教育学部附属養護学校</v>
      </c>
      <c r="E812" t="str">
        <f>"オカヤマ ダイガク キョウイクガクブ フゾク ヨウゴ ガッコウ"</f>
        <v>オカヤマ ダイガク キョウイクガクブ フゾク ヨウゴ ガッコウ</v>
      </c>
      <c r="F812" t="str">
        <f t="shared" si="46"/>
        <v>岡山</v>
      </c>
      <c r="G812" t="str">
        <f>"頻度不明"</f>
        <v>頻度不明</v>
      </c>
      <c r="H812" t="str">
        <f>"2002222322389"</f>
        <v>2002222322389</v>
      </c>
      <c r="I812" t="str">
        <f>HYPERLINK("#", "https://opac.libnet.pref.okayama.jp/licsxp-opac/WOpacMsgNewListToTifTilDetailAction.do?tilcod=2002222322389")</f>
        <v>https://opac.libnet.pref.okayama.jp/licsxp-opac/WOpacMsgNewListToTifTilDetailAction.do?tilcod=2002222322389</v>
      </c>
    </row>
    <row r="813" spans="1:9" x14ac:dyDescent="0.4">
      <c r="A813" t="str">
        <f>"岡山大学教育学部附属幼稚園要覧"</f>
        <v>岡山大学教育学部附属幼稚園要覧</v>
      </c>
      <c r="B813" s="1" t="str">
        <f t="shared" si="44"/>
        <v>岡山大学教育学部附属幼稚園要覧</v>
      </c>
      <c r="C813" t="str">
        <f>"オカヤマ　ダイガク　キョウイク　ガクブ　フゾク　ヨウチエン　ヨウラン"</f>
        <v>オカヤマ　ダイガク　キョウイク　ガクブ　フゾク　ヨウチエン　ヨウラン</v>
      </c>
      <c r="D813" t="str">
        <f>""</f>
        <v/>
      </c>
      <c r="E813" t="str">
        <f>""</f>
        <v/>
      </c>
      <c r="F813" t="str">
        <f t="shared" si="46"/>
        <v>岡山</v>
      </c>
      <c r="G813" t="str">
        <f>"年刊"</f>
        <v>年刊</v>
      </c>
      <c r="H813" t="str">
        <f>"2002222302402"</f>
        <v>2002222302402</v>
      </c>
      <c r="I813" t="str">
        <f>HYPERLINK("#", "https://opac.libnet.pref.okayama.jp/licsxp-opac/WOpacMsgNewListToTifTilDetailAction.do?tilcod=2002222302402")</f>
        <v>https://opac.libnet.pref.okayama.jp/licsxp-opac/WOpacMsgNewListToTifTilDetailAction.do?tilcod=2002222302402</v>
      </c>
    </row>
    <row r="814" spans="1:9" x14ac:dyDescent="0.4">
      <c r="A814" t="str">
        <f>"岡山大学教育実践総合センター研究年報"</f>
        <v>岡山大学教育実践総合センター研究年報</v>
      </c>
      <c r="B814" s="1" t="str">
        <f t="shared" si="44"/>
        <v>岡山大学教育実践総合センター研究年報</v>
      </c>
      <c r="C814" t="str">
        <f>"オカヤマ　ダイガク　キョウイク　ジッセン　ソウゴウ　センター　ケンキュウ　ネンポウ"</f>
        <v>オカヤマ　ダイガク　キョウイク　ジッセン　ソウゴウ　センター　ケンキュウ　ネンポウ</v>
      </c>
      <c r="D814" t="str">
        <f>"岡山大学教育学部附属教育実践総合センター"</f>
        <v>岡山大学教育学部附属教育実践総合センター</v>
      </c>
      <c r="E814" t="str">
        <f>"オカヤマ ダイガク キョウイクガクブ フゾク キョウイク ジッセン ソウゴウ センター"</f>
        <v>オカヤマ ダイガク キョウイクガクブ フゾク キョウイク ジッセン ソウゴウ センター</v>
      </c>
      <c r="F814" t="str">
        <f t="shared" si="46"/>
        <v>岡山</v>
      </c>
      <c r="G814" t="str">
        <f>"年刊"</f>
        <v>年刊</v>
      </c>
      <c r="H814" t="str">
        <f>"2002222283091"</f>
        <v>2002222283091</v>
      </c>
      <c r="I814" t="str">
        <f>HYPERLINK("#", "https://opac.libnet.pref.okayama.jp/licsxp-opac/WOpacMsgNewListToTifTilDetailAction.do?tilcod=2002222283091")</f>
        <v>https://opac.libnet.pref.okayama.jp/licsxp-opac/WOpacMsgNewListToTifTilDetailAction.do?tilcod=2002222283091</v>
      </c>
    </row>
    <row r="815" spans="1:9" x14ac:dyDescent="0.4">
      <c r="A815" t="str">
        <f>"[岡山大学教育学部]研究集録"</f>
        <v>[岡山大学教育学部]研究集録</v>
      </c>
      <c r="B815" s="1" t="str">
        <f t="shared" si="44"/>
        <v>[岡山大学教育学部]研究集録</v>
      </c>
      <c r="C815" t="str">
        <f>"オカヤマ ダイガク キョウイクガクブ ケンキュウ シュウロク"</f>
        <v>オカヤマ ダイガク キョウイクガクブ ケンキュウ シュウロク</v>
      </c>
      <c r="D815" t="str">
        <f>"岡山大学教育学部"</f>
        <v>岡山大学教育学部</v>
      </c>
      <c r="E815" t="str">
        <f>"オカヤマ ダイガク キョウイクガクブ"</f>
        <v>オカヤマ ダイガク キョウイクガクブ</v>
      </c>
      <c r="F815" t="str">
        <f t="shared" si="46"/>
        <v>岡山</v>
      </c>
      <c r="G815" t="str">
        <f>"年３回刊"</f>
        <v>年３回刊</v>
      </c>
      <c r="H815" t="str">
        <f>"2002222294251"</f>
        <v>2002222294251</v>
      </c>
      <c r="I815" t="str">
        <f>HYPERLINK("#", "https://opac.libnet.pref.okayama.jp/licsxp-opac/WOpacMsgNewListToTifTilDetailAction.do?tilcod=2002222294251")</f>
        <v>https://opac.libnet.pref.okayama.jp/licsxp-opac/WOpacMsgNewListToTifTilDetailAction.do?tilcod=2002222294251</v>
      </c>
    </row>
    <row r="816" spans="1:9" x14ac:dyDescent="0.4">
      <c r="A816" t="str">
        <f>"岡山大学教育学部附属中学校学校要覧"</f>
        <v>岡山大学教育学部附属中学校学校要覧</v>
      </c>
      <c r="B816" s="1" t="str">
        <f t="shared" si="44"/>
        <v>岡山大学教育学部附属中学校学校要覧</v>
      </c>
      <c r="C816" t="str">
        <f>"オカヤマ　ダイガク　キョウイクガクブ　フゾク　チュウガッコウ　ガッコウ　ヨウラン"</f>
        <v>オカヤマ　ダイガク　キョウイクガクブ　フゾク　チュウガッコウ　ガッコウ　ヨウラン</v>
      </c>
      <c r="D816" t="str">
        <f>"岡山大学教育学部附属中学校"</f>
        <v>岡山大学教育学部附属中学校</v>
      </c>
      <c r="E816" t="str">
        <f>"オカヤマ ダイガク キョウイクガクブ フゾク チュウガッコウ"</f>
        <v>オカヤマ ダイガク キョウイクガクブ フゾク チュウガッコウ</v>
      </c>
      <c r="F816" t="str">
        <f t="shared" si="46"/>
        <v>岡山</v>
      </c>
      <c r="G816" t="str">
        <f>"年刊"</f>
        <v>年刊</v>
      </c>
      <c r="H816" t="str">
        <f>"2002222302397"</f>
        <v>2002222302397</v>
      </c>
      <c r="I816" t="str">
        <f>HYPERLINK("#", "https://opac.libnet.pref.okayama.jp/licsxp-opac/WOpacMsgNewListToTifTilDetailAction.do?tilcod=2002222302397")</f>
        <v>https://opac.libnet.pref.okayama.jp/licsxp-opac/WOpacMsgNewListToTifTilDetailAction.do?tilcod=2002222302397</v>
      </c>
    </row>
    <row r="817" spans="1:9" x14ac:dyDescent="0.4">
      <c r="A817" t="str">
        <f>"〔岡山大学教育学部附属中学校〕研究紀要"</f>
        <v>〔岡山大学教育学部附属中学校〕研究紀要</v>
      </c>
      <c r="B817" s="1" t="str">
        <f t="shared" si="44"/>
        <v>〔岡山大学教育学部附属中学校〕研究紀要</v>
      </c>
      <c r="C817" t="str">
        <f>"オカヤマ　ダイガク　キョウイクガクブ　フゾク　チュウガッコウ　ケンキュウ　キヨウ"</f>
        <v>オカヤマ　ダイガク　キョウイクガクブ　フゾク　チュウガッコウ　ケンキュウ　キヨウ</v>
      </c>
      <c r="D817" t="str">
        <f>"岡山大学教育学部附属中学校"</f>
        <v>岡山大学教育学部附属中学校</v>
      </c>
      <c r="E817" t="str">
        <f>"オカヤマ ダイガク キョウイクガクブ フゾク チュウガッコウ"</f>
        <v>オカヤマ ダイガク キョウイクガクブ フゾク チュウガッコウ</v>
      </c>
      <c r="F817" t="str">
        <f t="shared" si="46"/>
        <v>岡山</v>
      </c>
      <c r="G817" t="str">
        <f>"隔年刊"</f>
        <v>隔年刊</v>
      </c>
      <c r="H817" t="str">
        <f>"2002222300713"</f>
        <v>2002222300713</v>
      </c>
      <c r="I817" t="str">
        <f>HYPERLINK("#", "https://opac.libnet.pref.okayama.jp/licsxp-opac/WOpacMsgNewListToTifTilDetailAction.do?tilcod=2002222300713")</f>
        <v>https://opac.libnet.pref.okayama.jp/licsxp-opac/WOpacMsgNewListToTifTilDetailAction.do?tilcod=2002222300713</v>
      </c>
    </row>
    <row r="818" spans="1:9" x14ac:dyDescent="0.4">
      <c r="A818" t="str">
        <f>"〔岡山大学教養部〕紀要"</f>
        <v>〔岡山大学教養部〕紀要</v>
      </c>
      <c r="B818" s="1" t="str">
        <f t="shared" si="44"/>
        <v>〔岡山大学教養部〕紀要</v>
      </c>
      <c r="C818" t="str">
        <f>"オカヤマ　ダイガク　キョウヨウブ＊キヨウ"</f>
        <v>オカヤマ　ダイガク　キョウヨウブ＊キヨウ</v>
      </c>
      <c r="D818" t="str">
        <f>"岡山大学教養部"</f>
        <v>岡山大学教養部</v>
      </c>
      <c r="E818" t="str">
        <f>"オカヤマ ダイガク キョウヨウブ"</f>
        <v>オカヤマ ダイガク キョウヨウブ</v>
      </c>
      <c r="F818" t="str">
        <f t="shared" si="46"/>
        <v>岡山</v>
      </c>
      <c r="G818" t="str">
        <f>"年刊"</f>
        <v>年刊</v>
      </c>
      <c r="H818" t="str">
        <f>"2002222288393"</f>
        <v>2002222288393</v>
      </c>
      <c r="I818" t="str">
        <f>HYPERLINK("#", "https://opac.libnet.pref.okayama.jp/licsxp-opac/WOpacMsgNewListToTifTilDetailAction.do?tilcod=2002222288393")</f>
        <v>https://opac.libnet.pref.okayama.jp/licsxp-opac/WOpacMsgNewListToTifTilDetailAction.do?tilcod=2002222288393</v>
      </c>
    </row>
    <row r="819" spans="1:9" x14ac:dyDescent="0.4">
      <c r="A819" t="str">
        <f>"岡山大学経済学会雑誌"</f>
        <v>岡山大学経済学会雑誌</v>
      </c>
      <c r="B819" s="1" t="str">
        <f t="shared" si="44"/>
        <v>岡山大学経済学会雑誌</v>
      </c>
      <c r="C819" t="str">
        <f>"オカヤマ　ダイガク　ケイザイガッカイ　ザッシ"</f>
        <v>オカヤマ　ダイガク　ケイザイガッカイ　ザッシ</v>
      </c>
      <c r="D819" t="str">
        <f>"岡山大学経済学会"</f>
        <v>岡山大学経済学会</v>
      </c>
      <c r="E819" t="str">
        <f>"オカヤマダイガクケイザイガッカイ"</f>
        <v>オカヤマダイガクケイザイガッカイ</v>
      </c>
      <c r="F819" t="str">
        <f t="shared" si="46"/>
        <v>岡山</v>
      </c>
      <c r="G819" t="str">
        <f>"季刊"</f>
        <v>季刊</v>
      </c>
      <c r="H819" t="str">
        <f>"2002222294281"</f>
        <v>2002222294281</v>
      </c>
      <c r="I819" t="str">
        <f>HYPERLINK("#", "https://opac.libnet.pref.okayama.jp/licsxp-opac/WOpacMsgNewListToTifTilDetailAction.do?tilcod=2002222294281")</f>
        <v>https://opac.libnet.pref.okayama.jp/licsxp-opac/WOpacMsgNewListToTifTilDetailAction.do?tilcod=2002222294281</v>
      </c>
    </row>
    <row r="820" spans="1:9" x14ac:dyDescent="0.4">
      <c r="A820" t="str">
        <f>"岡山大学芸術学研究"</f>
        <v>岡山大学芸術学研究</v>
      </c>
      <c r="B820" s="1" t="str">
        <f t="shared" si="44"/>
        <v>岡山大学芸術学研究</v>
      </c>
      <c r="C820" t="str">
        <f>"オカヤマ　ダイガク　ゲイジュツガク　ケンキュウ"</f>
        <v>オカヤマ　ダイガク　ゲイジュツガク　ケンキュウ</v>
      </c>
      <c r="D820" t="str">
        <f>"岡山大学文学部"</f>
        <v>岡山大学文学部</v>
      </c>
      <c r="E820" t="str">
        <f>"オカヤマダイガクブンガクブ"</f>
        <v>オカヤマダイガクブンガクブ</v>
      </c>
      <c r="F820" t="str">
        <f t="shared" si="46"/>
        <v>岡山</v>
      </c>
      <c r="G820" t="str">
        <f>"不定期刊"</f>
        <v>不定期刊</v>
      </c>
      <c r="H820" t="str">
        <f>"2002222300300"</f>
        <v>2002222300300</v>
      </c>
      <c r="I820" t="str">
        <f>HYPERLINK("#", "https://opac.libnet.pref.okayama.jp/licsxp-opac/WOpacMsgNewListToTifTilDetailAction.do?tilcod=2002222300300")</f>
        <v>https://opac.libnet.pref.okayama.jp/licsxp-opac/WOpacMsgNewListToTifTilDetailAction.do?tilcod=2002222300300</v>
      </c>
    </row>
    <row r="821" spans="1:9" x14ac:dyDescent="0.4">
      <c r="A821" t="str">
        <f>"岡山大学外科同窓会誌"</f>
        <v>岡山大学外科同窓会誌</v>
      </c>
      <c r="B821" s="1" t="str">
        <f t="shared" si="44"/>
        <v>岡山大学外科同窓会誌</v>
      </c>
      <c r="C821" t="str">
        <f>"オカヤマ ダイガク ゲカ ドウソウカイシ"</f>
        <v>オカヤマ ダイガク ゲカ ドウソウカイシ</v>
      </c>
      <c r="D821" t="str">
        <f>"岡山大学医学部医学科"</f>
        <v>岡山大学医学部医学科</v>
      </c>
      <c r="E821" t="str">
        <f>"オカヤマ ダイガク イガクブ イガクカ"</f>
        <v>オカヤマ ダイガク イガクブ イガクカ</v>
      </c>
      <c r="F821" t="str">
        <f t="shared" si="46"/>
        <v>岡山</v>
      </c>
      <c r="G821" t="str">
        <f t="shared" ref="G821:G827" si="47">"年刊"</f>
        <v>年刊</v>
      </c>
      <c r="H821" t="str">
        <f>"2002222334851"</f>
        <v>2002222334851</v>
      </c>
      <c r="I821" t="str">
        <f>HYPERLINK("#", "https://opac.libnet.pref.okayama.jp/licsxp-opac/WOpacMsgNewListToTifTilDetailAction.do?tilcod=2002222334851")</f>
        <v>https://opac.libnet.pref.okayama.jp/licsxp-opac/WOpacMsgNewListToTifTilDetailAction.do?tilcod=2002222334851</v>
      </c>
    </row>
    <row r="822" spans="1:9" x14ac:dyDescent="0.4">
      <c r="A822" t="str">
        <f>"岡山大学言語学論叢"</f>
        <v>岡山大学言語学論叢</v>
      </c>
      <c r="B822" s="1" t="str">
        <f t="shared" si="44"/>
        <v>岡山大学言語学論叢</v>
      </c>
      <c r="C822" t="str">
        <f>"オカヤマ ダイガク ゲンゴガク ロンソウ"</f>
        <v>オカヤマ ダイガク ゲンゴガク ロンソウ</v>
      </c>
      <c r="D822" t="str">
        <f>"岡山大学文学部"</f>
        <v>岡山大学文学部</v>
      </c>
      <c r="E822" t="str">
        <f>"オカヤマ ダイガク ブンガクブ"</f>
        <v>オカヤマ ダイガク ブンガクブ</v>
      </c>
      <c r="F822" t="str">
        <f t="shared" si="46"/>
        <v>岡山</v>
      </c>
      <c r="G822" t="str">
        <f t="shared" si="47"/>
        <v>年刊</v>
      </c>
      <c r="H822" t="str">
        <f>"2002222329846"</f>
        <v>2002222329846</v>
      </c>
      <c r="I822" t="str">
        <f>HYPERLINK("#", "https://opac.libnet.pref.okayama.jp/licsxp-opac/WOpacMsgNewListToTifTilDetailAction.do?tilcod=2002222329846")</f>
        <v>https://opac.libnet.pref.okayama.jp/licsxp-opac/WOpacMsgNewListToTifTilDetailAction.do?tilcod=2002222329846</v>
      </c>
    </row>
    <row r="823" spans="1:9" x14ac:dyDescent="0.4">
      <c r="A823" t="str">
        <f>"〔岡山大学工学部紀要〕ＭＥＭＯＩＲＳ　ＯＦ　ＴＨＥ　ＦＡＣＵＬＴＹ　ＯＦ　ＥＮＧＩＮＥＥＲＩＮＧ　ＯＫＡＹＡＭＡ　ＵＮＩＶＥＲＳＩＴＹ"</f>
        <v>〔岡山大学工学部紀要〕ＭＥＭＯＩＲＳ　ＯＦ　ＴＨＥ　ＦＡＣＵＬＴＹ　ＯＦ　ＥＮＧＩＮＥＥＲＩＮＧ　ＯＫＡＹＡＭＡ　ＵＮＩＶＥＲＳＩＴＹ</v>
      </c>
      <c r="B823" s="1" t="str">
        <f t="shared" si="44"/>
        <v>〔岡山大学工学部紀要〕ＭＥＭＯＩＲＳ　ＯＦ　ＴＨＥ　ＦＡＣＵＬＴＹ　ＯＦ　ＥＮＧＩＮＥＥＲＩＮＧ　ＯＫＡＹＡＭＡ　ＵＮＩＶＥＲＳＩＴＹ</v>
      </c>
      <c r="C823" t="str">
        <f>"オカヤマ　ダイガク　コウガクブ　キヨウ＊ＭＥＭＯＩＲＳ　ＯＦ　ＴＨＥ　ＦＡＣＵＬＴＹ　ＯＦ　ＥＮＧＩＮＥＥＲＩＮＧ　ＯＫＡＹＡＭＡ　ＵＮＩＶＥＲＳＩＴＹ"</f>
        <v>オカヤマ　ダイガク　コウガクブ　キヨウ＊ＭＥＭＯＩＲＳ　ＯＦ　ＴＨＥ　ＦＡＣＵＬＴＹ　ＯＦ　ＥＮＧＩＮＥＥＲＩＮＧ　ＯＫＡＹＡＭＡ　ＵＮＩＶＥＲＳＩＴＹ</v>
      </c>
      <c r="D823" t="str">
        <f>"岡山大学工学部"</f>
        <v>岡山大学工学部</v>
      </c>
      <c r="E823" t="str">
        <f>"オカヤマダイガクコウガクブ"</f>
        <v>オカヤマダイガクコウガクブ</v>
      </c>
      <c r="F823" t="str">
        <f t="shared" si="46"/>
        <v>岡山</v>
      </c>
      <c r="G823" t="str">
        <f t="shared" si="47"/>
        <v>年刊</v>
      </c>
      <c r="H823" t="str">
        <f>"2002222283281"</f>
        <v>2002222283281</v>
      </c>
      <c r="I823" t="str">
        <f>HYPERLINK("#", "https://opac.libnet.pref.okayama.jp/licsxp-opac/WOpacMsgNewListToTifTilDetailAction.do?tilcod=2002222283281")</f>
        <v>https://opac.libnet.pref.okayama.jp/licsxp-opac/WOpacMsgNewListToTifTilDetailAction.do?tilcod=2002222283281</v>
      </c>
    </row>
    <row r="824" spans="1:9" x14ac:dyDescent="0.4">
      <c r="A824" t="str">
        <f>"〔岡山大学工学部紀要〕ＭＥＭＯＩＲＳ　ＯＦ　ＴＨＥ　ＳＣＨＯＯＬ　ＯＦ　ＥＮＧＩＮＥＥＲＩＮＧ　ＯＫＡＹＡＭＡ　ＵＮＩＶＥＲＳＩＴＹ"</f>
        <v>〔岡山大学工学部紀要〕ＭＥＭＯＩＲＳ　ＯＦ　ＴＨＥ　ＳＣＨＯＯＬ　ＯＦ　ＥＮＧＩＮＥＥＲＩＮＧ　ＯＫＡＹＡＭＡ　ＵＮＩＶＥＲＳＩＴＹ</v>
      </c>
      <c r="B824" s="1" t="str">
        <f t="shared" si="44"/>
        <v>〔岡山大学工学部紀要〕ＭＥＭＯＩＲＳ　ＯＦ　ＴＨＥ　ＳＣＨＯＯＬ　ＯＦ　ＥＮＧＩＮＥＥＲＩＮＧ　ＯＫＡＹＡＭＡ　ＵＮＩＶＥＲＳＩＴＹ</v>
      </c>
      <c r="C824" t="str">
        <f>"オカヤマ　ダイガク　コウガクブ　キヨウ＊ＭＥＭＯＩＲＳ　ＯＦ　ＴＨＥ　ＳＣＨＯＯＬ　ＯＦ　ＥＮＧＩＮＥＥＲＩＮＧ　ＯＫＡＹＡＭＡ　ＵＮＩＶＥＲＳＩＴＹ"</f>
        <v>オカヤマ　ダイガク　コウガクブ　キヨウ＊ＭＥＭＯＩＲＳ　ＯＦ　ＴＨＥ　ＳＣＨＯＯＬ　ＯＦ　ＥＮＧＩＮＥＥＲＩＮＧ　ＯＫＡＹＡＭＡ　ＵＮＩＶＥＲＳＩＴＹ</v>
      </c>
      <c r="D824" t="str">
        <f>"岡山大学工学部"</f>
        <v>岡山大学工学部</v>
      </c>
      <c r="E824" t="str">
        <f>"オカヤマダイガクコウガクブ"</f>
        <v>オカヤマダイガクコウガクブ</v>
      </c>
      <c r="F824" t="str">
        <f t="shared" si="46"/>
        <v>岡山</v>
      </c>
      <c r="G824" t="str">
        <f t="shared" si="47"/>
        <v>年刊</v>
      </c>
      <c r="H824" t="str">
        <f>"2002222288403"</f>
        <v>2002222288403</v>
      </c>
      <c r="I824" t="str">
        <f>HYPERLINK("#", "https://opac.libnet.pref.okayama.jp/licsxp-opac/WOpacMsgNewListToTifTilDetailAction.do?tilcod=2002222288403")</f>
        <v>https://opac.libnet.pref.okayama.jp/licsxp-opac/WOpacMsgNewListToTifTilDetailAction.do?tilcod=2002222288403</v>
      </c>
    </row>
    <row r="825" spans="1:9" x14ac:dyDescent="0.4">
      <c r="A825" t="str">
        <f>"岡山大学工学部研究年報"</f>
        <v>岡山大学工学部研究年報</v>
      </c>
      <c r="B825" s="1" t="str">
        <f t="shared" si="44"/>
        <v>岡山大学工学部研究年報</v>
      </c>
      <c r="C825" t="str">
        <f>"オカヤマ　ダイガク　コウガクブ　ケンキュウ　ネンポウ"</f>
        <v>オカヤマ　ダイガク　コウガクブ　ケンキュウ　ネンポウ</v>
      </c>
      <c r="D825" t="str">
        <f>"岡山大学工学部"</f>
        <v>岡山大学工学部</v>
      </c>
      <c r="E825" t="str">
        <f>"オカヤマダイガクコウガクブ"</f>
        <v>オカヤマダイガクコウガクブ</v>
      </c>
      <c r="F825" t="str">
        <f t="shared" si="46"/>
        <v>岡山</v>
      </c>
      <c r="G825" t="str">
        <f t="shared" si="47"/>
        <v>年刊</v>
      </c>
      <c r="H825" t="str">
        <f>"2002222294291"</f>
        <v>2002222294291</v>
      </c>
      <c r="I825" t="str">
        <f>HYPERLINK("#", "https://opac.libnet.pref.okayama.jp/licsxp-opac/WOpacMsgNewListToTifTilDetailAction.do?tilcod=2002222294291")</f>
        <v>https://opac.libnet.pref.okayama.jp/licsxp-opac/WOpacMsgNewListToTifTilDetailAction.do?tilcod=2002222294291</v>
      </c>
    </row>
    <row r="826" spans="1:9" x14ac:dyDescent="0.4">
      <c r="A826" t="str">
        <f>"〔岡山大学工学部〕教育年報"</f>
        <v>〔岡山大学工学部〕教育年報</v>
      </c>
      <c r="B826" s="1" t="str">
        <f t="shared" si="44"/>
        <v>〔岡山大学工学部〕教育年報</v>
      </c>
      <c r="C826" t="str">
        <f>"オカヤマ　ダイガク　コウガクブ＊キョウイク　ネンポウ"</f>
        <v>オカヤマ　ダイガク　コウガクブ＊キョウイク　ネンポウ</v>
      </c>
      <c r="D826" t="str">
        <f>"岡山大学工学部"</f>
        <v>岡山大学工学部</v>
      </c>
      <c r="E826" t="str">
        <f>"オカヤマダイガクコウガクブ"</f>
        <v>オカヤマダイガクコウガクブ</v>
      </c>
      <c r="F826" t="str">
        <f t="shared" si="46"/>
        <v>岡山</v>
      </c>
      <c r="G826" t="str">
        <f t="shared" si="47"/>
        <v>年刊</v>
      </c>
      <c r="H826" t="str">
        <f>"2002222284971"</f>
        <v>2002222284971</v>
      </c>
      <c r="I826" t="str">
        <f>HYPERLINK("#", "https://opac.libnet.pref.okayama.jp/licsxp-opac/WOpacMsgNewListToTifTilDetailAction.do?tilcod=2002222284971")</f>
        <v>https://opac.libnet.pref.okayama.jp/licsxp-opac/WOpacMsgNewListToTifTilDetailAction.do?tilcod=2002222284971</v>
      </c>
    </row>
    <row r="827" spans="1:9" x14ac:dyDescent="0.4">
      <c r="A827" t="str">
        <f>"岡山大学 国語研究"</f>
        <v>岡山大学 国語研究</v>
      </c>
      <c r="B827" s="1" t="str">
        <f t="shared" si="44"/>
        <v>岡山大学 国語研究</v>
      </c>
      <c r="C827" t="str">
        <f>"オカヤマ ダイガク コクゴ ケンキュウ"</f>
        <v>オカヤマ ダイガク コクゴ ケンキュウ</v>
      </c>
      <c r="D827" t="str">
        <f>"国語研究会"</f>
        <v>国語研究会</v>
      </c>
      <c r="E827" t="str">
        <f>"コクゴケンキュウカイ"</f>
        <v>コクゴケンキュウカイ</v>
      </c>
      <c r="F827" t="str">
        <f t="shared" si="46"/>
        <v>岡山</v>
      </c>
      <c r="G827" t="str">
        <f t="shared" si="47"/>
        <v>年刊</v>
      </c>
      <c r="H827" t="str">
        <f>"2002222302415"</f>
        <v>2002222302415</v>
      </c>
      <c r="I827" t="str">
        <f>HYPERLINK("#", "https://opac.libnet.pref.okayama.jp/licsxp-opac/WOpacMsgNewListToTifTilDetailAction.do?tilcod=2002222302415")</f>
        <v>https://opac.libnet.pref.okayama.jp/licsxp-opac/WOpacMsgNewListToTifTilDetailAction.do?tilcod=2002222302415</v>
      </c>
    </row>
    <row r="828" spans="1:9" x14ac:dyDescent="0.4">
      <c r="A828" t="str">
        <f>"岡山大学山岳部部報"</f>
        <v>岡山大学山岳部部報</v>
      </c>
      <c r="B828" s="1" t="str">
        <f t="shared" si="44"/>
        <v>岡山大学山岳部部報</v>
      </c>
      <c r="C828" t="str">
        <f>"オカヤマ　ダイガク　サンガクブ　ブホウ"</f>
        <v>オカヤマ　ダイガク　サンガクブ　ブホウ</v>
      </c>
      <c r="D828" t="str">
        <f>"岡山大学山岳部"</f>
        <v>岡山大学山岳部</v>
      </c>
      <c r="E828" t="str">
        <f>"オカヤマダイガクサンガクブ"</f>
        <v>オカヤマダイガクサンガクブ</v>
      </c>
      <c r="F828" t="str">
        <f t="shared" si="46"/>
        <v>岡山</v>
      </c>
      <c r="G828" t="str">
        <f>"頻度不明"</f>
        <v>頻度不明</v>
      </c>
      <c r="H828" t="str">
        <f>"2002222301368"</f>
        <v>2002222301368</v>
      </c>
      <c r="I828" t="str">
        <f>HYPERLINK("#", "https://opac.libnet.pref.okayama.jp/licsxp-opac/WOpacMsgNewListToTifTilDetailAction.do?tilcod=2002222301368")</f>
        <v>https://opac.libnet.pref.okayama.jp/licsxp-opac/WOpacMsgNewListToTifTilDetailAction.do?tilcod=2002222301368</v>
      </c>
    </row>
    <row r="829" spans="1:9" x14ac:dyDescent="0.4">
      <c r="A829" t="str">
        <f>"岡山大学産業経営研究会研究報告書"</f>
        <v>岡山大学産業経営研究会研究報告書</v>
      </c>
      <c r="B829" s="1" t="str">
        <f t="shared" si="44"/>
        <v>岡山大学産業経営研究会研究報告書</v>
      </c>
      <c r="C829" t="str">
        <f>"オカヤマ　ダイガク　サンギョウ　ケイエイ　ケンキュウカイ　ケンキュウ　ホウコクショ"</f>
        <v>オカヤマ　ダイガク　サンギョウ　ケイエイ　ケンキュウカイ　ケンキュウ　ホウコクショ</v>
      </c>
      <c r="D829" t="str">
        <f>"岡山経済同友会"</f>
        <v>岡山経済同友会</v>
      </c>
      <c r="E829" t="str">
        <f>"オカヤマケイザイドウユウカイ"</f>
        <v>オカヤマケイザイドウユウカイ</v>
      </c>
      <c r="F829" t="str">
        <f t="shared" si="46"/>
        <v>岡山</v>
      </c>
      <c r="G829" t="str">
        <f>"月刊"</f>
        <v>月刊</v>
      </c>
      <c r="H829" t="str">
        <f>"2002222286121"</f>
        <v>2002222286121</v>
      </c>
      <c r="I829" t="str">
        <f>HYPERLINK("#", "https://opac.libnet.pref.okayama.jp/licsxp-opac/WOpacMsgNewListToTifTilDetailAction.do?tilcod=2002222286121")</f>
        <v>https://opac.libnet.pref.okayama.jp/licsxp-opac/WOpacMsgNewListToTifTilDetailAction.do?tilcod=2002222286121</v>
      </c>
    </row>
    <row r="830" spans="1:9" x14ac:dyDescent="0.4">
      <c r="A830" t="str">
        <f>"〔岡山大学産業経営研究会〕研究報告書"</f>
        <v>〔岡山大学産業経営研究会〕研究報告書</v>
      </c>
      <c r="B830" s="1" t="str">
        <f t="shared" si="44"/>
        <v>〔岡山大学産業経営研究会〕研究報告書</v>
      </c>
      <c r="C830" t="str">
        <f>"オカヤマ　ダイガク　サンギョウ　ケイエイ＊ケンキュウカイ　ケンキュウ　ホウコクショ"</f>
        <v>オカヤマ　ダイガク　サンギョウ　ケイエイ＊ケンキュウカイ　ケンキュウ　ホウコクショ</v>
      </c>
      <c r="D830" t="str">
        <f>"岡山大学産業経営研究会"</f>
        <v>岡山大学産業経営研究会</v>
      </c>
      <c r="E830" t="str">
        <f>"オカヤマダイガクサンギョウケイエイケンキュウカイ"</f>
        <v>オカヤマダイガクサンギョウケイエイケンキュウカイ</v>
      </c>
      <c r="F830" t="str">
        <f t="shared" si="46"/>
        <v>岡山</v>
      </c>
      <c r="G830" t="str">
        <f>"年刊"</f>
        <v>年刊</v>
      </c>
      <c r="H830" t="str">
        <f>"2002222294241"</f>
        <v>2002222294241</v>
      </c>
      <c r="I830" t="str">
        <f>HYPERLINK("#", "https://opac.libnet.pref.okayama.jp/licsxp-opac/WOpacMsgNewListToTifTilDetailAction.do?tilcod=2002222294241")</f>
        <v>https://opac.libnet.pref.okayama.jp/licsxp-opac/WOpacMsgNewListToTifTilDetailAction.do?tilcod=2002222294241</v>
      </c>
    </row>
    <row r="831" spans="1:9" x14ac:dyDescent="0.4">
      <c r="A831" t="str">
        <f>"岡山大学資源生物科学研究所報告"</f>
        <v>岡山大学資源生物科学研究所報告</v>
      </c>
      <c r="B831" s="1" t="str">
        <f t="shared" si="44"/>
        <v>岡山大学資源生物科学研究所報告</v>
      </c>
      <c r="C831" t="str">
        <f>"オカヤマ　ダイガク　シゲン　セイブツ　カガク　ケンキュウジョ　ホウコク"</f>
        <v>オカヤマ　ダイガク　シゲン　セイブツ　カガク　ケンキュウジョ　ホウコク</v>
      </c>
      <c r="D831" t="str">
        <f>"岡山大学資源生物科学研究所"</f>
        <v>岡山大学資源生物科学研究所</v>
      </c>
      <c r="E831" t="str">
        <f>"オカヤマダイガクシゲンセイブツカガクケンキュウジョ"</f>
        <v>オカヤマダイガクシゲンセイブツカガクケンキュウジョ</v>
      </c>
      <c r="F831" t="str">
        <f>"倉敷"</f>
        <v>倉敷</v>
      </c>
      <c r="G831" t="str">
        <f>"年刊"</f>
        <v>年刊</v>
      </c>
      <c r="H831" t="str">
        <f>"2002222294261"</f>
        <v>2002222294261</v>
      </c>
      <c r="I831" t="str">
        <f>HYPERLINK("#", "https://opac.libnet.pref.okayama.jp/licsxp-opac/WOpacMsgNewListToTifTilDetailAction.do?tilcod=2002222294261")</f>
        <v>https://opac.libnet.pref.okayama.jp/licsxp-opac/WOpacMsgNewListToTifTilDetailAction.do?tilcod=2002222294261</v>
      </c>
    </row>
    <row r="832" spans="1:9" x14ac:dyDescent="0.4">
      <c r="A832" t="str">
        <f>"岡山大学助産婦同窓会誌"</f>
        <v>岡山大学助産婦同窓会誌</v>
      </c>
      <c r="B832" s="1" t="str">
        <f t="shared" si="44"/>
        <v>岡山大学助産婦同窓会誌</v>
      </c>
      <c r="C832" t="str">
        <f>"オカヤマ ダイガク ジョサンプ ドウソウカイシ"</f>
        <v>オカヤマ ダイガク ジョサンプ ドウソウカイシ</v>
      </c>
      <c r="D832" t="str">
        <f>"岡山大学助産婦同窓会"</f>
        <v>岡山大学助産婦同窓会</v>
      </c>
      <c r="E832" t="str">
        <f>"オカヤマ ダイガク ジョサンプ ドウソウカイ"</f>
        <v>オカヤマ ダイガク ジョサンプ ドウソウカイ</v>
      </c>
      <c r="F832" t="str">
        <f>""</f>
        <v/>
      </c>
      <c r="G832" t="str">
        <f>"頻度不明"</f>
        <v>頻度不明</v>
      </c>
      <c r="H832" t="str">
        <f>"2002222332831"</f>
        <v>2002222332831</v>
      </c>
      <c r="I832" t="str">
        <f>HYPERLINK("#", "https://opac.libnet.pref.okayama.jp/licsxp-opac/WOpacMsgNewListToTifTilDetailAction.do?tilcod=2002222332831")</f>
        <v>https://opac.libnet.pref.okayama.jp/licsxp-opac/WOpacMsgNewListToTifTilDetailAction.do?tilcod=2002222332831</v>
      </c>
    </row>
    <row r="833" spans="1:9" x14ac:dyDescent="0.4">
      <c r="A833" t="str">
        <f>"岡山大学新聞"</f>
        <v>岡山大学新聞</v>
      </c>
      <c r="B833" s="1" t="str">
        <f t="shared" si="44"/>
        <v>岡山大学新聞</v>
      </c>
      <c r="C833" t="str">
        <f>"オカヤマ　ダイガク　シンブン"</f>
        <v>オカヤマ　ダイガク　シンブン</v>
      </c>
      <c r="D833" t="str">
        <f>"岡山大学新聞部"</f>
        <v>岡山大学新聞部</v>
      </c>
      <c r="E833" t="str">
        <f>"オカヤマダイガクシンブンブ"</f>
        <v>オカヤマダイガクシンブンブ</v>
      </c>
      <c r="F833" t="str">
        <f t="shared" ref="F833:F840" si="48">"岡山"</f>
        <v>岡山</v>
      </c>
      <c r="G833" t="str">
        <f>"月刊"</f>
        <v>月刊</v>
      </c>
      <c r="H833" t="str">
        <f>"2002222300834"</f>
        <v>2002222300834</v>
      </c>
      <c r="I833" t="str">
        <f>HYPERLINK("#", "https://opac.libnet.pref.okayama.jp/licsxp-opac/WOpacMsgNewListToTifTilDetailAction.do?tilcod=2002222300834")</f>
        <v>https://opac.libnet.pref.okayama.jp/licsxp-opac/WOpacMsgNewListToTifTilDetailAction.do?tilcod=2002222300834</v>
      </c>
    </row>
    <row r="834" spans="1:9" x14ac:dyDescent="0.4">
      <c r="A834" t="str">
        <f>"岡山大学総合情報処理センター年報"</f>
        <v>岡山大学総合情報処理センター年報</v>
      </c>
      <c r="B834" s="1" t="str">
        <f t="shared" si="44"/>
        <v>岡山大学総合情報処理センター年報</v>
      </c>
      <c r="C834" t="str">
        <f>"オカヤマ　ダイガク　ソウゴウ　ジョウホウ　ショリ　センター　ネンポウ"</f>
        <v>オカヤマ　ダイガク　ソウゴウ　ジョウホウ　ショリ　センター　ネンポウ</v>
      </c>
      <c r="D834" t="str">
        <f>"岡山大学総合情報処理センター"</f>
        <v>岡山大学総合情報処理センター</v>
      </c>
      <c r="E834" t="str">
        <f>"オカヤマダイガクソウゴウジョウホウショリセンター"</f>
        <v>オカヤマダイガクソウゴウジョウホウショリセンター</v>
      </c>
      <c r="F834" t="str">
        <f t="shared" si="48"/>
        <v>岡山</v>
      </c>
      <c r="G834" t="str">
        <f>"年刊"</f>
        <v>年刊</v>
      </c>
      <c r="H834" t="str">
        <f>"2002222284301"</f>
        <v>2002222284301</v>
      </c>
      <c r="I834" t="str">
        <f>HYPERLINK("#", "https://opac.libnet.pref.okayama.jp/licsxp-opac/WOpacMsgNewListToTifTilDetailAction.do?tilcod=2002222284301")</f>
        <v>https://opac.libnet.pref.okayama.jp/licsxp-opac/WOpacMsgNewListToTifTilDetailAction.do?tilcod=2002222284301</v>
      </c>
    </row>
    <row r="835" spans="1:9" x14ac:dyDescent="0.4">
      <c r="A835" t="str">
        <f>"岡山大学大学院教育学研究科学校教育臨床専攻修士論文抄録集"</f>
        <v>岡山大学大学院教育学研究科学校教育臨床専攻修士論文抄録集</v>
      </c>
      <c r="B835" s="1" t="str">
        <f t="shared" si="44"/>
        <v>岡山大学大学院教育学研究科学校教育臨床専攻修士論文抄録集</v>
      </c>
      <c r="C835" t="str">
        <f>"オカヤマ　ダイガク　ダイガクイン　キョウイクガク　ケンキュウカ　ガッコウキョウイクリンショウセンコウ　シュウシロンブンショウロクシュウ"</f>
        <v>オカヤマ　ダイガク　ダイガクイン　キョウイクガク　ケンキュウカ　ガッコウキョウイクリンショウセンコウ　シュウシロンブンショウロクシュウ</v>
      </c>
      <c r="D835" t="str">
        <f>"岡山大学大学院教育学研究科学校教育臨床専攻"</f>
        <v>岡山大学大学院教育学研究科学校教育臨床専攻</v>
      </c>
      <c r="E835" t="str">
        <f>"オカヤマダイガクダイガクインキョウイクガクケンキュウカガッコウキョウイクリンショウセンコウ"</f>
        <v>オカヤマダイガクダイガクインキョウイクガクケンキュウカガッコウキョウイクリンショウセンコウ</v>
      </c>
      <c r="F835" t="str">
        <f t="shared" si="48"/>
        <v>岡山</v>
      </c>
      <c r="G835" t="str">
        <f>"年刊"</f>
        <v>年刊</v>
      </c>
      <c r="H835" t="str">
        <f>"2002222284901"</f>
        <v>2002222284901</v>
      </c>
      <c r="I835" t="str">
        <f>HYPERLINK("#", "https://opac.libnet.pref.okayama.jp/licsxp-opac/WOpacMsgNewListToTifTilDetailAction.do?tilcod=2002222284901")</f>
        <v>https://opac.libnet.pref.okayama.jp/licsxp-opac/WOpacMsgNewListToTifTilDetailAction.do?tilcod=2002222284901</v>
      </c>
    </row>
    <row r="836" spans="1:9" x14ac:dyDescent="0.4">
      <c r="A836" t="str">
        <f>"〔岡山大学大学院教育学研究科〕研究集録"</f>
        <v>〔岡山大学大学院教育学研究科〕研究集録</v>
      </c>
      <c r="B836" s="1" t="str">
        <f t="shared" ref="B836:B899" si="49">HYPERLINK("#", A836)</f>
        <v>〔岡山大学大学院教育学研究科〕研究集録</v>
      </c>
      <c r="C836" t="str">
        <f>"オカヤマ　ダイガク　ダイガクイン　キョウイクガク　ケンキュウカ＊ケンキュウ　シュウロク"</f>
        <v>オカヤマ　ダイガク　ダイガクイン　キョウイクガク　ケンキュウカ＊ケンキュウ　シュウロク</v>
      </c>
      <c r="D836" t="str">
        <f>"岡山大学大学院教育学研究科"</f>
        <v>岡山大学大学院教育学研究科</v>
      </c>
      <c r="E836" t="str">
        <f>"オカヤマ ダイガク ダイガクイン キョウイクガク ケンキュウカ"</f>
        <v>オカヤマ ダイガク ダイガクイン キョウイクガク ケンキュウカ</v>
      </c>
      <c r="F836" t="str">
        <f t="shared" si="48"/>
        <v>岡山</v>
      </c>
      <c r="G836" t="str">
        <f>"年３回刊"</f>
        <v>年３回刊</v>
      </c>
      <c r="H836" t="str">
        <f>"2002222301954"</f>
        <v>2002222301954</v>
      </c>
      <c r="I836" t="str">
        <f>HYPERLINK("#", "https://opac.libnet.pref.okayama.jp/licsxp-opac/WOpacMsgNewListToTifTilDetailAction.do?tilcod=2002222301954")</f>
        <v>https://opac.libnet.pref.okayama.jp/licsxp-opac/WOpacMsgNewListToTifTilDetailAction.do?tilcod=2002222301954</v>
      </c>
    </row>
    <row r="837" spans="1:9" x14ac:dyDescent="0.4">
      <c r="A837" t="str">
        <f>"岡山大学大学院社会文化科学研究科紀要"</f>
        <v>岡山大学大学院社会文化科学研究科紀要</v>
      </c>
      <c r="B837" s="1" t="str">
        <f t="shared" si="49"/>
        <v>岡山大学大学院社会文化科学研究科紀要</v>
      </c>
      <c r="C837" t="str">
        <f>"オカヤマ　ダイガク　ダイガクイン　シャカイ　ブンカ　カガク　ケンキュウカ　キヨウ　"</f>
        <v>オカヤマ　ダイガク　ダイガクイン　シャカイ　ブンカ　カガク　ケンキュウカ　キヨウ　</v>
      </c>
      <c r="D837" t="str">
        <f>"岡山大学大学院社会文化科学研究科"</f>
        <v>岡山大学大学院社会文化科学研究科</v>
      </c>
      <c r="E837" t="str">
        <f>"オカヤマ ダイガク ダイガクイン シャカイ ブンカ カガク ケンキュウカ"</f>
        <v>オカヤマ ダイガク ダイガクイン シャカイ ブンカ カガク ケンキュウカ</v>
      </c>
      <c r="F837" t="str">
        <f t="shared" si="48"/>
        <v>岡山</v>
      </c>
      <c r="G837" t="str">
        <f>"年２回刊"</f>
        <v>年２回刊</v>
      </c>
      <c r="H837" t="str">
        <f>"2002222301304"</f>
        <v>2002222301304</v>
      </c>
      <c r="I837" t="str">
        <f>HYPERLINK("#", "https://opac.libnet.pref.okayama.jp/licsxp-opac/WOpacMsgNewListToTifTilDetailAction.do?tilcod=2002222301304")</f>
        <v>https://opac.libnet.pref.okayama.jp/licsxp-opac/WOpacMsgNewListToTifTilDetailAction.do?tilcod=2002222301304</v>
      </c>
    </row>
    <row r="838" spans="1:9" x14ac:dyDescent="0.4">
      <c r="A838" t="str">
        <f>"岡山大学大学院文化科学研究科紀要"</f>
        <v>岡山大学大学院文化科学研究科紀要</v>
      </c>
      <c r="B838" s="1" t="str">
        <f t="shared" si="49"/>
        <v>岡山大学大学院文化科学研究科紀要</v>
      </c>
      <c r="C838" t="str">
        <f>"オカヤマ　ダイガク　ダイガクイン　ブンカ　カガク　ケンキュウカ　キヨウ"</f>
        <v>オカヤマ　ダイガク　ダイガクイン　ブンカ　カガク　ケンキュウカ　キヨウ</v>
      </c>
      <c r="D838" t="str">
        <f>"岡山大学大学院文化科学研究科"</f>
        <v>岡山大学大学院文化科学研究科</v>
      </c>
      <c r="E838" t="str">
        <f>"オカヤマ ダイガク ダイガクイン ブンカ カガク ケンキュウカ"</f>
        <v>オカヤマ ダイガク ダイガクイン ブンカ カガク ケンキュウカ</v>
      </c>
      <c r="F838" t="str">
        <f t="shared" si="48"/>
        <v>岡山</v>
      </c>
      <c r="G838" t="str">
        <f>"年刊"</f>
        <v>年刊</v>
      </c>
      <c r="H838" t="str">
        <f>"2002222294271"</f>
        <v>2002222294271</v>
      </c>
      <c r="I838" t="str">
        <f>HYPERLINK("#", "https://opac.libnet.pref.okayama.jp/licsxp-opac/WOpacMsgNewListToTifTilDetailAction.do?tilcod=2002222294271")</f>
        <v>https://opac.libnet.pref.okayama.jp/licsxp-opac/WOpacMsgNewListToTifTilDetailAction.do?tilcod=2002222294271</v>
      </c>
    </row>
    <row r="839" spans="1:9" x14ac:dyDescent="0.4">
      <c r="A839" t="str">
        <f>"岡山大学大学院ベンチャー・ビジネス・ラボラトリー研究年報"</f>
        <v>岡山大学大学院ベンチャー・ビジネス・ラボラトリー研究年報</v>
      </c>
      <c r="B839" s="1" t="str">
        <f t="shared" si="49"/>
        <v>岡山大学大学院ベンチャー・ビジネス・ラボラトリー研究年報</v>
      </c>
      <c r="C839" t="str">
        <f>"オカヤマ　ダイガク　ダイガクイン　ベンチャー　ビジネス　ラボラトリー　ケンキュウ　ネンポウ"</f>
        <v>オカヤマ　ダイガク　ダイガクイン　ベンチャー　ビジネス　ラボラトリー　ケンキュウ　ネンポウ</v>
      </c>
      <c r="D839" t="str">
        <f>"岡山大学大学院自然科学研究科"</f>
        <v>岡山大学大学院自然科学研究科</v>
      </c>
      <c r="E839" t="str">
        <f>"オカヤマ ダイガク ダイガクイン シゼン カガク ケンキュウカ"</f>
        <v>オカヤマ ダイガク ダイガクイン シゼン カガク ケンキュウカ</v>
      </c>
      <c r="F839" t="str">
        <f t="shared" si="48"/>
        <v>岡山</v>
      </c>
      <c r="G839" t="str">
        <f>"年刊"</f>
        <v>年刊</v>
      </c>
      <c r="H839" t="str">
        <f>"2002222284341"</f>
        <v>2002222284341</v>
      </c>
      <c r="I839" t="str">
        <f>HYPERLINK("#", "https://opac.libnet.pref.okayama.jp/licsxp-opac/WOpacMsgNewListToTifTilDetailAction.do?tilcod=2002222284341")</f>
        <v>https://opac.libnet.pref.okayama.jp/licsxp-opac/WOpacMsgNewListToTifTilDetailAction.do?tilcod=2002222284341</v>
      </c>
    </row>
    <row r="840" spans="1:9" x14ac:dyDescent="0.4">
      <c r="A840" t="str">
        <f>"岡山大学地域共同研究センター年報"</f>
        <v>岡山大学地域共同研究センター年報</v>
      </c>
      <c r="B840" s="1" t="str">
        <f t="shared" si="49"/>
        <v>岡山大学地域共同研究センター年報</v>
      </c>
      <c r="C840" t="str">
        <f>"オカヤマ　ダイガク　チイキ　キョウドウ　ケンキュウ　センター　ネンポウ"</f>
        <v>オカヤマ　ダイガク　チイキ　キョウドウ　ケンキュウ　センター　ネンポウ</v>
      </c>
      <c r="D840" t="str">
        <f>"岡山大学地域共同研究センター"</f>
        <v>岡山大学地域共同研究センター</v>
      </c>
      <c r="E840" t="str">
        <f>"オカヤマダイガクチイキキョウドウケンキュウセンター"</f>
        <v>オカヤマダイガクチイキキョウドウケンキュウセンター</v>
      </c>
      <c r="F840" t="str">
        <f t="shared" si="48"/>
        <v>岡山</v>
      </c>
      <c r="G840" t="str">
        <f>"年刊"</f>
        <v>年刊</v>
      </c>
      <c r="H840" t="str">
        <f>"2002222283291"</f>
        <v>2002222283291</v>
      </c>
      <c r="I840" t="str">
        <f>HYPERLINK("#", "https://opac.libnet.pref.okayama.jp/licsxp-opac/WOpacMsgNewListToTifTilDetailAction.do?tilcod=2002222283291")</f>
        <v>https://opac.libnet.pref.okayama.jp/licsxp-opac/WOpacMsgNewListToTifTilDetailAction.do?tilcod=2002222283291</v>
      </c>
    </row>
    <row r="841" spans="1:9" x14ac:dyDescent="0.4">
      <c r="A841" t="str">
        <f>"岡山大学地理学研究報告；都市と農村"</f>
        <v>岡山大学地理学研究報告；都市と農村</v>
      </c>
      <c r="B841" s="1" t="str">
        <f t="shared" si="49"/>
        <v>岡山大学地理学研究報告；都市と農村</v>
      </c>
      <c r="C841" t="str">
        <f>"オカヤマ　ダイガク　チリガク　ケンキュウ　ホウコク＊トシ　ト　ノウソン"</f>
        <v>オカヤマ　ダイガク　チリガク　ケンキュウ　ホウコク＊トシ　ト　ノウソン</v>
      </c>
      <c r="D841" t="str">
        <f>"岡山大学法学部"</f>
        <v>岡山大学法学部</v>
      </c>
      <c r="E841" t="str">
        <f>"オカヤマダイガクホウガクブ"</f>
        <v>オカヤマダイガクホウガクブ</v>
      </c>
      <c r="F841" t="str">
        <f>""</f>
        <v/>
      </c>
      <c r="G841" t="str">
        <f>"頻度不明"</f>
        <v>頻度不明</v>
      </c>
      <c r="H841" t="str">
        <f>"2002222288473"</f>
        <v>2002222288473</v>
      </c>
      <c r="I841" t="str">
        <f>HYPERLINK("#", "https://opac.libnet.pref.okayama.jp/licsxp-opac/WOpacMsgNewListToTifTilDetailAction.do?tilcod=2002222288473")</f>
        <v>https://opac.libnet.pref.okayama.jp/licsxp-opac/WOpacMsgNewListToTifTilDetailAction.do?tilcod=2002222288473</v>
      </c>
    </row>
    <row r="842" spans="1:9" x14ac:dyDescent="0.4">
      <c r="A842" t="str">
        <f>"岡山大学独仏文学研究"</f>
        <v>岡山大学独仏文学研究</v>
      </c>
      <c r="B842" s="1" t="str">
        <f t="shared" si="49"/>
        <v>岡山大学独仏文学研究</v>
      </c>
      <c r="C842" t="str">
        <f>"オカヤマ　ダイガク　ドクフツ　ブンガク　ケンキュウ"</f>
        <v>オカヤマ　ダイガク　ドクフツ　ブンガク　ケンキュウ</v>
      </c>
      <c r="D842" t="str">
        <f>"岡山大学文学部"</f>
        <v>岡山大学文学部</v>
      </c>
      <c r="E842" t="str">
        <f>"オカヤマダイガクブンガクブ"</f>
        <v>オカヤマダイガクブンガクブ</v>
      </c>
      <c r="F842" t="str">
        <f t="shared" ref="F842:F848" si="50">"岡山"</f>
        <v>岡山</v>
      </c>
      <c r="G842" t="str">
        <f>"年刊"</f>
        <v>年刊</v>
      </c>
      <c r="H842" t="str">
        <f>"2002222294301"</f>
        <v>2002222294301</v>
      </c>
      <c r="I842" t="str">
        <f>HYPERLINK("#", "https://opac.libnet.pref.okayama.jp/licsxp-opac/WOpacMsgNewListToTifTilDetailAction.do?tilcod=2002222294301")</f>
        <v>https://opac.libnet.pref.okayama.jp/licsxp-opac/WOpacMsgNewListToTifTilDetailAction.do?tilcod=2002222294301</v>
      </c>
    </row>
    <row r="843" spans="1:9" x14ac:dyDescent="0.4">
      <c r="A843" t="str">
        <f>"岡山大学日本経済史研究会研究会誌"</f>
        <v>岡山大学日本経済史研究会研究会誌</v>
      </c>
      <c r="B843" s="1" t="str">
        <f t="shared" si="49"/>
        <v>岡山大学日本経済史研究会研究会誌</v>
      </c>
      <c r="C843" t="str">
        <f>"オカヤマ　ダイガク　ニホン　ケイザイシ　ケンキュウカイ　ケンキュウ　カイシ"</f>
        <v>オカヤマ　ダイガク　ニホン　ケイザイシ　ケンキュウカイ　ケンキュウ　カイシ</v>
      </c>
      <c r="D843" t="str">
        <f>"岡山大学日本経済史研究会"</f>
        <v>岡山大学日本経済史研究会</v>
      </c>
      <c r="E843" t="str">
        <f>"オカヤマダイガクニホンケイザイシケンキュウカイ"</f>
        <v>オカヤマダイガクニホンケイザイシケンキュウカイ</v>
      </c>
      <c r="F843" t="str">
        <f t="shared" si="50"/>
        <v>岡山</v>
      </c>
      <c r="G843" t="str">
        <f>"頻度不明"</f>
        <v>頻度不明</v>
      </c>
      <c r="H843" t="str">
        <f>"2002222288413"</f>
        <v>2002222288413</v>
      </c>
      <c r="I843" t="str">
        <f>HYPERLINK("#", "https://opac.libnet.pref.okayama.jp/licsxp-opac/WOpacMsgNewListToTifTilDetailAction.do?tilcod=2002222288413")</f>
        <v>https://opac.libnet.pref.okayama.jp/licsxp-opac/WOpacMsgNewListToTifTilDetailAction.do?tilcod=2002222288413</v>
      </c>
    </row>
    <row r="844" spans="1:9" x14ac:dyDescent="0.4">
      <c r="A844" t="str">
        <f>"岡山大学農学部学術報告"</f>
        <v>岡山大学農学部学術報告</v>
      </c>
      <c r="B844" s="1" t="str">
        <f t="shared" si="49"/>
        <v>岡山大学農学部学術報告</v>
      </c>
      <c r="C844" t="str">
        <f>"オカヤマ　ダイガク　ノウガクブ　ガクジュツ　ホウコク"</f>
        <v>オカヤマ　ダイガク　ノウガクブ　ガクジュツ　ホウコク</v>
      </c>
      <c r="D844" t="str">
        <f>"岡山大学農学部"</f>
        <v>岡山大学農学部</v>
      </c>
      <c r="E844" t="str">
        <f>"オカヤマダイガクノウガクブ"</f>
        <v>オカヤマダイガクノウガクブ</v>
      </c>
      <c r="F844" t="str">
        <f t="shared" si="50"/>
        <v>岡山</v>
      </c>
      <c r="G844" t="str">
        <f>"年刊"</f>
        <v>年刊</v>
      </c>
      <c r="H844" t="str">
        <f>"2002222294311"</f>
        <v>2002222294311</v>
      </c>
      <c r="I844" t="str">
        <f>HYPERLINK("#", "https://opac.libnet.pref.okayama.jp/licsxp-opac/WOpacMsgNewListToTifTilDetailAction.do?tilcod=2002222294311")</f>
        <v>https://opac.libnet.pref.okayama.jp/licsxp-opac/WOpacMsgNewListToTifTilDetailAction.do?tilcod=2002222294311</v>
      </c>
    </row>
    <row r="845" spans="1:9" x14ac:dyDescent="0.4">
      <c r="A845" t="str">
        <f>"岡山大学農学部　業績一覧"</f>
        <v>岡山大学農学部　業績一覧</v>
      </c>
      <c r="B845" s="1" t="str">
        <f t="shared" si="49"/>
        <v>岡山大学農学部　業績一覧</v>
      </c>
      <c r="C845" t="str">
        <f>"オカヤマ　ダイガク　ノウガクブ　ギョウセキ　イチラン"</f>
        <v>オカヤマ　ダイガク　ノウガクブ　ギョウセキ　イチラン</v>
      </c>
      <c r="D845" t="str">
        <f>"岡山大学農学部"</f>
        <v>岡山大学農学部</v>
      </c>
      <c r="E845" t="str">
        <f>"オカヤマダイガクノウガクブ"</f>
        <v>オカヤマダイガクノウガクブ</v>
      </c>
      <c r="F845" t="str">
        <f t="shared" si="50"/>
        <v>岡山</v>
      </c>
      <c r="G845" t="str">
        <f>"頻度不明"</f>
        <v>頻度不明</v>
      </c>
      <c r="H845" t="str">
        <f>"2002222288433"</f>
        <v>2002222288433</v>
      </c>
      <c r="I845" t="str">
        <f>HYPERLINK("#", "https://opac.libnet.pref.okayama.jp/licsxp-opac/WOpacMsgNewListToTifTilDetailAction.do?tilcod=2002222288433")</f>
        <v>https://opac.libnet.pref.okayama.jp/licsxp-opac/WOpacMsgNewListToTifTilDetailAction.do?tilcod=2002222288433</v>
      </c>
    </row>
    <row r="846" spans="1:9" x14ac:dyDescent="0.4">
      <c r="A846" t="str">
        <f>"岡山大学農学部　収書通報"</f>
        <v>岡山大学農学部　収書通報</v>
      </c>
      <c r="B846" s="1" t="str">
        <f t="shared" si="49"/>
        <v>岡山大学農学部　収書通報</v>
      </c>
      <c r="C846" t="str">
        <f>"オカヤマ　ダイガク　ノウガクブ　シュウショ　ツウホウ"</f>
        <v>オカヤマ　ダイガク　ノウガクブ　シュウショ　ツウホウ</v>
      </c>
      <c r="D846" t="str">
        <f>"岡山大学農学部図書室"</f>
        <v>岡山大学農学部図書室</v>
      </c>
      <c r="E846" t="str">
        <f>"オカヤマダイガクノウガクブトショシツ"</f>
        <v>オカヤマダイガクノウガクブトショシツ</v>
      </c>
      <c r="F846" t="str">
        <f t="shared" si="50"/>
        <v>岡山</v>
      </c>
      <c r="G846" t="str">
        <f>"頻度不明"</f>
        <v>頻度不明</v>
      </c>
      <c r="H846" t="str">
        <f>"2002222288423"</f>
        <v>2002222288423</v>
      </c>
      <c r="I846" t="str">
        <f>HYPERLINK("#", "https://opac.libnet.pref.okayama.jp/licsxp-opac/WOpacMsgNewListToTifTilDetailAction.do?tilcod=2002222288423")</f>
        <v>https://opac.libnet.pref.okayama.jp/licsxp-opac/WOpacMsgNewListToTifTilDetailAction.do?tilcod=2002222288423</v>
      </c>
    </row>
    <row r="847" spans="1:9" x14ac:dyDescent="0.4">
      <c r="A847" t="str">
        <f>"〔岡山大学農学部畜産製造学教室〕乳の科学"</f>
        <v>〔岡山大学農学部畜産製造学教室〕乳の科学</v>
      </c>
      <c r="B847" s="1" t="str">
        <f t="shared" si="49"/>
        <v>〔岡山大学農学部畜産製造学教室〕乳の科学</v>
      </c>
      <c r="C847" t="str">
        <f>"オカヤマ　ダイガク　ノウガクブ　チクサン　セイゾウガク　キョウシツ＊ニュウ　ノ　カガク"</f>
        <v>オカヤマ　ダイガク　ノウガクブ　チクサン　セイゾウガク　キョウシツ＊ニュウ　ノ　カガク</v>
      </c>
      <c r="D847" t="str">
        <f>"乳製品研究会"</f>
        <v>乳製品研究会</v>
      </c>
      <c r="E847" t="str">
        <f>"ニュウセイヒンケンキュウカイ"</f>
        <v>ニュウセイヒンケンキュウカイ</v>
      </c>
      <c r="F847" t="str">
        <f t="shared" si="50"/>
        <v>岡山</v>
      </c>
      <c r="G847" t="str">
        <f>"頻度不明"</f>
        <v>頻度不明</v>
      </c>
      <c r="H847" t="str">
        <f>"2002222288543"</f>
        <v>2002222288543</v>
      </c>
      <c r="I847" t="str">
        <f>HYPERLINK("#", "https://opac.libnet.pref.okayama.jp/licsxp-opac/WOpacMsgNewListToTifTilDetailAction.do?tilcod=2002222288543")</f>
        <v>https://opac.libnet.pref.okayama.jp/licsxp-opac/WOpacMsgNewListToTifTilDetailAction.do?tilcod=2002222288543</v>
      </c>
    </row>
    <row r="848" spans="1:9" x14ac:dyDescent="0.4">
      <c r="A848" t="str">
        <f>"岡山大学農学部農場報告"</f>
        <v>岡山大学農学部農場報告</v>
      </c>
      <c r="B848" s="1" t="str">
        <f t="shared" si="49"/>
        <v>岡山大学農学部農場報告</v>
      </c>
      <c r="C848" t="str">
        <f>"オカヤマ　ダイガク　ノウガクブ　ノウジョウ　ホウコク"</f>
        <v>オカヤマ　ダイガク　ノウガクブ　ノウジョウ　ホウコク</v>
      </c>
      <c r="D848" t="str">
        <f>"岡山大学農学部附属農場"</f>
        <v>岡山大学農学部附属農場</v>
      </c>
      <c r="E848" t="str">
        <f>"オカヤマダイガクノウガクブフゾクノウジョウ"</f>
        <v>オカヤマダイガクノウガクブフゾクノウジョウ</v>
      </c>
      <c r="F848" t="str">
        <f t="shared" si="50"/>
        <v>岡山</v>
      </c>
      <c r="G848" t="str">
        <f>"頻度不明"</f>
        <v>頻度不明</v>
      </c>
      <c r="H848" t="str">
        <f>"2002222301446"</f>
        <v>2002222301446</v>
      </c>
      <c r="I848" t="str">
        <f>HYPERLINK("#", "https://opac.libnet.pref.okayama.jp/licsxp-opac/WOpacMsgNewListToTifTilDetailAction.do?tilcod=2002222301446")</f>
        <v>https://opac.libnet.pref.okayama.jp/licsxp-opac/WOpacMsgNewListToTifTilDetailAction.do?tilcod=2002222301446</v>
      </c>
    </row>
    <row r="849" spans="1:9" x14ac:dyDescent="0.4">
      <c r="A849" t="str">
        <f>"〔岡山大学農業生物研究所〕農学研究"</f>
        <v>〔岡山大学農業生物研究所〕農学研究</v>
      </c>
      <c r="B849" s="1" t="str">
        <f t="shared" si="49"/>
        <v>〔岡山大学農業生物研究所〕農学研究</v>
      </c>
      <c r="C849" t="str">
        <f>"オカヤマ　ダイガク　ノウギョウ　セイブツ　ケンキュウジョ＊ノウガク　ケンキュウ"</f>
        <v>オカヤマ　ダイガク　ノウギョウ　セイブツ　ケンキュウジョ＊ノウガク　ケンキュウ</v>
      </c>
      <c r="D849" t="str">
        <f>"岡山大学農業生物研究所"</f>
        <v>岡山大学農業生物研究所</v>
      </c>
      <c r="E849" t="str">
        <f>"オカヤマダイガクノウギョウセイブツケンキュウジョ"</f>
        <v>オカヤマダイガクノウギョウセイブツケンキュウジョ</v>
      </c>
      <c r="F849" t="str">
        <f>""</f>
        <v/>
      </c>
      <c r="G849" t="str">
        <f>"頻度不明"</f>
        <v>頻度不明</v>
      </c>
      <c r="H849" t="str">
        <f>"2002222288443"</f>
        <v>2002222288443</v>
      </c>
      <c r="I849" t="str">
        <f>HYPERLINK("#", "https://opac.libnet.pref.okayama.jp/licsxp-opac/WOpacMsgNewListToTifTilDetailAction.do?tilcod=2002222288443")</f>
        <v>https://opac.libnet.pref.okayama.jp/licsxp-opac/WOpacMsgNewListToTifTilDetailAction.do?tilcod=2002222288443</v>
      </c>
    </row>
    <row r="850" spans="1:9" x14ac:dyDescent="0.4">
      <c r="A850" t="str">
        <f>"岡山大学附属図書館収書月報"</f>
        <v>岡山大学附属図書館収書月報</v>
      </c>
      <c r="B850" s="1" t="str">
        <f t="shared" si="49"/>
        <v>岡山大学附属図書館収書月報</v>
      </c>
      <c r="C850" t="str">
        <f>"オカヤマ ダイガク フゾク トショカン シュウショ ゲッポウ"</f>
        <v>オカヤマ ダイガク フゾク トショカン シュウショ ゲッポウ</v>
      </c>
      <c r="D850" t="str">
        <f>"岡山大学附属図書館"</f>
        <v>岡山大学附属図書館</v>
      </c>
      <c r="E850" t="str">
        <f>"オカヤマ ダイガク フゾク トショカン"</f>
        <v>オカヤマ ダイガク フゾク トショカン</v>
      </c>
      <c r="F850" t="str">
        <f>"岡山"</f>
        <v>岡山</v>
      </c>
      <c r="G850" t="str">
        <f>"不定期刊"</f>
        <v>不定期刊</v>
      </c>
      <c r="H850" t="str">
        <f>"2002222288491"</f>
        <v>2002222288491</v>
      </c>
      <c r="I850" t="str">
        <f>HYPERLINK("#", "https://opac.libnet.pref.okayama.jp/licsxp-opac/WOpacMsgNewListToTifTilDetailAction.do?tilcod=2002222288491")</f>
        <v>https://opac.libnet.pref.okayama.jp/licsxp-opac/WOpacMsgNewListToTifTilDetailAction.do?tilcod=2002222288491</v>
      </c>
    </row>
    <row r="851" spans="1:9" x14ac:dyDescent="0.4">
      <c r="A851" t="str">
        <f>"岡山大学文学部紀要"</f>
        <v>岡山大学文学部紀要</v>
      </c>
      <c r="B851" s="1" t="str">
        <f t="shared" si="49"/>
        <v>岡山大学文学部紀要</v>
      </c>
      <c r="C851" t="str">
        <f>"オカヤマ　ダイガク　ブンガクブ　キヨウ"</f>
        <v>オカヤマ　ダイガク　ブンガクブ　キヨウ</v>
      </c>
      <c r="D851" t="str">
        <f>"岡山大学文学部"</f>
        <v>岡山大学文学部</v>
      </c>
      <c r="E851" t="str">
        <f>"オカヤマダイガクブンガクブ"</f>
        <v>オカヤマダイガクブンガクブ</v>
      </c>
      <c r="F851" t="str">
        <f>"岡山"</f>
        <v>岡山</v>
      </c>
      <c r="G851" t="str">
        <f>"年２回刊"</f>
        <v>年２回刊</v>
      </c>
      <c r="H851" t="str">
        <f>"2002222294331"</f>
        <v>2002222294331</v>
      </c>
      <c r="I851" t="str">
        <f>HYPERLINK("#", "https://opac.libnet.pref.okayama.jp/licsxp-opac/WOpacMsgNewListToTifTilDetailAction.do?tilcod=2002222294331")</f>
        <v>https://opac.libnet.pref.okayama.jp/licsxp-opac/WOpacMsgNewListToTifTilDetailAction.do?tilcod=2002222294331</v>
      </c>
    </row>
    <row r="852" spans="1:9" x14ac:dyDescent="0.4">
      <c r="A852" t="str">
        <f>"岡山大学法学会雑誌"</f>
        <v>岡山大学法学会雑誌</v>
      </c>
      <c r="B852" s="1" t="str">
        <f t="shared" si="49"/>
        <v>岡山大学法学会雑誌</v>
      </c>
      <c r="C852" t="str">
        <f>"オカヤマ　ダイガク　ホウガクカイ　ザッシ"</f>
        <v>オカヤマ　ダイガク　ホウガクカイ　ザッシ</v>
      </c>
      <c r="D852" t="str">
        <f>"岡山大学法学会"</f>
        <v>岡山大学法学会</v>
      </c>
      <c r="E852" t="str">
        <f>"オカヤマダイガクホウガクカイ"</f>
        <v>オカヤマダイガクホウガクカイ</v>
      </c>
      <c r="F852" t="str">
        <f>"岡山"</f>
        <v>岡山</v>
      </c>
      <c r="G852" t="str">
        <f>"年３回刊"</f>
        <v>年３回刊</v>
      </c>
      <c r="H852" t="str">
        <f>"2002222294321"</f>
        <v>2002222294321</v>
      </c>
      <c r="I852" t="str">
        <f>HYPERLINK("#", "https://opac.libnet.pref.okayama.jp/licsxp-opac/WOpacMsgNewListToTifTilDetailAction.do?tilcod=2002222294321")</f>
        <v>https://opac.libnet.pref.okayama.jp/licsxp-opac/WOpacMsgNewListToTifTilDetailAction.do?tilcod=2002222294321</v>
      </c>
    </row>
    <row r="853" spans="1:9" x14ac:dyDescent="0.4">
      <c r="A853" t="str">
        <f>"岡山大学法経学会雑誌"</f>
        <v>岡山大学法経学会雑誌</v>
      </c>
      <c r="B853" s="1" t="str">
        <f t="shared" si="49"/>
        <v>岡山大学法経学会雑誌</v>
      </c>
      <c r="C853" t="str">
        <f>"オカヤマ　ダイガク　ホウケイ　ガッカイ　ザッシ"</f>
        <v>オカヤマ　ダイガク　ホウケイ　ガッカイ　ザッシ</v>
      </c>
      <c r="D853" t="str">
        <f>"岡山大学法経学会"</f>
        <v>岡山大学法経学会</v>
      </c>
      <c r="E853" t="str">
        <f>"オカヤマダイガクホウケイガッカイ"</f>
        <v>オカヤマダイガクホウケイガッカイ</v>
      </c>
      <c r="F853" t="str">
        <f>"岡山"</f>
        <v>岡山</v>
      </c>
      <c r="G853" t="str">
        <f>"季刊"</f>
        <v>季刊</v>
      </c>
      <c r="H853" t="str">
        <f>"2002222288493"</f>
        <v>2002222288493</v>
      </c>
      <c r="I853" t="str">
        <f>HYPERLINK("#", "https://opac.libnet.pref.okayama.jp/licsxp-opac/WOpacMsgNewListToTifTilDetailAction.do?tilcod=2002222288493")</f>
        <v>https://opac.libnet.pref.okayama.jp/licsxp-opac/WOpacMsgNewListToTifTilDetailAction.do?tilcod=2002222288493</v>
      </c>
    </row>
    <row r="854" spans="1:9" x14ac:dyDescent="0.4">
      <c r="A854" t="str">
        <f>"岡山大学法経短期大学部紀要；文学論集"</f>
        <v>岡山大学法経短期大学部紀要；文学論集</v>
      </c>
      <c r="B854" s="1" t="str">
        <f t="shared" si="49"/>
        <v>岡山大学法経短期大学部紀要；文学論集</v>
      </c>
      <c r="C854" t="str">
        <f>"オカヤマ　ダイガク　ホウケイ　タンキ　ダイガクブ　キヨウ＊ブンガク　ロンシュウ"</f>
        <v>オカヤマ　ダイガク　ホウケイ　タンキ　ダイガクブ　キヨウ＊ブンガク　ロンシュウ</v>
      </c>
      <c r="D854" t="str">
        <f>"岡山大学法経短期大学部"</f>
        <v>岡山大学法経短期大学部</v>
      </c>
      <c r="E854" t="str">
        <f>"オカヤマダイガクホウケイタンキダイガクブ"</f>
        <v>オカヤマダイガクホウケイタンキダイガクブ</v>
      </c>
      <c r="F854" t="str">
        <f>""</f>
        <v/>
      </c>
      <c r="G854" t="str">
        <f>"頻度不明"</f>
        <v>頻度不明</v>
      </c>
      <c r="H854" t="str">
        <f>"2002222288483"</f>
        <v>2002222288483</v>
      </c>
      <c r="I854" t="str">
        <f>HYPERLINK("#", "https://opac.libnet.pref.okayama.jp/licsxp-opac/WOpacMsgNewListToTifTilDetailAction.do?tilcod=2002222288483")</f>
        <v>https://opac.libnet.pref.okayama.jp/licsxp-opac/WOpacMsgNewListToTifTilDetailAction.do?tilcod=2002222288483</v>
      </c>
    </row>
    <row r="855" spans="1:9" x14ac:dyDescent="0.4">
      <c r="A855" t="str">
        <f>"岡山大学法経短期大学部紀要；法学経済学論集"</f>
        <v>岡山大学法経短期大学部紀要；法学経済学論集</v>
      </c>
      <c r="B855" s="1" t="str">
        <f t="shared" si="49"/>
        <v>岡山大学法経短期大学部紀要；法学経済学論集</v>
      </c>
      <c r="C855" t="str">
        <f>"オカヤマ　ダイガク　ホウケイ　タンキ　ダイガクブ　キヨウ＊ホウガク　ケイザイガク　ロンシュウ"</f>
        <v>オカヤマ　ダイガク　ホウケイ　タンキ　ダイガクブ　キヨウ＊ホウガク　ケイザイガク　ロンシュウ</v>
      </c>
      <c r="D855" t="str">
        <f>"岡山大学法経短期大学部"</f>
        <v>岡山大学法経短期大学部</v>
      </c>
      <c r="E855" t="str">
        <f>"オカヤマダイガクホウケイタンキダイガクブ"</f>
        <v>オカヤマダイガクホウケイタンキダイガクブ</v>
      </c>
      <c r="F855" t="str">
        <f>""</f>
        <v/>
      </c>
      <c r="G855" t="str">
        <f>"頻度不明"</f>
        <v>頻度不明</v>
      </c>
      <c r="H855" t="str">
        <f>"2002222301502"</f>
        <v>2002222301502</v>
      </c>
      <c r="I855" t="str">
        <f>HYPERLINK("#", "https://opac.libnet.pref.okayama.jp/licsxp-opac/WOpacMsgNewListToTifTilDetailAction.do?tilcod=2002222301502")</f>
        <v>https://opac.libnet.pref.okayama.jp/licsxp-opac/WOpacMsgNewListToTifTilDetailAction.do?tilcod=2002222301502</v>
      </c>
    </row>
    <row r="856" spans="1:9" x14ac:dyDescent="0.4">
      <c r="A856" t="str">
        <f>"岡山大学法文学部　学術紀要"</f>
        <v>岡山大学法文学部　学術紀要</v>
      </c>
      <c r="B856" s="1" t="str">
        <f t="shared" si="49"/>
        <v>岡山大学法文学部　学術紀要</v>
      </c>
      <c r="C856" t="str">
        <f>"オカヤマ　ダイガク　ホウブンガクブ　ガクジュツ　キヨウ"</f>
        <v>オカヤマ　ダイガク　ホウブンガクブ　ガクジュツ　キヨウ</v>
      </c>
      <c r="D856" t="str">
        <f>"岡山大学法文学部"</f>
        <v>岡山大学法文学部</v>
      </c>
      <c r="E856" t="str">
        <f>"オカヤマ ダイガク ホウブンガクブ"</f>
        <v>オカヤマ ダイガク ホウブンガクブ</v>
      </c>
      <c r="F856" t="str">
        <f>"岡山"</f>
        <v>岡山</v>
      </c>
      <c r="G856" t="str">
        <f>"年刊"</f>
        <v>年刊</v>
      </c>
      <c r="H856" t="str">
        <f>"2002222288503"</f>
        <v>2002222288503</v>
      </c>
      <c r="I856" t="str">
        <f>HYPERLINK("#", "https://opac.libnet.pref.okayama.jp/licsxp-opac/WOpacMsgNewListToTifTilDetailAction.do?tilcod=2002222288503")</f>
        <v>https://opac.libnet.pref.okayama.jp/licsxp-opac/WOpacMsgNewListToTifTilDetailAction.do?tilcod=2002222288503</v>
      </c>
    </row>
    <row r="857" spans="1:9" x14ac:dyDescent="0.4">
      <c r="A857" t="str">
        <f>"岡山大学埋蔵文化財調査研究センター報"</f>
        <v>岡山大学埋蔵文化財調査研究センター報</v>
      </c>
      <c r="B857" s="1" t="str">
        <f t="shared" si="49"/>
        <v>岡山大学埋蔵文化財調査研究センター報</v>
      </c>
      <c r="C857" t="str">
        <f>"オカヤマ　ダイガク　マイゾウ　ブンカザイ　チョウサ　ケンキュウ　センター　ホウ"</f>
        <v>オカヤマ　ダイガク　マイゾウ　ブンカザイ　チョウサ　ケンキュウ　センター　ホウ</v>
      </c>
      <c r="D857" t="str">
        <f>"岡山大学埋蔵文化財調査研究センター"</f>
        <v>岡山大学埋蔵文化財調査研究センター</v>
      </c>
      <c r="E857" t="str">
        <f>"オカヤマダイガクマイゾウブンカザイチョウサケンキュウセンター"</f>
        <v>オカヤマダイガクマイゾウブンカザイチョウサケンキュウセンター</v>
      </c>
      <c r="F857" t="str">
        <f>"岡山"</f>
        <v>岡山</v>
      </c>
      <c r="G857" t="str">
        <f>"年２回刊"</f>
        <v>年２回刊</v>
      </c>
      <c r="H857" t="str">
        <f>"2002222292151"</f>
        <v>2002222292151</v>
      </c>
      <c r="I857" t="str">
        <f>HYPERLINK("#", "https://opac.libnet.pref.okayama.jp/licsxp-opac/WOpacMsgNewListToTifTilDetailAction.do?tilcod=2002222292151")</f>
        <v>https://opac.libnet.pref.okayama.jp/licsxp-opac/WOpacMsgNewListToTifTilDetailAction.do?tilcod=2002222292151</v>
      </c>
    </row>
    <row r="858" spans="1:9" x14ac:dyDescent="0.4">
      <c r="A858" t="str">
        <f>"岡山大学埋蔵文化財調査研究センター紀要"</f>
        <v>岡山大学埋蔵文化財調査研究センター紀要</v>
      </c>
      <c r="B858" s="1" t="str">
        <f t="shared" si="49"/>
        <v>岡山大学埋蔵文化財調査研究センター紀要</v>
      </c>
      <c r="C858" t="str">
        <f>"オカヤマ　ダイガク　マイゾウ　ブンカザイ　チョウサ　ケンキュウ　センター＊キヨウ"</f>
        <v>オカヤマ　ダイガク　マイゾウ　ブンカザイ　チョウサ　ケンキュウ　センター＊キヨウ</v>
      </c>
      <c r="D858" t="str">
        <f>"岡山大学埋蔵文化財調査研究センター"</f>
        <v>岡山大学埋蔵文化財調査研究センター</v>
      </c>
      <c r="E858" t="str">
        <f>"オカヤマダイガクマイゾウブンカザイチョウサケンキュウセンター"</f>
        <v>オカヤマダイガクマイゾウブンカザイチョウサケンキュウセンター</v>
      </c>
      <c r="F858" t="str">
        <f>"岡山"</f>
        <v>岡山</v>
      </c>
      <c r="G858" t="str">
        <f>"頻度不明"</f>
        <v>頻度不明</v>
      </c>
      <c r="H858" t="str">
        <f>"2002222281294"</f>
        <v>2002222281294</v>
      </c>
      <c r="I858" t="str">
        <f>HYPERLINK("#", "https://opac.libnet.pref.okayama.jp/licsxp-opac/WOpacMsgNewListToTifTilDetailAction.do?tilcod=2002222281294")</f>
        <v>https://opac.libnet.pref.okayama.jp/licsxp-opac/WOpacMsgNewListToTifTilDetailAction.do?tilcod=2002222281294</v>
      </c>
    </row>
    <row r="859" spans="1:9" x14ac:dyDescent="0.4">
      <c r="A859" t="str">
        <f>"岡山大学養護教諭養成所紀要"</f>
        <v>岡山大学養護教諭養成所紀要</v>
      </c>
      <c r="B859" s="1" t="str">
        <f t="shared" si="49"/>
        <v>岡山大学養護教諭養成所紀要</v>
      </c>
      <c r="C859" t="str">
        <f>"オカヤマ　ダイガク　ヨウゴ　キョウユ　ヨウセイジョ　キヨウ"</f>
        <v>オカヤマ　ダイガク　ヨウゴ　キョウユ　ヨウセイジョ　キヨウ</v>
      </c>
      <c r="D859" t="str">
        <f>"岡山大学養護教諭養成所"</f>
        <v>岡山大学養護教諭養成所</v>
      </c>
      <c r="E859" t="str">
        <f>"オカヤマダイガクヨウゴキョウユヨウセイジョ"</f>
        <v>オカヤマダイガクヨウゴキョウユヨウセイジョ</v>
      </c>
      <c r="F859" t="str">
        <f>""</f>
        <v/>
      </c>
      <c r="G859" t="str">
        <f>"年刊"</f>
        <v>年刊</v>
      </c>
      <c r="H859" t="str">
        <f>"2002222288563"</f>
        <v>2002222288563</v>
      </c>
      <c r="I859" t="str">
        <f>HYPERLINK("#", "https://opac.libnet.pref.okayama.jp/licsxp-opac/WOpacMsgNewListToTifTilDetailAction.do?tilcod=2002222288563")</f>
        <v>https://opac.libnet.pref.okayama.jp/licsxp-opac/WOpacMsgNewListToTifTilDetailAction.do?tilcod=2002222288563</v>
      </c>
    </row>
    <row r="860" spans="1:9" x14ac:dyDescent="0.4">
      <c r="A860" t="str">
        <f>"岡山大学理学部界面科学研究室報告"</f>
        <v>岡山大学理学部界面科学研究室報告</v>
      </c>
      <c r="B860" s="1" t="str">
        <f t="shared" si="49"/>
        <v>岡山大学理学部界面科学研究室報告</v>
      </c>
      <c r="C860" t="str">
        <f>"オカヤマ　ダイガク　リガクブ　カイメン　カガク　ケンキュウシツ　ホウコク"</f>
        <v>オカヤマ　ダイガク　リガクブ　カイメン　カガク　ケンキュウシツ　ホウコク</v>
      </c>
      <c r="D860" t="str">
        <f>"岡山大学理学附属界面科学研究室"</f>
        <v>岡山大学理学附属界面科学研究室</v>
      </c>
      <c r="E860" t="str">
        <f>"オカヤマダイガクリガクフゾクカイメンカガクケンキュウシツ"</f>
        <v>オカヤマダイガクリガクフゾクカイメンカガクケンキュウシツ</v>
      </c>
      <c r="F860" t="str">
        <f t="shared" ref="F860:F868" si="51">"岡山"</f>
        <v>岡山</v>
      </c>
      <c r="G860" t="str">
        <f>"頻度不明"</f>
        <v>頻度不明</v>
      </c>
      <c r="H860" t="str">
        <f>"2002222288523"</f>
        <v>2002222288523</v>
      </c>
      <c r="I860" t="str">
        <f>HYPERLINK("#", "https://opac.libnet.pref.okayama.jp/licsxp-opac/WOpacMsgNewListToTifTilDetailAction.do?tilcod=2002222288523")</f>
        <v>https://opac.libnet.pref.okayama.jp/licsxp-opac/WOpacMsgNewListToTifTilDetailAction.do?tilcod=2002222288523</v>
      </c>
    </row>
    <row r="861" spans="1:9" x14ac:dyDescent="0.4">
      <c r="A861" t="str">
        <f>"〔岡山大学理学部生物学教室〕ＢＩＯＬＯＧＩＣＡＬ　ＪＯＵＲＮＡＬ"</f>
        <v>〔岡山大学理学部生物学教室〕ＢＩＯＬＯＧＩＣＡＬ　ＪＯＵＲＮＡＬ</v>
      </c>
      <c r="B861" s="1" t="str">
        <f t="shared" si="49"/>
        <v>〔岡山大学理学部生物学教室〕ＢＩＯＬＯＧＩＣＡＬ　ＪＯＵＲＮＡＬ</v>
      </c>
      <c r="C861" t="str">
        <f>"オカヤマ　ダイガク　リガクブ　セイブツガク　キョウシツ＊バイオロジカル　ジャーナル"</f>
        <v>オカヤマ　ダイガク　リガクブ　セイブツガク　キョウシツ＊バイオロジカル　ジャーナル</v>
      </c>
      <c r="D861" t="str">
        <f>"岡山大学理学部"</f>
        <v>岡山大学理学部</v>
      </c>
      <c r="E861" t="str">
        <f>"オカヤマダイガクリガクブ"</f>
        <v>オカヤマダイガクリガクブ</v>
      </c>
      <c r="F861" t="str">
        <f t="shared" si="51"/>
        <v>岡山</v>
      </c>
      <c r="G861" t="str">
        <f>"年２回刊"</f>
        <v>年２回刊</v>
      </c>
      <c r="H861" t="str">
        <f>"2002222288533"</f>
        <v>2002222288533</v>
      </c>
      <c r="I861" t="str">
        <f>HYPERLINK("#", "https://opac.libnet.pref.okayama.jp/licsxp-opac/WOpacMsgNewListToTifTilDetailAction.do?tilcod=2002222288533")</f>
        <v>https://opac.libnet.pref.okayama.jp/licsxp-opac/WOpacMsgNewListToTifTilDetailAction.do?tilcod=2002222288533</v>
      </c>
    </row>
    <row r="862" spans="1:9" x14ac:dyDescent="0.4">
      <c r="A862" t="str">
        <f>"〔岡山大学理学部〕ＭＡＴＨＥＭＡＴＩＣＡＬ　ＪＯＵＲＮＡＬ　ＯＦ　ＯＫＡＹＡＭＡ　ＵＮＩＶＥＲＳＩＴＹ"</f>
        <v>〔岡山大学理学部〕ＭＡＴＨＥＭＡＴＩＣＡＬ　ＪＯＵＲＮＡＬ　ＯＦ　ＯＫＡＹＡＭＡ　ＵＮＩＶＥＲＳＩＴＹ</v>
      </c>
      <c r="B862" s="1" t="str">
        <f t="shared" si="49"/>
        <v>〔岡山大学理学部〕ＭＡＴＨＥＭＡＴＩＣＡＬ　ＪＯＵＲＮＡＬ　ＯＦ　ＯＫＡＹＡＭＡ　ＵＮＩＶＥＲＳＩＴＹ</v>
      </c>
      <c r="C862" t="str">
        <f>"オカヤマ　ダイガク　リガクブ＊ＭＡＴＨＥＭＡＴＩＣＡＬ　ＪＯＵＲＮＡＬ　ＯＦ　ＯＫＡＹＡＭＡ　ＵＮＩＶＥＲＳＩＴＹ"</f>
        <v>オカヤマ　ダイガク　リガクブ＊ＭＡＴＨＥＭＡＴＩＣＡＬ　ＪＯＵＲＮＡＬ　ＯＦ　ＯＫＡＹＡＭＡ　ＵＮＩＶＥＲＳＩＴＹ</v>
      </c>
      <c r="D862" t="str">
        <f>"岡山大学理学部数学教室"</f>
        <v>岡山大学理学部数学教室</v>
      </c>
      <c r="E862" t="str">
        <f>"オカヤマダイガクリガクブスウガクキョウシツ"</f>
        <v>オカヤマダイガクリガクブスウガクキョウシツ</v>
      </c>
      <c r="F862" t="str">
        <f t="shared" si="51"/>
        <v>岡山</v>
      </c>
      <c r="G862" t="str">
        <f>"年刊"</f>
        <v>年刊</v>
      </c>
      <c r="H862" t="str">
        <f>"2002222294341"</f>
        <v>2002222294341</v>
      </c>
      <c r="I862" t="str">
        <f>HYPERLINK("#", "https://opac.libnet.pref.okayama.jp/licsxp-opac/WOpacMsgNewListToTifTilDetailAction.do?tilcod=2002222294341")</f>
        <v>https://opac.libnet.pref.okayama.jp/licsxp-opac/WOpacMsgNewListToTifTilDetailAction.do?tilcod=2002222294341</v>
      </c>
    </row>
    <row r="863" spans="1:9" x14ac:dyDescent="0.4">
      <c r="A863" t="str">
        <f>"［岡山大学理数会会誌］SIGMA"</f>
        <v>［岡山大学理数会会誌］SIGMA</v>
      </c>
      <c r="B863" s="1" t="str">
        <f t="shared" si="49"/>
        <v>［岡山大学理数会会誌］SIGMA</v>
      </c>
      <c r="C863" t="str">
        <f>"オカヤマ ダイガク リスウカイ カイシ シグマ"</f>
        <v>オカヤマ ダイガク リスウカイ カイシ シグマ</v>
      </c>
      <c r="D863" t="str">
        <f>"岡山大学理数会"</f>
        <v>岡山大学理数会</v>
      </c>
      <c r="E863" t="str">
        <f>"オカヤマ ダイガク リスウカイ"</f>
        <v>オカヤマ ダイガク リスウカイ</v>
      </c>
      <c r="F863" t="str">
        <f t="shared" si="51"/>
        <v>岡山</v>
      </c>
      <c r="G863" t="str">
        <f>"頻度不明"</f>
        <v>頻度不明</v>
      </c>
      <c r="H863" t="str">
        <f>"2002222328431"</f>
        <v>2002222328431</v>
      </c>
      <c r="I863" t="str">
        <f>HYPERLINK("#", "https://opac.libnet.pref.okayama.jp/licsxp-opac/WOpacMsgNewListToTifTilDetailAction.do?tilcod=2002222328431")</f>
        <v>https://opac.libnet.pref.okayama.jp/licsxp-opac/WOpacMsgNewListToTifTilDetailAction.do?tilcod=2002222328431</v>
      </c>
    </row>
    <row r="864" spans="1:9" x14ac:dyDescent="0.4">
      <c r="A864" t="str">
        <f>"〔岡山大学〕Ｌｕｍｉｎａ（ルミナ）"</f>
        <v>〔岡山大学〕Ｌｕｍｉｎａ（ルミナ）</v>
      </c>
      <c r="B864" s="1" t="str">
        <f t="shared" si="49"/>
        <v>〔岡山大学〕Ｌｕｍｉｎａ（ルミナ）</v>
      </c>
      <c r="C864" t="str">
        <f>"オカヤマ　ダイガク＊ルミナ"</f>
        <v>オカヤマ　ダイガク＊ルミナ</v>
      </c>
      <c r="D864" t="str">
        <f>"岡山大学英文科研究室"</f>
        <v>岡山大学英文科研究室</v>
      </c>
      <c r="E864" t="str">
        <f>"オカヤマダイガクエイブンカケンキュウシツ"</f>
        <v>オカヤマダイガクエイブンカケンキュウシツ</v>
      </c>
      <c r="F864" t="str">
        <f t="shared" si="51"/>
        <v>岡山</v>
      </c>
      <c r="G864" t="str">
        <f>"頻度不明"</f>
        <v>頻度不明</v>
      </c>
      <c r="H864" t="str">
        <f>"2002222288531"</f>
        <v>2002222288531</v>
      </c>
      <c r="I864" t="str">
        <f>HYPERLINK("#", "https://opac.libnet.pref.okayama.jp/licsxp-opac/WOpacMsgNewListToTifTilDetailAction.do?tilcod=2002222288531")</f>
        <v>https://opac.libnet.pref.okayama.jp/licsxp-opac/WOpacMsgNewListToTifTilDetailAction.do?tilcod=2002222288531</v>
      </c>
    </row>
    <row r="865" spans="1:9" x14ac:dyDescent="0.4">
      <c r="A865" t="str">
        <f>"〔岡山大学〕わかだち"</f>
        <v>〔岡山大学〕わかだち</v>
      </c>
      <c r="B865" s="1" t="str">
        <f t="shared" si="49"/>
        <v>〔岡山大学〕わかだち</v>
      </c>
      <c r="C865" t="str">
        <f>"オカヤマ　ダイガク＊ワカダチ"</f>
        <v>オカヤマ　ダイガク＊ワカダチ</v>
      </c>
      <c r="D865" t="str">
        <f>"岡山大学国語国文学研究室"</f>
        <v>岡山大学国語国文学研究室</v>
      </c>
      <c r="E865" t="str">
        <f>"オカヤマダイガクコクゴコクブンガクケンキュウシツ"</f>
        <v>オカヤマダイガクコクゴコクブンガクケンキュウシツ</v>
      </c>
      <c r="F865" t="str">
        <f t="shared" si="51"/>
        <v>岡山</v>
      </c>
      <c r="G865" t="str">
        <f>"頻度不明"</f>
        <v>頻度不明</v>
      </c>
      <c r="H865" t="str">
        <f>"2002222288541"</f>
        <v>2002222288541</v>
      </c>
      <c r="I865" t="str">
        <f>HYPERLINK("#", "https://opac.libnet.pref.okayama.jp/licsxp-opac/WOpacMsgNewListToTifTilDetailAction.do?tilcod=2002222288541")</f>
        <v>https://opac.libnet.pref.okayama.jp/licsxp-opac/WOpacMsgNewListToTifTilDetailAction.do?tilcod=2002222288541</v>
      </c>
    </row>
    <row r="866" spans="1:9" x14ac:dyDescent="0.4">
      <c r="A866" t="str">
        <f>"岡山大衆新聞"</f>
        <v>岡山大衆新聞</v>
      </c>
      <c r="B866" s="1" t="str">
        <f t="shared" si="49"/>
        <v>岡山大衆新聞</v>
      </c>
      <c r="C866" t="str">
        <f>"オカヤマ　タイシュウ　シンブン"</f>
        <v>オカヤマ　タイシュウ　シンブン</v>
      </c>
      <c r="D866" t="str">
        <f>"岡山大衆新聞社"</f>
        <v>岡山大衆新聞社</v>
      </c>
      <c r="E866" t="str">
        <f>"オカヤマタイシュウシンブンシャ"</f>
        <v>オカヤマタイシュウシンブンシャ</v>
      </c>
      <c r="F866" t="str">
        <f t="shared" si="51"/>
        <v>岡山</v>
      </c>
      <c r="G866" t="str">
        <f>"旬刊"</f>
        <v>旬刊</v>
      </c>
      <c r="H866" t="str">
        <f>"2002222300835"</f>
        <v>2002222300835</v>
      </c>
      <c r="I866" t="str">
        <f>HYPERLINK("#", "https://opac.libnet.pref.okayama.jp/licsxp-opac/WOpacMsgNewListToTifTilDetailAction.do?tilcod=2002222300835")</f>
        <v>https://opac.libnet.pref.okayama.jp/licsxp-opac/WOpacMsgNewListToTifTilDetailAction.do?tilcod=2002222300835</v>
      </c>
    </row>
    <row r="867" spans="1:9" x14ac:dyDescent="0.4">
      <c r="A867" t="str">
        <f>"岡山タイムズ"</f>
        <v>岡山タイムズ</v>
      </c>
      <c r="B867" s="1" t="str">
        <f t="shared" si="49"/>
        <v>岡山タイムズ</v>
      </c>
      <c r="C867" t="str">
        <f>"オカヤマ　タイムズ"</f>
        <v>オカヤマ　タイムズ</v>
      </c>
      <c r="D867" t="str">
        <f>"岡山タイムズ社"</f>
        <v>岡山タイムズ社</v>
      </c>
      <c r="E867" t="str">
        <f>"オカヤマタイムズシャ"</f>
        <v>オカヤマタイムズシャ</v>
      </c>
      <c r="F867" t="str">
        <f t="shared" si="51"/>
        <v>岡山</v>
      </c>
      <c r="G867" t="str">
        <f>"週３回刊"</f>
        <v>週３回刊</v>
      </c>
      <c r="H867" t="str">
        <f>"2002222300836"</f>
        <v>2002222300836</v>
      </c>
      <c r="I867" t="str">
        <f>HYPERLINK("#", "https://opac.libnet.pref.okayama.jp/licsxp-opac/WOpacMsgNewListToTifTilDetailAction.do?tilcod=2002222300836")</f>
        <v>https://opac.libnet.pref.okayama.jp/licsxp-opac/WOpacMsgNewListToTifTilDetailAction.do?tilcod=2002222300836</v>
      </c>
    </row>
    <row r="868" spans="1:9" x14ac:dyDescent="0.4">
      <c r="A868" t="str">
        <f>"岡山タイムズ（内報・県内版）"</f>
        <v>岡山タイムズ（内報・県内版）</v>
      </c>
      <c r="B868" s="1" t="str">
        <f t="shared" si="49"/>
        <v>岡山タイムズ（内報・県内版）</v>
      </c>
      <c r="C868" t="str">
        <f>"オカヤマ　タイムズ　ナイホウ　ケンナイバン"</f>
        <v>オカヤマ　タイムズ　ナイホウ　ケンナイバン</v>
      </c>
      <c r="D868" t="str">
        <f>"岡山タイムズ社"</f>
        <v>岡山タイムズ社</v>
      </c>
      <c r="E868" t="str">
        <f>"オカヤマタイムズシャ"</f>
        <v>オカヤマタイムズシャ</v>
      </c>
      <c r="F868" t="str">
        <f t="shared" si="51"/>
        <v>岡山</v>
      </c>
      <c r="G868" t="str">
        <f>"不定期刊"</f>
        <v>不定期刊</v>
      </c>
      <c r="H868" t="str">
        <f>"2002222300837"</f>
        <v>2002222300837</v>
      </c>
      <c r="I868" t="str">
        <f>HYPERLINK("#", "https://opac.libnet.pref.okayama.jp/licsxp-opac/WOpacMsgNewListToTifTilDetailAction.do?tilcod=2002222300837")</f>
        <v>https://opac.libnet.pref.okayama.jp/licsxp-opac/WOpacMsgNewListToTifTilDetailAction.do?tilcod=2002222300837</v>
      </c>
    </row>
    <row r="869" spans="1:9" x14ac:dyDescent="0.4">
      <c r="A869" t="str">
        <f>"おかやま高梁川流域倉敷市大学連携講座"</f>
        <v>おかやま高梁川流域倉敷市大学連携講座</v>
      </c>
      <c r="B869" s="1" t="str">
        <f t="shared" si="49"/>
        <v>おかやま高梁川流域倉敷市大学連携講座</v>
      </c>
      <c r="C869" t="str">
        <f>"オカヤマ タカハシガワ リュウイキ クラシキシ ダイガク レンケイ コウザ"</f>
        <v>オカヤマ タカハシガワ リュウイキ クラシキシ ダイガク レンケイ コウザ</v>
      </c>
      <c r="D869" t="str">
        <f>"倉敷市"</f>
        <v>倉敷市</v>
      </c>
      <c r="E869" t="str">
        <f>"クラシキシ"</f>
        <v>クラシキシ</v>
      </c>
      <c r="F869" t="str">
        <f>"倉敷"</f>
        <v>倉敷</v>
      </c>
      <c r="G869" t="str">
        <f>"隔月刊"</f>
        <v>隔月刊</v>
      </c>
      <c r="H869" t="str">
        <f>"2002222331931"</f>
        <v>2002222331931</v>
      </c>
      <c r="I869" t="str">
        <f>HYPERLINK("#", "https://opac.libnet.pref.okayama.jp/licsxp-opac/WOpacMsgNewListToTifTilDetailAction.do?tilcod=2002222331931")</f>
        <v>https://opac.libnet.pref.okayama.jp/licsxp-opac/WOpacMsgNewListToTifTilDetailAction.do?tilcod=2002222331931</v>
      </c>
    </row>
    <row r="870" spans="1:9" x14ac:dyDescent="0.4">
      <c r="A870" t="str">
        <f>"岡山たばこ試験場報告"</f>
        <v>岡山たばこ試験場報告</v>
      </c>
      <c r="B870" s="1" t="str">
        <f t="shared" si="49"/>
        <v>岡山たばこ試験場報告</v>
      </c>
      <c r="C870" t="str">
        <f>"オカヤマ タバコ シケンジョウ ホウコク"</f>
        <v>オカヤマ タバコ シケンジョウ ホウコク</v>
      </c>
      <c r="D870" t="str">
        <f>"日本専売公社岡山たばこ試験場"</f>
        <v>日本専売公社岡山たばこ試験場</v>
      </c>
      <c r="E870" t="str">
        <f>"ニホン センバイ コウシャ オカヤマ タバコ シケンジョウ"</f>
        <v>ニホン センバイ コウシャ オカヤマ タバコ シケンジョウ</v>
      </c>
      <c r="F870" t="str">
        <f>"玉島"</f>
        <v>玉島</v>
      </c>
      <c r="G870" t="str">
        <f>"頻度不明"</f>
        <v>頻度不明</v>
      </c>
      <c r="H870" t="str">
        <f>"2002222325286"</f>
        <v>2002222325286</v>
      </c>
      <c r="I870" t="str">
        <f>HYPERLINK("#", "https://opac.libnet.pref.okayama.jp/licsxp-opac/WOpacMsgNewListToTifTilDetailAction.do?tilcod=2002222325286")</f>
        <v>https://opac.libnet.pref.okayama.jp/licsxp-opac/WOpacMsgNewListToTifTilDetailAction.do?tilcod=2002222325286</v>
      </c>
    </row>
    <row r="871" spans="1:9" x14ac:dyDescent="0.4">
      <c r="A871" t="str">
        <f>"〔岡山短期大学〕紀要"</f>
        <v>〔岡山短期大学〕紀要</v>
      </c>
      <c r="B871" s="1" t="str">
        <f t="shared" si="49"/>
        <v>〔岡山短期大学〕紀要</v>
      </c>
      <c r="C871" t="str">
        <f>"オカヤマ　タンキ　ダイガク＊キヨウ"</f>
        <v>オカヤマ　タンキ　ダイガク＊キヨウ</v>
      </c>
      <c r="D871" t="str">
        <f>"岡山短期大学"</f>
        <v>岡山短期大学</v>
      </c>
      <c r="E871" t="str">
        <f>"オカヤマ タンキ ダイガク"</f>
        <v>オカヤマ タンキ ダイガク</v>
      </c>
      <c r="F871" t="str">
        <f>"岡山"</f>
        <v>岡山</v>
      </c>
      <c r="G871" t="str">
        <f>"年刊"</f>
        <v>年刊</v>
      </c>
      <c r="H871" t="str">
        <f>"2002222289703"</f>
        <v>2002222289703</v>
      </c>
      <c r="I871" t="str">
        <f>HYPERLINK("#", "https://opac.libnet.pref.okayama.jp/licsxp-opac/WOpacMsgNewListToTifTilDetailAction.do?tilcod=2002222289703")</f>
        <v>https://opac.libnet.pref.okayama.jp/licsxp-opac/WOpacMsgNewListToTifTilDetailAction.do?tilcod=2002222289703</v>
      </c>
    </row>
    <row r="872" spans="1:9" x14ac:dyDescent="0.4">
      <c r="A872" t="str">
        <f>"おかやま地域づくり通信"</f>
        <v>おかやま地域づくり通信</v>
      </c>
      <c r="B872" s="1" t="str">
        <f t="shared" si="49"/>
        <v>おかやま地域づくり通信</v>
      </c>
      <c r="C872" t="str">
        <f>"オカヤマ チイキヅクリ ツウシン"</f>
        <v>オカヤマ チイキヅクリ ツウシン</v>
      </c>
      <c r="D872" t="str">
        <f>"ESD・市民協働推進センター"</f>
        <v>ESD・市民協働推進センター</v>
      </c>
      <c r="E872" t="str">
        <f>"イーエスディー シミン キョウドウ スイシン センター"</f>
        <v>イーエスディー シミン キョウドウ スイシン センター</v>
      </c>
      <c r="F872" t="str">
        <f>"岡山"</f>
        <v>岡山</v>
      </c>
      <c r="G872" t="str">
        <f>"頻度不明"</f>
        <v>頻度不明</v>
      </c>
      <c r="H872" t="str">
        <f>"2002222339272"</f>
        <v>2002222339272</v>
      </c>
      <c r="I872" t="str">
        <f>HYPERLINK("#", "https://opac.libnet.pref.okayama.jp/licsxp-opac/WOpacMsgNewListToTifTilDetailAction.do?tilcod=2002222339272")</f>
        <v>https://opac.libnet.pref.okayama.jp/licsxp-opac/WOpacMsgNewListToTifTilDetailAction.do?tilcod=2002222339272</v>
      </c>
    </row>
    <row r="873" spans="1:9" x14ac:dyDescent="0.4">
      <c r="A873" t="str">
        <f>"岡山畜産便り"</f>
        <v>岡山畜産便り</v>
      </c>
      <c r="B873" s="1" t="str">
        <f t="shared" si="49"/>
        <v>岡山畜産便り</v>
      </c>
      <c r="C873" t="str">
        <f>"オカヤマ　チクサン　ダヨリ"</f>
        <v>オカヤマ　チクサン　ダヨリ</v>
      </c>
      <c r="D873" t="str">
        <f>"岡山県畜産協会"</f>
        <v>岡山県畜産協会</v>
      </c>
      <c r="E873" t="str">
        <f>"オカヤマケン チクサン キョウカイ"</f>
        <v>オカヤマケン チクサン キョウカイ</v>
      </c>
      <c r="F873" t="str">
        <f>"岡山"</f>
        <v>岡山</v>
      </c>
      <c r="G873" t="str">
        <f>"隔月刊"</f>
        <v>隔月刊</v>
      </c>
      <c r="H873" t="str">
        <f>"2002222292171"</f>
        <v>2002222292171</v>
      </c>
      <c r="I873" t="str">
        <f>HYPERLINK("#", "https://opac.libnet.pref.okayama.jp/licsxp-opac/WOpacMsgNewListToTifTilDetailAction.do?tilcod=2002222292171")</f>
        <v>https://opac.libnet.pref.okayama.jp/licsxp-opac/WOpacMsgNewListToTifTilDetailAction.do?tilcod=2002222292171</v>
      </c>
    </row>
    <row r="874" spans="1:9" x14ac:dyDescent="0.4">
      <c r="A874" t="str">
        <f>"岡山地区労新聞"</f>
        <v>岡山地区労新聞</v>
      </c>
      <c r="B874" s="1" t="str">
        <f t="shared" si="49"/>
        <v>岡山地区労新聞</v>
      </c>
      <c r="C874" t="str">
        <f>"オカヤマ　チクロウ　シンブン"</f>
        <v>オカヤマ　チクロウ　シンブン</v>
      </c>
      <c r="D874" t="str">
        <f>"岡山地区労働組合協議会"</f>
        <v>岡山地区労働組合協議会</v>
      </c>
      <c r="E874" t="str">
        <f>"オカヤマチクロウドウクミアイキョウギカイ"</f>
        <v>オカヤマチクロウドウクミアイキョウギカイ</v>
      </c>
      <c r="F874" t="str">
        <f>"岡山"</f>
        <v>岡山</v>
      </c>
      <c r="G874" t="str">
        <f>"頻度不明"</f>
        <v>頻度不明</v>
      </c>
      <c r="H874" t="str">
        <f>"2002222300838"</f>
        <v>2002222300838</v>
      </c>
      <c r="I874" t="str">
        <f>HYPERLINK("#", "https://opac.libnet.pref.okayama.jp/licsxp-opac/WOpacMsgNewListToTifTilDetailAction.do?tilcod=2002222300838")</f>
        <v>https://opac.libnet.pref.okayama.jp/licsxp-opac/WOpacMsgNewListToTifTilDetailAction.do?tilcod=2002222300838</v>
      </c>
    </row>
    <row r="875" spans="1:9" x14ac:dyDescent="0.4">
      <c r="A875" t="str">
        <f>"岡山地方史研究"</f>
        <v>岡山地方史研究</v>
      </c>
      <c r="B875" s="1" t="str">
        <f t="shared" si="49"/>
        <v>岡山地方史研究</v>
      </c>
      <c r="C875" t="str">
        <f>"オカヤマ チホウシ ケンキュウ"</f>
        <v>オカヤマ チホウシ ケンキュウ</v>
      </c>
      <c r="D875" t="str">
        <f>"岡山地方史研究会"</f>
        <v>岡山地方史研究会</v>
      </c>
      <c r="E875" t="str">
        <f>"オカヤマ チホウシ ケンキュウカイ"</f>
        <v>オカヤマ チホウシ ケンキュウカイ</v>
      </c>
      <c r="F875" t="str">
        <f>"岡山"</f>
        <v>岡山</v>
      </c>
      <c r="G875" t="str">
        <f>"年３回刊"</f>
        <v>年３回刊</v>
      </c>
      <c r="H875" t="str">
        <f>"2002222291111"</f>
        <v>2002222291111</v>
      </c>
      <c r="I875" t="str">
        <f>HYPERLINK("#", "https://opac.libnet.pref.okayama.jp/licsxp-opac/WOpacMsgNewListToTifTilDetailAction.do?tilcod=2002222291111")</f>
        <v>https://opac.libnet.pref.okayama.jp/licsxp-opac/WOpacMsgNewListToTifTilDetailAction.do?tilcod=2002222291111</v>
      </c>
    </row>
    <row r="876" spans="1:9" x14ac:dyDescent="0.4">
      <c r="A876" t="str">
        <f>"岡山地方史研究会会報"</f>
        <v>岡山地方史研究会会報</v>
      </c>
      <c r="B876" s="1" t="str">
        <f t="shared" si="49"/>
        <v>岡山地方史研究会会報</v>
      </c>
      <c r="C876" t="str">
        <f>"オカヤマ　チホウシ　ケンキュウカイ　カイホウ"</f>
        <v>オカヤマ　チホウシ　ケンキュウカイ　カイホウ</v>
      </c>
      <c r="D876" t="str">
        <f>"岡山地方史研究会"</f>
        <v>岡山地方史研究会</v>
      </c>
      <c r="E876" t="str">
        <f>"オカヤマ チホウシ ケンキュウカイ"</f>
        <v>オカヤマ チホウシ ケンキュウカイ</v>
      </c>
      <c r="F876" t="str">
        <f>""</f>
        <v/>
      </c>
      <c r="G876" t="str">
        <f>"頻度不明"</f>
        <v>頻度不明</v>
      </c>
      <c r="H876" t="str">
        <f>"2002222288561"</f>
        <v>2002222288561</v>
      </c>
      <c r="I876" t="str">
        <f>HYPERLINK("#", "https://opac.libnet.pref.okayama.jp/licsxp-opac/WOpacMsgNewListToTifTilDetailAction.do?tilcod=2002222288561")</f>
        <v>https://opac.libnet.pref.okayama.jp/licsxp-opac/WOpacMsgNewListToTifTilDetailAction.do?tilcod=2002222288561</v>
      </c>
    </row>
    <row r="877" spans="1:9" x14ac:dyDescent="0.4">
      <c r="A877" t="str">
        <f>"岡山地名研通信"</f>
        <v>岡山地名研通信</v>
      </c>
      <c r="B877" s="1" t="str">
        <f t="shared" si="49"/>
        <v>岡山地名研通信</v>
      </c>
      <c r="C877" t="str">
        <f>"オカヤマ　チメイケン　ツウシン"</f>
        <v>オカヤマ　チメイケン　ツウシン</v>
      </c>
      <c r="D877" t="str">
        <f>"岡山地名研究会"</f>
        <v>岡山地名研究会</v>
      </c>
      <c r="E877" t="str">
        <f>"オカヤマチメイケンキュウカイ"</f>
        <v>オカヤマチメイケンキュウカイ</v>
      </c>
      <c r="F877" t="str">
        <f>"岡山"</f>
        <v>岡山</v>
      </c>
      <c r="G877" t="str">
        <f>"年刊"</f>
        <v>年刊</v>
      </c>
      <c r="H877" t="str">
        <f>"2002222282074"</f>
        <v>2002222282074</v>
      </c>
      <c r="I877" t="str">
        <f>HYPERLINK("#", "https://opac.libnet.pref.okayama.jp/licsxp-opac/WOpacMsgNewListToTifTilDetailAction.do?tilcod=2002222282074")</f>
        <v>https://opac.libnet.pref.okayama.jp/licsxp-opac/WOpacMsgNewListToTifTilDetailAction.do?tilcod=2002222282074</v>
      </c>
    </row>
    <row r="878" spans="1:9" x14ac:dyDescent="0.4">
      <c r="A878" t="str">
        <f>"〔岡山中学校・岡山高等学校〕らいぶらりい"</f>
        <v>〔岡山中学校・岡山高等学校〕らいぶらりい</v>
      </c>
      <c r="B878" s="1" t="str">
        <f t="shared" si="49"/>
        <v>〔岡山中学校・岡山高等学校〕らいぶらりい</v>
      </c>
      <c r="C878" t="str">
        <f>"オカヤマ　チュウ　ガッコウ　オカヤマ　コウトウ　ガッコウ＊ライブラリイ"</f>
        <v>オカヤマ　チュウ　ガッコウ　オカヤマ　コウトウ　ガッコウ＊ライブラリイ</v>
      </c>
      <c r="D878" t="str">
        <f>"岡山中学校・岡山高等学校図書委員会"</f>
        <v>岡山中学校・岡山高等学校図書委員会</v>
      </c>
      <c r="E878" t="str">
        <f>"オカヤマチュウガッコウオカヤマコウトウガッコウトショイインカイ"</f>
        <v>オカヤマチュウガッコウオカヤマコウトウガッコウトショイインカイ</v>
      </c>
      <c r="F878" t="str">
        <f>"岡山"</f>
        <v>岡山</v>
      </c>
      <c r="G878" t="str">
        <f>"頻度不明"</f>
        <v>頻度不明</v>
      </c>
      <c r="H878" t="str">
        <f>"2002222301952"</f>
        <v>2002222301952</v>
      </c>
      <c r="I878" t="str">
        <f>HYPERLINK("#", "https://opac.libnet.pref.okayama.jp/licsxp-opac/WOpacMsgNewListToTifTilDetailAction.do?tilcod=2002222301952")</f>
        <v>https://opac.libnet.pref.okayama.jp/licsxp-opac/WOpacMsgNewListToTifTilDetailAction.do?tilcod=2002222301952</v>
      </c>
    </row>
    <row r="879" spans="1:9" x14ac:dyDescent="0.4">
      <c r="A879" t="str">
        <f>"岡山中央ロータリークラブ・月報"</f>
        <v>岡山中央ロータリークラブ・月報</v>
      </c>
      <c r="B879" s="1" t="str">
        <f t="shared" si="49"/>
        <v>岡山中央ロータリークラブ・月報</v>
      </c>
      <c r="C879" t="str">
        <f>"オカヤマ　チュウオウ　ロータリー　クラブ　ゲッポウ"</f>
        <v>オカヤマ　チュウオウ　ロータリー　クラブ　ゲッポウ</v>
      </c>
      <c r="D879" t="str">
        <f>"岡山中央ロータリークラブ"</f>
        <v>岡山中央ロータリークラブ</v>
      </c>
      <c r="E879" t="str">
        <f>"オカヤマチュウオウロータリークラブ"</f>
        <v>オカヤマチュウオウロータリークラブ</v>
      </c>
      <c r="F879" t="str">
        <f>""</f>
        <v/>
      </c>
      <c r="G879" t="str">
        <f>"頻度不明"</f>
        <v>頻度不明</v>
      </c>
      <c r="H879" t="str">
        <f>"2002222288571"</f>
        <v>2002222288571</v>
      </c>
      <c r="I879" t="str">
        <f>HYPERLINK("#", "https://opac.libnet.pref.okayama.jp/licsxp-opac/WOpacMsgNewListToTifTilDetailAction.do?tilcod=2002222288571")</f>
        <v>https://opac.libnet.pref.okayama.jp/licsxp-opac/WOpacMsgNewListToTifTilDetailAction.do?tilcod=2002222288571</v>
      </c>
    </row>
    <row r="880" spans="1:9" x14ac:dyDescent="0.4">
      <c r="A880" t="str">
        <f>"[岡山中学校・岡山高等学校] 学校案内"</f>
        <v>[岡山中学校・岡山高等学校] 学校案内</v>
      </c>
      <c r="B880" s="1" t="str">
        <f t="shared" si="49"/>
        <v>[岡山中学校・岡山高等学校] 学校案内</v>
      </c>
      <c r="C880" t="str">
        <f>"オカヤマ　チュウガッコウ　オカヤマ　コウトウ　ガッコウ　ガッコウ　アンナイ"</f>
        <v>オカヤマ　チュウガッコウ　オカヤマ　コウトウ　ガッコウ　ガッコウ　アンナイ</v>
      </c>
      <c r="D880" t="str">
        <f>"岡山中学校・岡山高等学校"</f>
        <v>岡山中学校・岡山高等学校</v>
      </c>
      <c r="E880" t="str">
        <f>"オカヤマチュウガッコウオカヤマコウトウガッコウ"</f>
        <v>オカヤマチュウガッコウオカヤマコウトウガッコウ</v>
      </c>
      <c r="F880" t="str">
        <f t="shared" ref="F880:F889" si="52">"岡山"</f>
        <v>岡山</v>
      </c>
      <c r="G880" t="str">
        <f>"年刊"</f>
        <v>年刊</v>
      </c>
      <c r="H880" t="str">
        <f>"2002222301211"</f>
        <v>2002222301211</v>
      </c>
      <c r="I880" t="str">
        <f>HYPERLINK("#", "https://opac.libnet.pref.okayama.jp/licsxp-opac/WOpacMsgNewListToTifTilDetailAction.do?tilcod=2002222301211")</f>
        <v>https://opac.libnet.pref.okayama.jp/licsxp-opac/WOpacMsgNewListToTifTilDetailAction.do?tilcod=2002222301211</v>
      </c>
    </row>
    <row r="881" spans="1:9" x14ac:dyDescent="0.4">
      <c r="A881" t="str">
        <f>"[岡山中学校･岡山高等学校] 学校案内"</f>
        <v>[岡山中学校･岡山高等学校] 学校案内</v>
      </c>
      <c r="B881" s="1" t="str">
        <f t="shared" si="49"/>
        <v>[岡山中学校･岡山高等学校] 学校案内</v>
      </c>
      <c r="C881" t="str">
        <f>"オカヤマ チュウガッコウ オカヤマ コウトウ ガッコウ ガッコウ アンナイ"</f>
        <v>オカヤマ チュウガッコウ オカヤマ コウトウ ガッコウ ガッコウ アンナイ</v>
      </c>
      <c r="D881" t="str">
        <f>"岡山中学校・岡山高等学校"</f>
        <v>岡山中学校・岡山高等学校</v>
      </c>
      <c r="E881" t="str">
        <f>"オカヤマ チュウガッコウ オカヤマ コウトウ ガッコウ"</f>
        <v>オカヤマ チュウガッコウ オカヤマ コウトウ ガッコウ</v>
      </c>
      <c r="F881" t="str">
        <f t="shared" si="52"/>
        <v>岡山</v>
      </c>
      <c r="G881" t="str">
        <f>"年刊"</f>
        <v>年刊</v>
      </c>
      <c r="H881" t="str">
        <f>"2002222341272"</f>
        <v>2002222341272</v>
      </c>
      <c r="I881" t="str">
        <f>HYPERLINK("#", "https://opac.libnet.pref.okayama.jp/licsxp-opac/WOpacMsgNewListToTifTilDetailAction.do?tilcod=2002222341272")</f>
        <v>https://opac.libnet.pref.okayama.jp/licsxp-opac/WOpacMsgNewListToTifTilDetailAction.do?tilcod=2002222341272</v>
      </c>
    </row>
    <row r="882" spans="1:9" x14ac:dyDescent="0.4">
      <c r="A882" t="str">
        <f>"[岡山中学校・岡山高等学校] 学校要覧"</f>
        <v>[岡山中学校・岡山高等学校] 学校要覧</v>
      </c>
      <c r="B882" s="1" t="str">
        <f t="shared" si="49"/>
        <v>[岡山中学校・岡山高等学校] 学校要覧</v>
      </c>
      <c r="C882" t="str">
        <f>"オカヤマ　チュウガッコウ　オカヤマ　コウトウ　ガッコウ　ガッコウ　ヨウラン"</f>
        <v>オカヤマ　チュウガッコウ　オカヤマ　コウトウ　ガッコウ　ガッコウ　ヨウラン</v>
      </c>
      <c r="D882" t="str">
        <f>"岡山中学校・岡山高等学校"</f>
        <v>岡山中学校・岡山高等学校</v>
      </c>
      <c r="E882" t="str">
        <f>"オカヤマチュウガッコウオカヤマコウトウガッコウ"</f>
        <v>オカヤマチュウガッコウオカヤマコウトウガッコウ</v>
      </c>
      <c r="F882" t="str">
        <f t="shared" si="52"/>
        <v>岡山</v>
      </c>
      <c r="G882" t="str">
        <f>"年刊"</f>
        <v>年刊</v>
      </c>
      <c r="H882" t="str">
        <f>"2002222300570"</f>
        <v>2002222300570</v>
      </c>
      <c r="I882" t="str">
        <f>HYPERLINK("#", "https://opac.libnet.pref.okayama.jp/licsxp-opac/WOpacMsgNewListToTifTilDetailAction.do?tilcod=2002222300570")</f>
        <v>https://opac.libnet.pref.okayama.jp/licsxp-opac/WOpacMsgNewListToTifTilDetailAction.do?tilcod=2002222300570</v>
      </c>
    </row>
    <row r="883" spans="1:9" x14ac:dyDescent="0.4">
      <c r="A883" t="str">
        <f>"〔岡山中学校・岡山高等学校〕育友会Ｍｏｍｏｙａｍａｄａｉ（桃山台）"</f>
        <v>〔岡山中学校・岡山高等学校〕育友会Ｍｏｍｏｙａｍａｄａｉ（桃山台）</v>
      </c>
      <c r="B883" s="1" t="str">
        <f t="shared" si="49"/>
        <v>〔岡山中学校・岡山高等学校〕育友会Ｍｏｍｏｙａｍａｄａｉ（桃山台）</v>
      </c>
      <c r="C883" t="str">
        <f>"オカヤマ　チュウガッコウ　オカヤマ　コウトウ　ガッコウ＊イクユウカイ　モモヤマダイ"</f>
        <v>オカヤマ　チュウガッコウ　オカヤマ　コウトウ　ガッコウ＊イクユウカイ　モモヤマダイ</v>
      </c>
      <c r="D883" t="str">
        <f>"岡山中学校・岡山高等学校育友会"</f>
        <v>岡山中学校・岡山高等学校育友会</v>
      </c>
      <c r="E883" t="str">
        <f>"オカヤマチュウガッコウ　オカヤマコウトウガッコウ　イクユウカイ"</f>
        <v>オカヤマチュウガッコウ　オカヤマコウトウガッコウ　イクユウカイ</v>
      </c>
      <c r="F883" t="str">
        <f t="shared" si="52"/>
        <v>岡山</v>
      </c>
      <c r="G883" t="str">
        <f>"頻度不明"</f>
        <v>頻度不明</v>
      </c>
      <c r="H883" t="str">
        <f>"2002222329986"</f>
        <v>2002222329986</v>
      </c>
      <c r="I883" t="str">
        <f>HYPERLINK("#", "https://opac.libnet.pref.okayama.jp/licsxp-opac/WOpacMsgNewListToTifTilDetailAction.do?tilcod=2002222329986")</f>
        <v>https://opac.libnet.pref.okayama.jp/licsxp-opac/WOpacMsgNewListToTifTilDetailAction.do?tilcod=2002222329986</v>
      </c>
    </row>
    <row r="884" spans="1:9" x14ac:dyDescent="0.4">
      <c r="A884" t="str">
        <f>"〔岡山中学校・岡山高等学校〕みしま"</f>
        <v>〔岡山中学校・岡山高等学校〕みしま</v>
      </c>
      <c r="B884" s="1" t="str">
        <f t="shared" si="49"/>
        <v>〔岡山中学校・岡山高等学校〕みしま</v>
      </c>
      <c r="C884" t="str">
        <f>"オカヤマ　チュウガッコウ　オカヤマ　コウトウ　ガッコウ＊ミシマ"</f>
        <v>オカヤマ　チュウガッコウ　オカヤマ　コウトウ　ガッコウ＊ミシマ</v>
      </c>
      <c r="D884" t="str">
        <f>"岡山中学校・岡山高等学校"</f>
        <v>岡山中学校・岡山高等学校</v>
      </c>
      <c r="E884" t="str">
        <f>"オカヤマチュウガッコウオカヤマコウトウガッコウ"</f>
        <v>オカヤマチュウガッコウオカヤマコウトウガッコウ</v>
      </c>
      <c r="F884" t="str">
        <f t="shared" si="52"/>
        <v>岡山</v>
      </c>
      <c r="G884" t="str">
        <f>"年刊"</f>
        <v>年刊</v>
      </c>
      <c r="H884" t="str">
        <f>"2002222301777"</f>
        <v>2002222301777</v>
      </c>
      <c r="I884" t="str">
        <f>HYPERLINK("#", "https://opac.libnet.pref.okayama.jp/licsxp-opac/WOpacMsgNewListToTifTilDetailAction.do?tilcod=2002222301777")</f>
        <v>https://opac.libnet.pref.okayama.jp/licsxp-opac/WOpacMsgNewListToTifTilDetailAction.do?tilcod=2002222301777</v>
      </c>
    </row>
    <row r="885" spans="1:9" x14ac:dyDescent="0.4">
      <c r="A885" t="str">
        <f>"[岡山中学校] 学校案内"</f>
        <v>[岡山中学校] 学校案内</v>
      </c>
      <c r="B885" s="1" t="str">
        <f t="shared" si="49"/>
        <v>[岡山中学校] 学校案内</v>
      </c>
      <c r="C885" t="str">
        <f>"オカヤマ チュウガッコウ ガッコウ アンナイ"</f>
        <v>オカヤマ チュウガッコウ ガッコウ アンナイ</v>
      </c>
      <c r="D885" t="str">
        <f>"岡山中学校"</f>
        <v>岡山中学校</v>
      </c>
      <c r="E885" t="str">
        <f>"オカヤマチュウガッコウ"</f>
        <v>オカヤマチュウガッコウ</v>
      </c>
      <c r="F885" t="str">
        <f t="shared" si="52"/>
        <v>岡山</v>
      </c>
      <c r="G885" t="str">
        <f>"年刊"</f>
        <v>年刊</v>
      </c>
      <c r="H885" t="str">
        <f>"2002222334068"</f>
        <v>2002222334068</v>
      </c>
      <c r="I885" t="str">
        <f>HYPERLINK("#", "https://opac.libnet.pref.okayama.jp/licsxp-opac/WOpacMsgNewListToTifTilDetailAction.do?tilcod=2002222334068")</f>
        <v>https://opac.libnet.pref.okayama.jp/licsxp-opac/WOpacMsgNewListToTifTilDetailAction.do?tilcod=2002222334068</v>
      </c>
    </row>
    <row r="886" spans="1:9" x14ac:dyDescent="0.4">
      <c r="A886" t="str">
        <f>"〔岡山中学校〕教科別授業計画"</f>
        <v>〔岡山中学校〕教科別授業計画</v>
      </c>
      <c r="B886" s="1" t="str">
        <f t="shared" si="49"/>
        <v>〔岡山中学校〕教科別授業計画</v>
      </c>
      <c r="C886" t="str">
        <f>"オカヤマ　チュウガッコウ＊キョウカベツ　ジュギョウ　ケイカク"</f>
        <v>オカヤマ　チュウガッコウ＊キョウカベツ　ジュギョウ　ケイカク</v>
      </c>
      <c r="D886" t="str">
        <f>"岡山中学校"</f>
        <v>岡山中学校</v>
      </c>
      <c r="E886" t="str">
        <f>"オカヤマチュウガッコウ"</f>
        <v>オカヤマチュウガッコウ</v>
      </c>
      <c r="F886" t="str">
        <f t="shared" si="52"/>
        <v>岡山</v>
      </c>
      <c r="G886" t="str">
        <f>"年刊"</f>
        <v>年刊</v>
      </c>
      <c r="H886" t="str">
        <f>"2002222301155"</f>
        <v>2002222301155</v>
      </c>
      <c r="I886" t="str">
        <f>HYPERLINK("#", "https://opac.libnet.pref.okayama.jp/licsxp-opac/WOpacMsgNewListToTifTilDetailAction.do?tilcod=2002222301155")</f>
        <v>https://opac.libnet.pref.okayama.jp/licsxp-opac/WOpacMsgNewListToTifTilDetailAction.do?tilcod=2002222301155</v>
      </c>
    </row>
    <row r="887" spans="1:9" x14ac:dyDescent="0.4">
      <c r="A887" t="str">
        <f>"おかやま中小企業情報"</f>
        <v>おかやま中小企業情報</v>
      </c>
      <c r="B887" s="1" t="str">
        <f t="shared" si="49"/>
        <v>おかやま中小企業情報</v>
      </c>
      <c r="C887" t="str">
        <f>"オカヤマ　チュウショウ　キギョウ　ジョウホウ"</f>
        <v>オカヤマ　チュウショウ　キギョウ　ジョウホウ</v>
      </c>
      <c r="D887" t="str">
        <f>"岡山県商工部"</f>
        <v>岡山県商工部</v>
      </c>
      <c r="E887" t="str">
        <f>"オカヤマケン ショウコウブ"</f>
        <v>オカヤマケン ショウコウブ</v>
      </c>
      <c r="F887" t="str">
        <f t="shared" si="52"/>
        <v>岡山</v>
      </c>
      <c r="G887" t="str">
        <f>"頻度不明"</f>
        <v>頻度不明</v>
      </c>
      <c r="H887" t="str">
        <f>"2002222288581"</f>
        <v>2002222288581</v>
      </c>
      <c r="I887" t="str">
        <f>HYPERLINK("#", "https://opac.libnet.pref.okayama.jp/licsxp-opac/WOpacMsgNewListToTifTilDetailAction.do?tilcod=2002222288581")</f>
        <v>https://opac.libnet.pref.okayama.jp/licsxp-opac/WOpacMsgNewListToTifTilDetailAction.do?tilcod=2002222288581</v>
      </c>
    </row>
    <row r="888" spans="1:9" x14ac:dyDescent="0.4">
      <c r="A888" t="str">
        <f>"おかやま中小企業情報"</f>
        <v>おかやま中小企業情報</v>
      </c>
      <c r="B888" s="1" t="str">
        <f t="shared" si="49"/>
        <v>おかやま中小企業情報</v>
      </c>
      <c r="C888" t="str">
        <f>"オカヤマ　チュウショウ　キギョウ　ジョウホウ"</f>
        <v>オカヤマ　チュウショウ　キギョウ　ジョウホウ</v>
      </c>
      <c r="D888" t="str">
        <f>"岡山県産業振興財団"</f>
        <v>岡山県産業振興財団</v>
      </c>
      <c r="E888" t="str">
        <f>"オカヤマケン サンギョウ シンコウ ザイダン"</f>
        <v>オカヤマケン サンギョウ シンコウ ザイダン</v>
      </c>
      <c r="F888" t="str">
        <f t="shared" si="52"/>
        <v>岡山</v>
      </c>
      <c r="G888" t="str">
        <f>"月刊"</f>
        <v>月刊</v>
      </c>
      <c r="H888" t="str">
        <f>"2002222291121"</f>
        <v>2002222291121</v>
      </c>
      <c r="I888" t="str">
        <f>HYPERLINK("#", "https://opac.libnet.pref.okayama.jp/licsxp-opac/WOpacMsgNewListToTifTilDetailAction.do?tilcod=2002222291121")</f>
        <v>https://opac.libnet.pref.okayama.jp/licsxp-opac/WOpacMsgNewListToTifTilDetailAction.do?tilcod=2002222291121</v>
      </c>
    </row>
    <row r="889" spans="1:9" x14ac:dyDescent="0.4">
      <c r="A889" t="str">
        <f>"岡山中販協新聞"</f>
        <v>岡山中販協新聞</v>
      </c>
      <c r="B889" s="1" t="str">
        <f t="shared" si="49"/>
        <v>岡山中販協新聞</v>
      </c>
      <c r="C889" t="str">
        <f>"オカヤマ　チュウハンキョウ　シンブン"</f>
        <v>オカヤマ　チュウハンキョウ　シンブン</v>
      </c>
      <c r="D889" t="str">
        <f>"岡山県中古自動車販売店協会"</f>
        <v>岡山県中古自動車販売店協会</v>
      </c>
      <c r="E889" t="str">
        <f>"オカヤマケンチュウコジドウシャハンバイテンキョウカイ"</f>
        <v>オカヤマケンチュウコジドウシャハンバイテンキョウカイ</v>
      </c>
      <c r="F889" t="str">
        <f t="shared" si="52"/>
        <v>岡山</v>
      </c>
      <c r="G889" t="str">
        <f>"頻度不明"</f>
        <v>頻度不明</v>
      </c>
      <c r="H889" t="str">
        <f>"2002222300839"</f>
        <v>2002222300839</v>
      </c>
      <c r="I889" t="str">
        <f>HYPERLINK("#", "https://opac.libnet.pref.okayama.jp/licsxp-opac/WOpacMsgNewListToTifTilDetailAction.do?tilcod=2002222300839")</f>
        <v>https://opac.libnet.pref.okayama.jp/licsxp-opac/WOpacMsgNewListToTifTilDetailAction.do?tilcod=2002222300839</v>
      </c>
    </row>
    <row r="890" spans="1:9" x14ac:dyDescent="0.4">
      <c r="A890" t="str">
        <f>"岡山地連広報"</f>
        <v>岡山地連広報</v>
      </c>
      <c r="B890" s="1" t="str">
        <f t="shared" si="49"/>
        <v>岡山地連広報</v>
      </c>
      <c r="C890" t="str">
        <f>"オカヤマ　チレン　コウホウ"</f>
        <v>オカヤマ　チレン　コウホウ</v>
      </c>
      <c r="D890" t="str">
        <f>"自衛隊岡山地方連絡部"</f>
        <v>自衛隊岡山地方連絡部</v>
      </c>
      <c r="E890" t="str">
        <f>"ジエイタイオカヤマチホウレンラクブ"</f>
        <v>ジエイタイオカヤマチホウレンラクブ</v>
      </c>
      <c r="F890" t="str">
        <f>""</f>
        <v/>
      </c>
      <c r="G890" t="str">
        <f>"頻度不明"</f>
        <v>頻度不明</v>
      </c>
      <c r="H890" t="str">
        <f>"2002222288591"</f>
        <v>2002222288591</v>
      </c>
      <c r="I890" t="str">
        <f>HYPERLINK("#", "https://opac.libnet.pref.okayama.jp/licsxp-opac/WOpacMsgNewListToTifTilDetailAction.do?tilcod=2002222288591")</f>
        <v>https://opac.libnet.pref.okayama.jp/licsxp-opac/WOpacMsgNewListToTifTilDetailAction.do?tilcod=2002222288591</v>
      </c>
    </row>
    <row r="891" spans="1:9" x14ac:dyDescent="0.4">
      <c r="A891" t="str">
        <f>"岡山通信"</f>
        <v>岡山通信</v>
      </c>
      <c r="B891" s="1" t="str">
        <f t="shared" si="49"/>
        <v>岡山通信</v>
      </c>
      <c r="C891" t="str">
        <f>"オカヤマ　ツウシン"</f>
        <v>オカヤマ　ツウシン</v>
      </c>
      <c r="D891" t="str">
        <f>"岡山通信社"</f>
        <v>岡山通信社</v>
      </c>
      <c r="E891" t="str">
        <f>"オカヤマツウシンシャ"</f>
        <v>オカヤマツウシンシャ</v>
      </c>
      <c r="F891" t="str">
        <f>"岡山"</f>
        <v>岡山</v>
      </c>
      <c r="G891" t="str">
        <f>"旬刊"</f>
        <v>旬刊</v>
      </c>
      <c r="H891" t="str">
        <f>"2002222300840"</f>
        <v>2002222300840</v>
      </c>
      <c r="I891" t="str">
        <f>HYPERLINK("#", "https://opac.libnet.pref.okayama.jp/licsxp-opac/WOpacMsgNewListToTifTilDetailAction.do?tilcod=2002222300840")</f>
        <v>https://opac.libnet.pref.okayama.jp/licsxp-opac/WOpacMsgNewListToTifTilDetailAction.do?tilcod=2002222300840</v>
      </c>
    </row>
    <row r="892" spans="1:9" x14ac:dyDescent="0.4">
      <c r="A892" t="str">
        <f>"おかやまＤＭネットジャーナル"</f>
        <v>おかやまＤＭネットジャーナル</v>
      </c>
      <c r="B892" s="1" t="str">
        <f t="shared" si="49"/>
        <v>おかやまＤＭネットジャーナル</v>
      </c>
      <c r="C892" t="str">
        <f>"オカヤマ ディー エム ネット ジャーナル"</f>
        <v>オカヤマ ディー エム ネット ジャーナル</v>
      </c>
      <c r="D892" t="str">
        <f>"おかやまDMネット"</f>
        <v>おかやまDMネット</v>
      </c>
      <c r="E892" t="str">
        <f>"オカヤマ ディーエム ネット"</f>
        <v>オカヤマ ディーエム ネット</v>
      </c>
      <c r="F892" t="str">
        <f>"岡山"</f>
        <v>岡山</v>
      </c>
      <c r="G892" t="str">
        <f>"不定期刊"</f>
        <v>不定期刊</v>
      </c>
      <c r="H892" t="str">
        <f>"2002222338270"</f>
        <v>2002222338270</v>
      </c>
      <c r="I892" t="str">
        <f>HYPERLINK("#", "https://opac.libnet.pref.okayama.jp/licsxp-opac/WOpacMsgNewListToTifTilDetailAction.do?tilcod=2002222338270")</f>
        <v>https://opac.libnet.pref.okayama.jp/licsxp-opac/WOpacMsgNewListToTifTilDetailAction.do?tilcod=2002222338270</v>
      </c>
    </row>
    <row r="893" spans="1:9" x14ac:dyDescent="0.4">
      <c r="A893" t="str">
        <f>"おかやまディスプレイ"</f>
        <v>おかやまディスプレイ</v>
      </c>
      <c r="B893" s="1" t="str">
        <f t="shared" si="49"/>
        <v>おかやまディスプレイ</v>
      </c>
      <c r="C893" t="str">
        <f>"オカヤマ　ディスプレイ"</f>
        <v>オカヤマ　ディスプレイ</v>
      </c>
      <c r="D893" t="str">
        <f>"おかやまディスプレイ協同組合"</f>
        <v>おかやまディスプレイ協同組合</v>
      </c>
      <c r="E893" t="str">
        <f>"オカヤマディスプレイキョウドウクミアイ"</f>
        <v>オカヤマディスプレイキョウドウクミアイ</v>
      </c>
      <c r="F893" t="str">
        <f>""</f>
        <v/>
      </c>
      <c r="G893" t="str">
        <f>"頻度不明"</f>
        <v>頻度不明</v>
      </c>
      <c r="H893" t="str">
        <f>"2002222288601"</f>
        <v>2002222288601</v>
      </c>
      <c r="I893" t="str">
        <f>HYPERLINK("#", "https://opac.libnet.pref.okayama.jp/licsxp-opac/WOpacMsgNewListToTifTilDetailAction.do?tilcod=2002222288601")</f>
        <v>https://opac.libnet.pref.okayama.jp/licsxp-opac/WOpacMsgNewListToTifTilDetailAction.do?tilcod=2002222288601</v>
      </c>
    </row>
    <row r="894" spans="1:9" x14ac:dyDescent="0.4">
      <c r="A894" t="str">
        <f>"岡山鉄道管理局報"</f>
        <v>岡山鉄道管理局報</v>
      </c>
      <c r="B894" s="1" t="str">
        <f t="shared" si="49"/>
        <v>岡山鉄道管理局報</v>
      </c>
      <c r="C894" t="str">
        <f>"オカヤマ テツドウ カンリキョク ホウ"</f>
        <v>オカヤマ テツドウ カンリキョク ホウ</v>
      </c>
      <c r="D894" t="str">
        <f>"岡山鉄道管理局"</f>
        <v>岡山鉄道管理局</v>
      </c>
      <c r="E894" t="str">
        <f>"オカヤマテツドウカンリキョク"</f>
        <v>オカヤマテツドウカンリキョク</v>
      </c>
      <c r="F894" t="str">
        <f>"〔岡山〕"</f>
        <v>〔岡山〕</v>
      </c>
      <c r="G894" t="str">
        <f>"頻度不明"</f>
        <v>頻度不明</v>
      </c>
      <c r="H894" t="str">
        <f>"2002222325706"</f>
        <v>2002222325706</v>
      </c>
      <c r="I894" t="str">
        <f>HYPERLINK("#", "https://opac.libnet.pref.okayama.jp/licsxp-opac/WOpacMsgNewListToTifTilDetailAction.do?tilcod=2002222325706")</f>
        <v>https://opac.libnet.pref.okayama.jp/licsxp-opac/WOpacMsgNewListToTifTilDetailAction.do?tilcod=2002222325706</v>
      </c>
    </row>
    <row r="895" spans="1:9" x14ac:dyDescent="0.4">
      <c r="A895" t="str">
        <f>"おかやま天文教室"</f>
        <v>おかやま天文教室</v>
      </c>
      <c r="B895" s="1" t="str">
        <f t="shared" si="49"/>
        <v>おかやま天文教室</v>
      </c>
      <c r="C895" t="str">
        <f>"オカヤマ　テンモン　キョウシツ"</f>
        <v>オカヤマ　テンモン　キョウシツ</v>
      </c>
      <c r="D895" t="str">
        <f>"岡山天文博物館設置委員会"</f>
        <v>岡山天文博物館設置委員会</v>
      </c>
      <c r="E895" t="str">
        <f>"オカヤマ テンモン ハクブツカン セッチ イインカイ"</f>
        <v>オカヤマ テンモン ハクブツカン セッチ イインカイ</v>
      </c>
      <c r="F895" t="str">
        <f>""</f>
        <v/>
      </c>
      <c r="G895" t="str">
        <f>"頻度不明"</f>
        <v>頻度不明</v>
      </c>
      <c r="H895" t="str">
        <f>"2002222288611"</f>
        <v>2002222288611</v>
      </c>
      <c r="I895" t="str">
        <f>HYPERLINK("#", "https://opac.libnet.pref.okayama.jp/licsxp-opac/WOpacMsgNewListToTifTilDetailAction.do?tilcod=2002222288611")</f>
        <v>https://opac.libnet.pref.okayama.jp/licsxp-opac/WOpacMsgNewListToTifTilDetailAction.do?tilcod=2002222288611</v>
      </c>
    </row>
    <row r="896" spans="1:9" x14ac:dyDescent="0.4">
      <c r="A896" t="str">
        <f>"〔岡山天文博物館〕プラネタリウム"</f>
        <v>〔岡山天文博物館〕プラネタリウム</v>
      </c>
      <c r="B896" s="1" t="str">
        <f t="shared" si="49"/>
        <v>〔岡山天文博物館〕プラネタリウム</v>
      </c>
      <c r="C896" t="str">
        <f>"オカヤマ　テンモン　ハクブツカン　プラネタリウム"</f>
        <v>オカヤマ　テンモン　ハクブツカン　プラネタリウム</v>
      </c>
      <c r="D896" t="str">
        <f>"岡山天文博物館"</f>
        <v>岡山天文博物館</v>
      </c>
      <c r="E896" t="str">
        <f>"オカヤマ テンモン ハクブツカン"</f>
        <v>オカヤマ テンモン ハクブツカン</v>
      </c>
      <c r="F896" t="str">
        <f>"浅口"</f>
        <v>浅口</v>
      </c>
      <c r="G896" t="str">
        <f>"季刊"</f>
        <v>季刊</v>
      </c>
      <c r="H896" t="str">
        <f>"2002222281291"</f>
        <v>2002222281291</v>
      </c>
      <c r="I896" t="str">
        <f>HYPERLINK("#", "https://opac.libnet.pref.okayama.jp/licsxp-opac/WOpacMsgNewListToTifTilDetailAction.do?tilcod=2002222281291")</f>
        <v>https://opac.libnet.pref.okayama.jp/licsxp-opac/WOpacMsgNewListToTifTilDetailAction.do?tilcod=2002222281291</v>
      </c>
    </row>
    <row r="897" spans="1:9" x14ac:dyDescent="0.4">
      <c r="A897" t="str">
        <f>"〔岡山天文博物館〕博物館通信"</f>
        <v>〔岡山天文博物館〕博物館通信</v>
      </c>
      <c r="B897" s="1" t="str">
        <f t="shared" si="49"/>
        <v>〔岡山天文博物館〕博物館通信</v>
      </c>
      <c r="C897" t="str">
        <f>"オカヤマ　テンモン　ハクブツカン＊ハクブツカン　ツウシン"</f>
        <v>オカヤマ　テンモン　ハクブツカン＊ハクブツカン　ツウシン</v>
      </c>
      <c r="D897" t="str">
        <f>"岡山天文博物館"</f>
        <v>岡山天文博物館</v>
      </c>
      <c r="E897" t="str">
        <f>"オカヤマ テンモン ハクブツカン"</f>
        <v>オカヤマ テンモン ハクブツカン</v>
      </c>
      <c r="F897" t="str">
        <f>"浅口"</f>
        <v>浅口</v>
      </c>
      <c r="G897" t="str">
        <f>"季刊"</f>
        <v>季刊</v>
      </c>
      <c r="H897" t="str">
        <f>"2002222285991"</f>
        <v>2002222285991</v>
      </c>
      <c r="I897" t="str">
        <f>HYPERLINK("#", "https://opac.libnet.pref.okayama.jp/licsxp-opac/WOpacMsgNewListToTifTilDetailAction.do?tilcod=2002222285991")</f>
        <v>https://opac.libnet.pref.okayama.jp/licsxp-opac/WOpacMsgNewListToTifTilDetailAction.do?tilcod=2002222285991</v>
      </c>
    </row>
    <row r="898" spans="1:9" x14ac:dyDescent="0.4">
      <c r="A898" t="str">
        <f>"岡山と中国"</f>
        <v>岡山と中国</v>
      </c>
      <c r="B898" s="1" t="str">
        <f t="shared" si="49"/>
        <v>岡山と中国</v>
      </c>
      <c r="C898" t="str">
        <f>"オカヤマ　ト　チュウゴク"</f>
        <v>オカヤマ　ト　チュウゴク</v>
      </c>
      <c r="D898" t="str">
        <f>"ＮＰＯ岡山市日本中国友好協会"</f>
        <v>ＮＰＯ岡山市日本中国友好協会</v>
      </c>
      <c r="E898" t="str">
        <f>"エヌピーオーオカヤマシニホンチュウゴクユウコウキョウカイ"</f>
        <v>エヌピーオーオカヤマシニホンチュウゴクユウコウキョウカイ</v>
      </c>
      <c r="F898" t="str">
        <f>"岡山"</f>
        <v>岡山</v>
      </c>
      <c r="G898" t="str">
        <f>"隔月刊"</f>
        <v>隔月刊</v>
      </c>
      <c r="H898" t="str">
        <f>"2002222300841"</f>
        <v>2002222300841</v>
      </c>
      <c r="I898" t="str">
        <f>HYPERLINK("#", "https://opac.libnet.pref.okayama.jp/licsxp-opac/WOpacMsgNewListToTifTilDetailAction.do?tilcod=2002222300841")</f>
        <v>https://opac.libnet.pref.okayama.jp/licsxp-opac/WOpacMsgNewListToTifTilDetailAction.do?tilcod=2002222300841</v>
      </c>
    </row>
    <row r="899" spans="1:9" x14ac:dyDescent="0.4">
      <c r="A899" t="str">
        <f>"おかやま同郷"</f>
        <v>おかやま同郷</v>
      </c>
      <c r="B899" s="1" t="str">
        <f t="shared" si="49"/>
        <v>おかやま同郷</v>
      </c>
      <c r="C899" t="str">
        <f>"オカヤマ　ドウキョウ"</f>
        <v>オカヤマ　ドウキョウ</v>
      </c>
      <c r="D899" t="str">
        <f>"おかやま同郷社"</f>
        <v>おかやま同郷社</v>
      </c>
      <c r="E899" t="str">
        <f>"オカヤマ ドウキョウシャ"</f>
        <v>オカヤマ ドウキョウシャ</v>
      </c>
      <c r="F899" t="str">
        <f>"備前"</f>
        <v>備前</v>
      </c>
      <c r="G899" t="str">
        <f>"月刊"</f>
        <v>月刊</v>
      </c>
      <c r="H899" t="str">
        <f>"2002222291131"</f>
        <v>2002222291131</v>
      </c>
      <c r="I899" t="str">
        <f>HYPERLINK("#", "https://opac.libnet.pref.okayama.jp/licsxp-opac/WOpacMsgNewListToTifTilDetailAction.do?tilcod=2002222291131")</f>
        <v>https://opac.libnet.pref.okayama.jp/licsxp-opac/WOpacMsgNewListToTifTilDetailAction.do?tilcod=2002222291131</v>
      </c>
    </row>
    <row r="900" spans="1:9" x14ac:dyDescent="0.4">
      <c r="A900" t="str">
        <f>"岡山読書サークル"</f>
        <v>岡山読書サークル</v>
      </c>
      <c r="B900" s="1" t="str">
        <f t="shared" ref="B900:B963" si="53">HYPERLINK("#", A900)</f>
        <v>岡山読書サークル</v>
      </c>
      <c r="C900" t="str">
        <f>"オカヤマ　ドクショ　サークル"</f>
        <v>オカヤマ　ドクショ　サークル</v>
      </c>
      <c r="D900" t="str">
        <f>"岡山県読書サークル連絡会"</f>
        <v>岡山県読書サークル連絡会</v>
      </c>
      <c r="E900" t="str">
        <f>"オカヤマケンドクショサークルレンラクカイ"</f>
        <v>オカヤマケンドクショサークルレンラクカイ</v>
      </c>
      <c r="F900" t="str">
        <f>""</f>
        <v/>
      </c>
      <c r="G900" t="str">
        <f>"頻度不明"</f>
        <v>頻度不明</v>
      </c>
      <c r="H900" t="str">
        <f>"2002222288621"</f>
        <v>2002222288621</v>
      </c>
      <c r="I900" t="str">
        <f>HYPERLINK("#", "https://opac.libnet.pref.okayama.jp/licsxp-opac/WOpacMsgNewListToTifTilDetailAction.do?tilcod=2002222288621")</f>
        <v>https://opac.libnet.pref.okayama.jp/licsxp-opac/WOpacMsgNewListToTifTilDetailAction.do?tilcod=2002222288621</v>
      </c>
    </row>
    <row r="901" spans="1:9" x14ac:dyDescent="0.4">
      <c r="A901" t="str">
        <f>"おかやまトラック輸送情報"</f>
        <v>おかやまトラック輸送情報</v>
      </c>
      <c r="B901" s="1" t="str">
        <f t="shared" si="53"/>
        <v>おかやまトラック輸送情報</v>
      </c>
      <c r="C901" t="str">
        <f>"オカヤマ トラック ユソウ ジョウホウ"</f>
        <v>オカヤマ トラック ユソウ ジョウホウ</v>
      </c>
      <c r="D901" t="str">
        <f>"岡山県トラック協会"</f>
        <v>岡山県トラック協会</v>
      </c>
      <c r="E901" t="str">
        <f>"オカヤマケン トラック キョウカイ"</f>
        <v>オカヤマケン トラック キョウカイ</v>
      </c>
      <c r="F901" t="str">
        <f t="shared" ref="F901:F909" si="54">"岡山"</f>
        <v>岡山</v>
      </c>
      <c r="G901" t="str">
        <f>"月刊"</f>
        <v>月刊</v>
      </c>
      <c r="H901" t="str">
        <f>"2002222339890"</f>
        <v>2002222339890</v>
      </c>
      <c r="I901" t="str">
        <f>HYPERLINK("#", "https://opac.libnet.pref.okayama.jp/licsxp-opac/WOpacMsgNewListToTifTilDetailAction.do?tilcod=2002222339890")</f>
        <v>https://opac.libnet.pref.okayama.jp/licsxp-opac/WOpacMsgNewListToTifTilDetailAction.do?tilcod=2002222339890</v>
      </c>
    </row>
    <row r="902" spans="1:9" x14ac:dyDescent="0.4">
      <c r="A902" t="str">
        <f>"おかやまナイトイリュージョン"</f>
        <v>おかやまナイトイリュージョン</v>
      </c>
      <c r="B902" s="1" t="str">
        <f t="shared" si="53"/>
        <v>おかやまナイトイリュージョン</v>
      </c>
      <c r="C902" t="str">
        <f>"オカヤマ　ナイト　イリュージョン"</f>
        <v>オカヤマ　ナイト　イリュージョン</v>
      </c>
      <c r="D902" t="str">
        <f>"ナイトイリュージョン編集室"</f>
        <v>ナイトイリュージョン編集室</v>
      </c>
      <c r="E902" t="str">
        <f>"ナイトイリュージュンヘンシュウシツ"</f>
        <v>ナイトイリュージュンヘンシュウシツ</v>
      </c>
      <c r="F902" t="str">
        <f t="shared" si="54"/>
        <v>岡山</v>
      </c>
      <c r="G902" t="str">
        <f>"頻度不明"</f>
        <v>頻度不明</v>
      </c>
      <c r="H902" t="str">
        <f>"2002222302406"</f>
        <v>2002222302406</v>
      </c>
      <c r="I902" t="str">
        <f>HYPERLINK("#", "https://opac.libnet.pref.okayama.jp/licsxp-opac/WOpacMsgNewListToTifTilDetailAction.do?tilcod=2002222302406")</f>
        <v>https://opac.libnet.pref.okayama.jp/licsxp-opac/WOpacMsgNewListToTifTilDetailAction.do?tilcod=2002222302406</v>
      </c>
    </row>
    <row r="903" spans="1:9" x14ac:dyDescent="0.4">
      <c r="A903" t="str">
        <f>"おかやまナイトガイド"</f>
        <v>おかやまナイトガイド</v>
      </c>
      <c r="B903" s="1" t="str">
        <f t="shared" si="53"/>
        <v>おかやまナイトガイド</v>
      </c>
      <c r="C903" t="str">
        <f>"オカヤマ　ナイト　ガイド"</f>
        <v>オカヤマ　ナイト　ガイド</v>
      </c>
      <c r="D903" t="str">
        <f>"アイアンドエフ"</f>
        <v>アイアンドエフ</v>
      </c>
      <c r="E903" t="str">
        <f>"アイアンドエフ"</f>
        <v>アイアンドエフ</v>
      </c>
      <c r="F903" t="str">
        <f t="shared" si="54"/>
        <v>岡山</v>
      </c>
      <c r="G903" t="str">
        <f>"頻度不明"</f>
        <v>頻度不明</v>
      </c>
      <c r="H903" t="str">
        <f>"2002222302405"</f>
        <v>2002222302405</v>
      </c>
      <c r="I903" t="str">
        <f>HYPERLINK("#", "https://opac.libnet.pref.okayama.jp/licsxp-opac/WOpacMsgNewListToTifTilDetailAction.do?tilcod=2002222302405")</f>
        <v>https://opac.libnet.pref.okayama.jp/licsxp-opac/WOpacMsgNewListToTifTilDetailAction.do?tilcod=2002222302405</v>
      </c>
    </row>
    <row r="904" spans="1:9" x14ac:dyDescent="0.4">
      <c r="A904" t="str">
        <f>"岡山難聴"</f>
        <v>岡山難聴</v>
      </c>
      <c r="B904" s="1" t="str">
        <f t="shared" si="53"/>
        <v>岡山難聴</v>
      </c>
      <c r="C904" t="str">
        <f>"オカヤマ　ナンチョウ"</f>
        <v>オカヤマ　ナンチョウ</v>
      </c>
      <c r="D904" t="str">
        <f>"岡山県難聴者協会"</f>
        <v>岡山県難聴者協会</v>
      </c>
      <c r="E904" t="str">
        <f>"オカヤマケン ナンチョウシャ キョウカイ"</f>
        <v>オカヤマケン ナンチョウシャ キョウカイ</v>
      </c>
      <c r="F904" t="str">
        <f t="shared" si="54"/>
        <v>岡山</v>
      </c>
      <c r="G904" t="str">
        <f>"月刊"</f>
        <v>月刊</v>
      </c>
      <c r="H904" t="str">
        <f>"2002222300776"</f>
        <v>2002222300776</v>
      </c>
      <c r="I904" t="str">
        <f>HYPERLINK("#", "https://opac.libnet.pref.okayama.jp/licsxp-opac/WOpacMsgNewListToTifTilDetailAction.do?tilcod=2002222300776")</f>
        <v>https://opac.libnet.pref.okayama.jp/licsxp-opac/WOpacMsgNewListToTifTilDetailAction.do?tilcod=2002222300776</v>
      </c>
    </row>
    <row r="905" spans="1:9" x14ac:dyDescent="0.4">
      <c r="A905" t="str">
        <f>"岡山西支援学校学校案内"</f>
        <v>岡山西支援学校学校案内</v>
      </c>
      <c r="B905" s="1" t="str">
        <f t="shared" si="53"/>
        <v>岡山西支援学校学校案内</v>
      </c>
      <c r="C905" t="str">
        <f>"オカヤマ　ニシ　シエン　ガッコウ　ガッコウ　アンナイ"</f>
        <v>オカヤマ　ニシ　シエン　ガッコウ　ガッコウ　アンナイ</v>
      </c>
      <c r="D905" t="str">
        <f>"岡山西支援学校"</f>
        <v>岡山西支援学校</v>
      </c>
      <c r="E905" t="str">
        <f>"オカヤマ ニシ シエン ガッコウ"</f>
        <v>オカヤマ ニシ シエン ガッコウ</v>
      </c>
      <c r="F905" t="str">
        <f t="shared" si="54"/>
        <v>岡山</v>
      </c>
      <c r="G905" t="str">
        <f>"年刊"</f>
        <v>年刊</v>
      </c>
      <c r="H905" t="str">
        <f>"2002222315606"</f>
        <v>2002222315606</v>
      </c>
      <c r="I905" t="str">
        <f>HYPERLINK("#", "https://opac.libnet.pref.okayama.jp/licsxp-opac/WOpacMsgNewListToTifTilDetailAction.do?tilcod=2002222315606")</f>
        <v>https://opac.libnet.pref.okayama.jp/licsxp-opac/WOpacMsgNewListToTifTilDetailAction.do?tilcod=2002222315606</v>
      </c>
    </row>
    <row r="906" spans="1:9" x14ac:dyDescent="0.4">
      <c r="A906" t="str">
        <f>"岡山西支援学校学校要覧"</f>
        <v>岡山西支援学校学校要覧</v>
      </c>
      <c r="B906" s="1" t="str">
        <f t="shared" si="53"/>
        <v>岡山西支援学校学校要覧</v>
      </c>
      <c r="C906" t="str">
        <f>"オカヤマ　ニシ　シエン　ガッコウ　ガッコウ　ヨウラン"</f>
        <v>オカヤマ　ニシ　シエン　ガッコウ　ガッコウ　ヨウラン</v>
      </c>
      <c r="D906" t="str">
        <f>"岡山西支援学校"</f>
        <v>岡山西支援学校</v>
      </c>
      <c r="E906" t="str">
        <f>"オカヤマ ニシ シエン ガッコウ"</f>
        <v>オカヤマ ニシ シエン ガッコウ</v>
      </c>
      <c r="F906" t="str">
        <f t="shared" si="54"/>
        <v>岡山</v>
      </c>
      <c r="G906" t="str">
        <f>"年刊"</f>
        <v>年刊</v>
      </c>
      <c r="H906" t="str">
        <f>"2002222302256"</f>
        <v>2002222302256</v>
      </c>
      <c r="I906" t="str">
        <f>HYPERLINK("#", "https://opac.libnet.pref.okayama.jp/licsxp-opac/WOpacMsgNewListToTifTilDetailAction.do?tilcod=2002222302256")</f>
        <v>https://opac.libnet.pref.okayama.jp/licsxp-opac/WOpacMsgNewListToTifTilDetailAction.do?tilcod=2002222302256</v>
      </c>
    </row>
    <row r="907" spans="1:9" x14ac:dyDescent="0.4">
      <c r="A907" t="str">
        <f>"岡山西養護学校学校案内"</f>
        <v>岡山西養護学校学校案内</v>
      </c>
      <c r="B907" s="1" t="str">
        <f t="shared" si="53"/>
        <v>岡山西養護学校学校案内</v>
      </c>
      <c r="C907" t="str">
        <f>"オカヤマ　ニシ　ヨウゴ　ガッコウ　ガッコウ　アンナイ"</f>
        <v>オカヤマ　ニシ　ヨウゴ　ガッコウ　ガッコウ　アンナイ</v>
      </c>
      <c r="D907" t="str">
        <f>"岡山西養護学校"</f>
        <v>岡山西養護学校</v>
      </c>
      <c r="E907" t="str">
        <f>"オカヤマニシヨウゴガッコウ"</f>
        <v>オカヤマニシヨウゴガッコウ</v>
      </c>
      <c r="F907" t="str">
        <f t="shared" si="54"/>
        <v>岡山</v>
      </c>
      <c r="G907" t="str">
        <f>"年刊"</f>
        <v>年刊</v>
      </c>
      <c r="H907" t="str">
        <f>"2002222301221"</f>
        <v>2002222301221</v>
      </c>
      <c r="I907" t="str">
        <f>HYPERLINK("#", "https://opac.libnet.pref.okayama.jp/licsxp-opac/WOpacMsgNewListToTifTilDetailAction.do?tilcod=2002222301221")</f>
        <v>https://opac.libnet.pref.okayama.jp/licsxp-opac/WOpacMsgNewListToTifTilDetailAction.do?tilcod=2002222301221</v>
      </c>
    </row>
    <row r="908" spans="1:9" x14ac:dyDescent="0.4">
      <c r="A908" t="str">
        <f>"岡山西養護学校学校要覧"</f>
        <v>岡山西養護学校学校要覧</v>
      </c>
      <c r="B908" s="1" t="str">
        <f t="shared" si="53"/>
        <v>岡山西養護学校学校要覧</v>
      </c>
      <c r="C908" t="str">
        <f>"オカヤマ　ニシ　ヨウゴ　ガッコウ　ガッコウ　ヨウラン"</f>
        <v>オカヤマ　ニシ　ヨウゴ　ガッコウ　ガッコウ　ヨウラン</v>
      </c>
      <c r="D908" t="str">
        <f>"岡山西養護学校"</f>
        <v>岡山西養護学校</v>
      </c>
      <c r="E908" t="str">
        <f>"オカヤマニシヨウゴガッコウ"</f>
        <v>オカヤマニシヨウゴガッコウ</v>
      </c>
      <c r="F908" t="str">
        <f t="shared" si="54"/>
        <v>岡山</v>
      </c>
      <c r="G908" t="str">
        <f>"年刊"</f>
        <v>年刊</v>
      </c>
      <c r="H908" t="str">
        <f>"2002222300597"</f>
        <v>2002222300597</v>
      </c>
      <c r="I908" t="str">
        <f>HYPERLINK("#", "https://opac.libnet.pref.okayama.jp/licsxp-opac/WOpacMsgNewListToTifTilDetailAction.do?tilcod=2002222300597")</f>
        <v>https://opac.libnet.pref.okayama.jp/licsxp-opac/WOpacMsgNewListToTifTilDetailAction.do?tilcod=2002222300597</v>
      </c>
    </row>
    <row r="909" spans="1:9" x14ac:dyDescent="0.4">
      <c r="A909" t="str">
        <f>"〔岡山西養護学校〕研究紀要"</f>
        <v>〔岡山西養護学校〕研究紀要</v>
      </c>
      <c r="B909" s="1" t="str">
        <f t="shared" si="53"/>
        <v>〔岡山西養護学校〕研究紀要</v>
      </c>
      <c r="C909" t="str">
        <f>"オカヤマ　ニシ　ヨウゴ　ガッコウ＊ケンキュウ　キヨウ"</f>
        <v>オカヤマ　ニシ　ヨウゴ　ガッコウ＊ケンキュウ　キヨウ</v>
      </c>
      <c r="D909" t="str">
        <f>"岡山西養護学校"</f>
        <v>岡山西養護学校</v>
      </c>
      <c r="E909" t="str">
        <f>"オカヤマニシヨウゴガッコウ"</f>
        <v>オカヤマニシヨウゴガッコウ</v>
      </c>
      <c r="F909" t="str">
        <f t="shared" si="54"/>
        <v>岡山</v>
      </c>
      <c r="G909" t="str">
        <f>"年刊"</f>
        <v>年刊</v>
      </c>
      <c r="H909" t="str">
        <f>"2002222302043"</f>
        <v>2002222302043</v>
      </c>
      <c r="I909" t="str">
        <f>HYPERLINK("#", "https://opac.libnet.pref.okayama.jp/licsxp-opac/WOpacMsgNewListToTifTilDetailAction.do?tilcod=2002222302043")</f>
        <v>https://opac.libnet.pref.okayama.jp/licsxp-opac/WOpacMsgNewListToTifTilDetailAction.do?tilcod=2002222302043</v>
      </c>
    </row>
    <row r="910" spans="1:9" x14ac:dyDescent="0.4">
      <c r="A910" t="str">
        <f>"岡山西ロータリークラブ会報"</f>
        <v>岡山西ロータリークラブ会報</v>
      </c>
      <c r="B910" s="1" t="str">
        <f t="shared" si="53"/>
        <v>岡山西ロータリークラブ会報</v>
      </c>
      <c r="C910" t="str">
        <f>"オカヤマ　ニシ　ロータリー　クラブ　カイホウ"</f>
        <v>オカヤマ　ニシ　ロータリー　クラブ　カイホウ</v>
      </c>
      <c r="D910" t="str">
        <f>"岡山西ロータリークラブ"</f>
        <v>岡山西ロータリークラブ</v>
      </c>
      <c r="E910" t="str">
        <f>"オカヤマ ニシ ロータリー クラブ"</f>
        <v>オカヤマ ニシ ロータリー クラブ</v>
      </c>
      <c r="F910" t="str">
        <f>""</f>
        <v/>
      </c>
      <c r="G910" t="str">
        <f>"頻度不明"</f>
        <v>頻度不明</v>
      </c>
      <c r="H910" t="str">
        <f>"2002222288631"</f>
        <v>2002222288631</v>
      </c>
      <c r="I910" t="str">
        <f>HYPERLINK("#", "https://opac.libnet.pref.okayama.jp/licsxp-opac/WOpacMsgNewListToTifTilDetailAction.do?tilcod=2002222288631")</f>
        <v>https://opac.libnet.pref.okayama.jp/licsxp-opac/WOpacMsgNewListToTifTilDetailAction.do?tilcod=2002222288631</v>
      </c>
    </row>
    <row r="911" spans="1:9" x14ac:dyDescent="0.4">
      <c r="A911" t="str">
        <f>"岡山２１世紀"</f>
        <v>岡山２１世紀</v>
      </c>
      <c r="B911" s="1" t="str">
        <f t="shared" si="53"/>
        <v>岡山２１世紀</v>
      </c>
      <c r="C911" t="str">
        <f>"オカヤマ　ニジュウイッセイキ　"</f>
        <v>オカヤマ　ニジュウイッセイキ　</v>
      </c>
      <c r="D911" t="str">
        <f>"岡山東法人会・岡山西法人会"</f>
        <v>岡山東法人会・岡山西法人会</v>
      </c>
      <c r="E911" t="str">
        <f>"オカヤマヒガシ　ホウジンカイ　オカヤマニシ　ホウジンカイ"</f>
        <v>オカヤマヒガシ　ホウジンカイ　オカヤマニシ　ホウジンカイ</v>
      </c>
      <c r="F911" t="str">
        <f t="shared" ref="F911:F916" si="55">"岡山"</f>
        <v>岡山</v>
      </c>
      <c r="G911" t="str">
        <f>"頻度不明"</f>
        <v>頻度不明</v>
      </c>
      <c r="H911" t="str">
        <f>"2002222311466"</f>
        <v>2002222311466</v>
      </c>
      <c r="I911" t="str">
        <f>HYPERLINK("#", "https://opac.libnet.pref.okayama.jp/licsxp-opac/WOpacMsgNewListToTifTilDetailAction.do?tilcod=2002222311466")</f>
        <v>https://opac.libnet.pref.okayama.jp/licsxp-opac/WOpacMsgNewListToTifTilDetailAction.do?tilcod=2002222311466</v>
      </c>
    </row>
    <row r="912" spans="1:9" x14ac:dyDescent="0.4">
      <c r="A912" t="str">
        <f>"岡山日独協会会報"</f>
        <v>岡山日独協会会報</v>
      </c>
      <c r="B912" s="1" t="str">
        <f t="shared" si="53"/>
        <v>岡山日独協会会報</v>
      </c>
      <c r="C912" t="str">
        <f>"オカヤマ　ニチドク　キョウカイ　カイホウ"</f>
        <v>オカヤマ　ニチドク　キョウカイ　カイホウ</v>
      </c>
      <c r="D912" t="str">
        <f>"岡山日独協会"</f>
        <v>岡山日独協会</v>
      </c>
      <c r="E912" t="str">
        <f>"オカヤマニチドクキョウカイ"</f>
        <v>オカヤマニチドクキョウカイ</v>
      </c>
      <c r="F912" t="str">
        <f t="shared" si="55"/>
        <v>岡山</v>
      </c>
      <c r="G912" t="str">
        <f>"年２回刊"</f>
        <v>年２回刊</v>
      </c>
      <c r="H912" t="str">
        <f>"2002222292191"</f>
        <v>2002222292191</v>
      </c>
      <c r="I912" t="str">
        <f>HYPERLINK("#", "https://opac.libnet.pref.okayama.jp/licsxp-opac/WOpacMsgNewListToTifTilDetailAction.do?tilcod=2002222292191")</f>
        <v>https://opac.libnet.pref.okayama.jp/licsxp-opac/WOpacMsgNewListToTifTilDetailAction.do?tilcod=2002222292191</v>
      </c>
    </row>
    <row r="913" spans="1:9" x14ac:dyDescent="0.4">
      <c r="A913" t="str">
        <f>"岡山日日商況"</f>
        <v>岡山日日商況</v>
      </c>
      <c r="B913" s="1" t="str">
        <f t="shared" si="53"/>
        <v>岡山日日商況</v>
      </c>
      <c r="C913" t="str">
        <f>"オカヤマ　ニチニチ　ショウキョウ"</f>
        <v>オカヤマ　ニチニチ　ショウキョウ</v>
      </c>
      <c r="D913" t="str">
        <f>"日々商況社"</f>
        <v>日々商況社</v>
      </c>
      <c r="E913" t="str">
        <f>"ニチニチショウキョウシャ"</f>
        <v>ニチニチショウキョウシャ</v>
      </c>
      <c r="F913" t="str">
        <f t="shared" si="55"/>
        <v>岡山</v>
      </c>
      <c r="G913" t="str">
        <f>"頻度不明"</f>
        <v>頻度不明</v>
      </c>
      <c r="H913" t="str">
        <f>"2002222300986"</f>
        <v>2002222300986</v>
      </c>
      <c r="I913" t="str">
        <f>HYPERLINK("#", "https://opac.libnet.pref.okayama.jp/licsxp-opac/WOpacMsgNewListToTifTilDetailAction.do?tilcod=2002222300986")</f>
        <v>https://opac.libnet.pref.okayama.jp/licsxp-opac/WOpacMsgNewListToTifTilDetailAction.do?tilcod=2002222300986</v>
      </c>
    </row>
    <row r="914" spans="1:9" x14ac:dyDescent="0.4">
      <c r="A914" t="str">
        <f>"岡山日報"</f>
        <v>岡山日報</v>
      </c>
      <c r="B914" s="1" t="str">
        <f t="shared" si="53"/>
        <v>岡山日報</v>
      </c>
      <c r="C914" t="str">
        <f>"オカヤマ　ニッポウ"</f>
        <v>オカヤマ　ニッポウ</v>
      </c>
      <c r="D914" t="str">
        <f>"岡山日報社"</f>
        <v>岡山日報社</v>
      </c>
      <c r="E914" t="str">
        <f>"オカヤマ ニッポウシャ"</f>
        <v>オカヤマ ニッポウシャ</v>
      </c>
      <c r="F914" t="str">
        <f t="shared" si="55"/>
        <v>岡山</v>
      </c>
      <c r="G914" t="str">
        <f>"日刊"</f>
        <v>日刊</v>
      </c>
      <c r="H914" t="str">
        <f>"2002222300987"</f>
        <v>2002222300987</v>
      </c>
      <c r="I914" t="str">
        <f>HYPERLINK("#", "https://opac.libnet.pref.okayama.jp/licsxp-opac/WOpacMsgNewListToTifTilDetailAction.do?tilcod=2002222300987")</f>
        <v>https://opac.libnet.pref.okayama.jp/licsxp-opac/WOpacMsgNewListToTifTilDetailAction.do?tilcod=2002222300987</v>
      </c>
    </row>
    <row r="915" spans="1:9" x14ac:dyDescent="0.4">
      <c r="A915" t="str">
        <f>"岡山日報"</f>
        <v>岡山日報</v>
      </c>
      <c r="B915" s="1" t="str">
        <f t="shared" si="53"/>
        <v>岡山日報</v>
      </c>
      <c r="C915" t="str">
        <f>"オカヤマ　ニッポウ"</f>
        <v>オカヤマ　ニッポウ</v>
      </c>
      <c r="D915" t="str">
        <f>"岡山日報社"</f>
        <v>岡山日報社</v>
      </c>
      <c r="E915" t="str">
        <f>"オカヤマ ニッポウシャ"</f>
        <v>オカヤマ ニッポウシャ</v>
      </c>
      <c r="F915" t="str">
        <f t="shared" si="55"/>
        <v>岡山</v>
      </c>
      <c r="G915" t="str">
        <f>"日刊"</f>
        <v>日刊</v>
      </c>
      <c r="H915" t="str">
        <f>"2002222300991"</f>
        <v>2002222300991</v>
      </c>
      <c r="I915" t="str">
        <f>HYPERLINK("#", "https://opac.libnet.pref.okayama.jp/licsxp-opac/WOpacMsgNewListToTifTilDetailAction.do?tilcod=2002222300991")</f>
        <v>https://opac.libnet.pref.okayama.jp/licsxp-opac/WOpacMsgNewListToTifTilDetailAction.do?tilcod=2002222300991</v>
      </c>
    </row>
    <row r="916" spans="1:9" x14ac:dyDescent="0.4">
      <c r="A916" t="str">
        <f>"岡山日報；号外"</f>
        <v>岡山日報；号外</v>
      </c>
      <c r="B916" s="1" t="str">
        <f t="shared" si="53"/>
        <v>岡山日報；号外</v>
      </c>
      <c r="C916" t="str">
        <f>"オカヤマ　ニッポウ＊ゴウガイ"</f>
        <v>オカヤマ　ニッポウ＊ゴウガイ</v>
      </c>
      <c r="D916" t="str">
        <f>"岡山日報社"</f>
        <v>岡山日報社</v>
      </c>
      <c r="E916" t="str">
        <f>"オカヤマ ニッポウシャ"</f>
        <v>オカヤマ ニッポウシャ</v>
      </c>
      <c r="F916" t="str">
        <f t="shared" si="55"/>
        <v>岡山</v>
      </c>
      <c r="G916" t="str">
        <f>"頻度不明"</f>
        <v>頻度不明</v>
      </c>
      <c r="H916" t="str">
        <f>"2002222300990"</f>
        <v>2002222300990</v>
      </c>
      <c r="I916" t="str">
        <f>HYPERLINK("#", "https://opac.libnet.pref.okayama.jp/licsxp-opac/WOpacMsgNewListToTifTilDetailAction.do?tilcod=2002222300990")</f>
        <v>https://opac.libnet.pref.okayama.jp/licsxp-opac/WOpacMsgNewListToTifTilDetailAction.do?tilcod=2002222300990</v>
      </c>
    </row>
    <row r="917" spans="1:9" x14ac:dyDescent="0.4">
      <c r="A917" t="str">
        <f>"おかやまの環境運動ニュースレター"</f>
        <v>おかやまの環境運動ニュースレター</v>
      </c>
      <c r="B917" s="1" t="str">
        <f t="shared" si="53"/>
        <v>おかやまの環境運動ニュースレター</v>
      </c>
      <c r="C917" t="str">
        <f>"オカヤマ　ノ　カンキョウ　ウンドウ　ニュース　レター"</f>
        <v>オカヤマ　ノ　カンキョウ　ウンドウ　ニュース　レター</v>
      </c>
      <c r="D917" t="str">
        <f>"岡山環境フォーラム"</f>
        <v>岡山環境フォーラム</v>
      </c>
      <c r="E917" t="str">
        <f>"オカヤマカンキョウフォーラム"</f>
        <v>オカヤマカンキョウフォーラム</v>
      </c>
      <c r="F917" t="str">
        <f>""</f>
        <v/>
      </c>
      <c r="G917" t="str">
        <f>"頻度不明"</f>
        <v>頻度不明</v>
      </c>
      <c r="H917" t="str">
        <f>"2002222288691"</f>
        <v>2002222288691</v>
      </c>
      <c r="I917" t="str">
        <f>HYPERLINK("#", "https://opac.libnet.pref.okayama.jp/licsxp-opac/WOpacMsgNewListToTifTilDetailAction.do?tilcod=2002222288691")</f>
        <v>https://opac.libnet.pref.okayama.jp/licsxp-opac/WOpacMsgNewListToTifTilDetailAction.do?tilcod=2002222288691</v>
      </c>
    </row>
    <row r="918" spans="1:9" x14ac:dyDescent="0.4">
      <c r="A918" t="str">
        <f>"岡山の気象"</f>
        <v>岡山の気象</v>
      </c>
      <c r="B918" s="1" t="str">
        <f t="shared" si="53"/>
        <v>岡山の気象</v>
      </c>
      <c r="C918" t="str">
        <f>"オカヤマ　ノ　キショウ"</f>
        <v>オカヤマ　ノ　キショウ</v>
      </c>
      <c r="D918" t="str">
        <f>"岡山気象同好会"</f>
        <v>岡山気象同好会</v>
      </c>
      <c r="E918" t="str">
        <f>"オカヤマキショウドウコウカイ"</f>
        <v>オカヤマキショウドウコウカイ</v>
      </c>
      <c r="F918" t="str">
        <f>""</f>
        <v/>
      </c>
      <c r="G918" t="str">
        <f>"頻度不明"</f>
        <v>頻度不明</v>
      </c>
      <c r="H918" t="str">
        <f>"2002222288701"</f>
        <v>2002222288701</v>
      </c>
      <c r="I918" t="str">
        <f>HYPERLINK("#", "https://opac.libnet.pref.okayama.jp/licsxp-opac/WOpacMsgNewListToTifTilDetailAction.do?tilcod=2002222288701")</f>
        <v>https://opac.libnet.pref.okayama.jp/licsxp-opac/WOpacMsgNewListToTifTilDetailAction.do?tilcod=2002222288701</v>
      </c>
    </row>
    <row r="919" spans="1:9" x14ac:dyDescent="0.4">
      <c r="A919" t="str">
        <f>"岡山の公民館"</f>
        <v>岡山の公民館</v>
      </c>
      <c r="B919" s="1" t="str">
        <f t="shared" si="53"/>
        <v>岡山の公民館</v>
      </c>
      <c r="C919" t="str">
        <f>"オカヤマ　ノ　コウミンカン"</f>
        <v>オカヤマ　ノ　コウミンカン</v>
      </c>
      <c r="D919" t="str">
        <f>"岡山県公民館連合会"</f>
        <v>岡山県公民館連合会</v>
      </c>
      <c r="E919" t="str">
        <f>"オカヤマケン コウミンカン レンゴウカイ"</f>
        <v>オカヤマケン コウミンカン レンゴウカイ</v>
      </c>
      <c r="F919" t="str">
        <f>""</f>
        <v/>
      </c>
      <c r="G919" t="str">
        <f>"年刊"</f>
        <v>年刊</v>
      </c>
      <c r="H919" t="str">
        <f>"2002222288711"</f>
        <v>2002222288711</v>
      </c>
      <c r="I919" t="str">
        <f>HYPERLINK("#", "https://opac.libnet.pref.okayama.jp/licsxp-opac/WOpacMsgNewListToTifTilDetailAction.do?tilcod=2002222288711")</f>
        <v>https://opac.libnet.pref.okayama.jp/licsxp-opac/WOpacMsgNewListToTifTilDetailAction.do?tilcod=2002222288711</v>
      </c>
    </row>
    <row r="920" spans="1:9" x14ac:dyDescent="0.4">
      <c r="A920" t="str">
        <f>"岡山の暦"</f>
        <v>岡山の暦</v>
      </c>
      <c r="B920" s="1" t="str">
        <f t="shared" si="53"/>
        <v>岡山の暦</v>
      </c>
      <c r="C920" t="str">
        <f>"オカヤマ　ノ　コヨミ"</f>
        <v>オカヤマ　ノ　コヨミ</v>
      </c>
      <c r="D920" t="str">
        <f>"関西気象協会岡山出張所"</f>
        <v>関西気象協会岡山出張所</v>
      </c>
      <c r="E920" t="str">
        <f>"カンサイキショウキョウカイオカヤマシュッチョウジョ"</f>
        <v>カンサイキショウキョウカイオカヤマシュッチョウジョ</v>
      </c>
      <c r="F920" t="str">
        <f>""</f>
        <v/>
      </c>
      <c r="G920" t="str">
        <f>"頻度不明"</f>
        <v>頻度不明</v>
      </c>
      <c r="H920" t="str">
        <f>"2002222288721"</f>
        <v>2002222288721</v>
      </c>
      <c r="I920" t="str">
        <f>HYPERLINK("#", "https://opac.libnet.pref.okayama.jp/licsxp-opac/WOpacMsgNewListToTifTilDetailAction.do?tilcod=2002222288721")</f>
        <v>https://opac.libnet.pref.okayama.jp/licsxp-opac/WOpacMsgNewListToTifTilDetailAction.do?tilcod=2002222288721</v>
      </c>
    </row>
    <row r="921" spans="1:9" x14ac:dyDescent="0.4">
      <c r="A921" t="str">
        <f>"おかやまの山草"</f>
        <v>おかやまの山草</v>
      </c>
      <c r="B921" s="1" t="str">
        <f t="shared" si="53"/>
        <v>おかやまの山草</v>
      </c>
      <c r="C921" t="str">
        <f>"オカヤマ　ノ　サンソウ"</f>
        <v>オカヤマ　ノ　サンソウ</v>
      </c>
      <c r="D921" t="str">
        <f>"岡山山草会"</f>
        <v>岡山山草会</v>
      </c>
      <c r="E921" t="str">
        <f>"オカヤマサンソウカイ"</f>
        <v>オカヤマサンソウカイ</v>
      </c>
      <c r="F921" t="str">
        <f>"岡山"</f>
        <v>岡山</v>
      </c>
      <c r="G921" t="str">
        <f>"頻度不明"</f>
        <v>頻度不明</v>
      </c>
      <c r="H921" t="str">
        <f>"2002222288731"</f>
        <v>2002222288731</v>
      </c>
      <c r="I921" t="str">
        <f>HYPERLINK("#", "https://opac.libnet.pref.okayama.jp/licsxp-opac/WOpacMsgNewListToTifTilDetailAction.do?tilcod=2002222288731")</f>
        <v>https://opac.libnet.pref.okayama.jp/licsxp-opac/WOpacMsgNewListToTifTilDetailAction.do?tilcod=2002222288731</v>
      </c>
    </row>
    <row r="922" spans="1:9" x14ac:dyDescent="0.4">
      <c r="A922" t="str">
        <f>"おかやま乃四季"</f>
        <v>おかやま乃四季</v>
      </c>
      <c r="B922" s="1" t="str">
        <f t="shared" si="53"/>
        <v>おかやま乃四季</v>
      </c>
      <c r="C922" t="str">
        <f>"オカヤマ　ノ　シキ"</f>
        <v>オカヤマ　ノ　シキ</v>
      </c>
      <c r="D922" t="str">
        <f>"中国時報社"</f>
        <v>中国時報社</v>
      </c>
      <c r="E922" t="str">
        <f>"チュウゴクジホウシャ"</f>
        <v>チュウゴクジホウシャ</v>
      </c>
      <c r="F922" t="str">
        <f>""</f>
        <v/>
      </c>
      <c r="G922" t="str">
        <f>"頻度不明"</f>
        <v>頻度不明</v>
      </c>
      <c r="H922" t="str">
        <f>"2002222288741"</f>
        <v>2002222288741</v>
      </c>
      <c r="I922" t="str">
        <f>HYPERLINK("#", "https://opac.libnet.pref.okayama.jp/licsxp-opac/WOpacMsgNewListToTifTilDetailAction.do?tilcod=2002222288741")</f>
        <v>https://opac.libnet.pref.okayama.jp/licsxp-opac/WOpacMsgNewListToTifTilDetailAction.do?tilcod=2002222288741</v>
      </c>
    </row>
    <row r="923" spans="1:9" x14ac:dyDescent="0.4">
      <c r="A923" t="str">
        <f>"岡山の自然"</f>
        <v>岡山の自然</v>
      </c>
      <c r="B923" s="1" t="str">
        <f t="shared" si="53"/>
        <v>岡山の自然</v>
      </c>
      <c r="C923" t="str">
        <f>"オカヤマ　ノ　シゼン"</f>
        <v>オカヤマ　ノ　シゼン</v>
      </c>
      <c r="D923" t="str">
        <f>"岡山の自然を守る会"</f>
        <v>岡山の自然を守る会</v>
      </c>
      <c r="E923" t="str">
        <f>"オカヤマ ノ シゼン オ マモル カイ"</f>
        <v>オカヤマ ノ シゼン オ マモル カイ</v>
      </c>
      <c r="F923" t="str">
        <f>"岡山"</f>
        <v>岡山</v>
      </c>
      <c r="G923" t="str">
        <f>"季刊"</f>
        <v>季刊</v>
      </c>
      <c r="H923" t="str">
        <f>"2002222291141"</f>
        <v>2002222291141</v>
      </c>
      <c r="I923" t="str">
        <f>HYPERLINK("#", "https://opac.libnet.pref.okayama.jp/licsxp-opac/WOpacMsgNewListToTifTilDetailAction.do?tilcod=2002222291141")</f>
        <v>https://opac.libnet.pref.okayama.jp/licsxp-opac/WOpacMsgNewListToTifTilDetailAction.do?tilcod=2002222291141</v>
      </c>
    </row>
    <row r="924" spans="1:9" x14ac:dyDescent="0.4">
      <c r="A924" t="str">
        <f>"岡山の社会保障"</f>
        <v>岡山の社会保障</v>
      </c>
      <c r="B924" s="1" t="str">
        <f t="shared" si="53"/>
        <v>岡山の社会保障</v>
      </c>
      <c r="C924" t="str">
        <f>"オカヤマ　ノ　シャカイ　ホショウ"</f>
        <v>オカヤマ　ノ　シャカイ　ホショウ</v>
      </c>
      <c r="D924" t="str">
        <f>"岡山県民生労働部保険課岡山県国民健康保険団体連合会"</f>
        <v>岡山県民生労働部保険課岡山県国民健康保険団体連合会</v>
      </c>
      <c r="E924" t="str">
        <f>"オカヤマケンミンセイロウドウブホケンカオカヤマケンコクミンケンコウホケンダンタイレンゴウカイ"</f>
        <v>オカヤマケンミンセイロウドウブホケンカオカヤマケンコクミンケンコウホケンダンタイレンゴウカイ</v>
      </c>
      <c r="F924" t="str">
        <f>"岡山"</f>
        <v>岡山</v>
      </c>
      <c r="G924" t="str">
        <f>"頻度不明"</f>
        <v>頻度不明</v>
      </c>
      <c r="H924" t="str">
        <f>"2002222288751"</f>
        <v>2002222288751</v>
      </c>
      <c r="I924" t="str">
        <f>HYPERLINK("#", "https://opac.libnet.pref.okayama.jp/licsxp-opac/WOpacMsgNewListToTifTilDetailAction.do?tilcod=2002222288751")</f>
        <v>https://opac.libnet.pref.okayama.jp/licsxp-opac/WOpacMsgNewListToTifTilDetailAction.do?tilcod=2002222288751</v>
      </c>
    </row>
    <row r="925" spans="1:9" x14ac:dyDescent="0.4">
      <c r="A925" t="str">
        <f>"岡山の住民と自治"</f>
        <v>岡山の住民と自治</v>
      </c>
      <c r="B925" s="1" t="str">
        <f t="shared" si="53"/>
        <v>岡山の住民と自治</v>
      </c>
      <c r="C925" t="str">
        <f>"オカヤマ　ノ　ジュウミン　ト　ジチ"</f>
        <v>オカヤマ　ノ　ジュウミン　ト　ジチ</v>
      </c>
      <c r="D925" t="str">
        <f>"岡山県自治体問題研究所"</f>
        <v>岡山県自治体問題研究所</v>
      </c>
      <c r="E925" t="str">
        <f>"オカヤマケン ジチタイ モンダイ ケンキュウジョ"</f>
        <v>オカヤマケン ジチタイ モンダイ ケンキュウジョ</v>
      </c>
      <c r="F925" t="str">
        <f>"岡山"</f>
        <v>岡山</v>
      </c>
      <c r="G925" t="str">
        <f>"頻度不明"</f>
        <v>頻度不明</v>
      </c>
      <c r="H925" t="str">
        <f>"2002222293531"</f>
        <v>2002222293531</v>
      </c>
      <c r="I925" t="str">
        <f>HYPERLINK("#", "https://opac.libnet.pref.okayama.jp/licsxp-opac/WOpacMsgNewListToTifTilDetailAction.do?tilcod=2002222293531")</f>
        <v>https://opac.libnet.pref.okayama.jp/licsxp-opac/WOpacMsgNewListToTifTilDetailAction.do?tilcod=2002222293531</v>
      </c>
    </row>
    <row r="926" spans="1:9" x14ac:dyDescent="0.4">
      <c r="A926" t="str">
        <f>"おかやまの女性"</f>
        <v>おかやまの女性</v>
      </c>
      <c r="B926" s="1" t="str">
        <f t="shared" si="53"/>
        <v>おかやまの女性</v>
      </c>
      <c r="C926" t="str">
        <f>"オカヤマ　ノ　ジョセイ"</f>
        <v>オカヤマ　ノ　ジョセイ</v>
      </c>
      <c r="D926" t="str">
        <f>"岡山県婦人青少年対策室婦人企画班"</f>
        <v>岡山県婦人青少年対策室婦人企画班</v>
      </c>
      <c r="E926" t="str">
        <f>"オカヤマケンフジンセイショウネンタイサクシツフジンキカクハン"</f>
        <v>オカヤマケンフジンセイショウネンタイサクシツフジンキカクハン</v>
      </c>
      <c r="F926" t="str">
        <f>"岡山市"</f>
        <v>岡山市</v>
      </c>
      <c r="G926" t="str">
        <f>"年刊"</f>
        <v>年刊</v>
      </c>
      <c r="H926" t="str">
        <f>"2002222292201"</f>
        <v>2002222292201</v>
      </c>
      <c r="I926" t="str">
        <f>HYPERLINK("#", "https://opac.libnet.pref.okayama.jp/licsxp-opac/WOpacMsgNewListToTifTilDetailAction.do?tilcod=2002222292201")</f>
        <v>https://opac.libnet.pref.okayama.jp/licsxp-opac/WOpacMsgNewListToTifTilDetailAction.do?tilcod=2002222292201</v>
      </c>
    </row>
    <row r="927" spans="1:9" x14ac:dyDescent="0.4">
      <c r="A927" t="str">
        <f>"岡山の地域と自治体"</f>
        <v>岡山の地域と自治体</v>
      </c>
      <c r="B927" s="1" t="str">
        <f t="shared" si="53"/>
        <v>岡山の地域と自治体</v>
      </c>
      <c r="C927" t="str">
        <f>"オカヤマ ノ チイキ ト ジチタイ"</f>
        <v>オカヤマ ノ チイキ ト ジチタイ</v>
      </c>
      <c r="D927" t="str">
        <f>"岡山県自治体問題研究所"</f>
        <v>岡山県自治体問題研究所</v>
      </c>
      <c r="E927" t="str">
        <f>"オカヤマケン ジチタイ モンダイ ケンキュウジョ"</f>
        <v>オカヤマケン ジチタイ モンダイ ケンキュウジョ</v>
      </c>
      <c r="F927" t="str">
        <f>"岡山"</f>
        <v>岡山</v>
      </c>
      <c r="G927" t="str">
        <f>"頻度不明"</f>
        <v>頻度不明</v>
      </c>
      <c r="H927" t="str">
        <f>"2002222281274"</f>
        <v>2002222281274</v>
      </c>
      <c r="I927" t="str">
        <f>HYPERLINK("#", "https://opac.libnet.pref.okayama.jp/licsxp-opac/WOpacMsgNewListToTifTilDetailAction.do?tilcod=2002222281274")</f>
        <v>https://opac.libnet.pref.okayama.jp/licsxp-opac/WOpacMsgNewListToTifTilDetailAction.do?tilcod=2002222281274</v>
      </c>
    </row>
    <row r="928" spans="1:9" x14ac:dyDescent="0.4">
      <c r="A928" t="str">
        <f>"岡山のとしょかん"</f>
        <v>岡山のとしょかん</v>
      </c>
      <c r="B928" s="1" t="str">
        <f t="shared" si="53"/>
        <v>岡山のとしょかん</v>
      </c>
      <c r="C928" t="str">
        <f>"オカヤマ　ノ　トショカン"</f>
        <v>オカヤマ　ノ　トショカン</v>
      </c>
      <c r="D928" t="str">
        <f>"岡山県図書館協会"</f>
        <v>岡山県図書館協会</v>
      </c>
      <c r="E928" t="str">
        <f>"オカヤマケン トショカン キョウカイ"</f>
        <v>オカヤマケン トショカン キョウカイ</v>
      </c>
      <c r="F928" t="str">
        <f>"岡山"</f>
        <v>岡山</v>
      </c>
      <c r="G928" t="str">
        <f>"年３回刊"</f>
        <v>年３回刊</v>
      </c>
      <c r="H928" t="str">
        <f>"2002222291151"</f>
        <v>2002222291151</v>
      </c>
      <c r="I928" t="str">
        <f>HYPERLINK("#", "https://opac.libnet.pref.okayama.jp/licsxp-opac/WOpacMsgNewListToTifTilDetailAction.do?tilcod=2002222291151")</f>
        <v>https://opac.libnet.pref.okayama.jp/licsxp-opac/WOpacMsgNewListToTifTilDetailAction.do?tilcod=2002222291151</v>
      </c>
    </row>
    <row r="929" spans="1:9" x14ac:dyDescent="0.4">
      <c r="A929" t="str">
        <f>"岡山の図書館便り"</f>
        <v>岡山の図書館便り</v>
      </c>
      <c r="B929" s="1" t="str">
        <f t="shared" si="53"/>
        <v>岡山の図書館便り</v>
      </c>
      <c r="C929" t="str">
        <f>"オカヤマ ノ トショカン ダヨリ"</f>
        <v>オカヤマ ノ トショカン ダヨリ</v>
      </c>
      <c r="D929" t="str">
        <f>"岡山県総合文化センター"</f>
        <v>岡山県総合文化センター</v>
      </c>
      <c r="E929" t="str">
        <f>"オカヤマケン ソウゴウ ブンカ センター"</f>
        <v>オカヤマケン ソウゴウ ブンカ センター</v>
      </c>
      <c r="F929" t="str">
        <f>"岡山"</f>
        <v>岡山</v>
      </c>
      <c r="G929" t="str">
        <f>"月刊"</f>
        <v>月刊</v>
      </c>
      <c r="H929" t="str">
        <f>"2002222281611"</f>
        <v>2002222281611</v>
      </c>
      <c r="I929" t="str">
        <f>HYPERLINK("#", "https://opac.libnet.pref.okayama.jp/licsxp-opac/WOpacMsgNewListToTifTilDetailAction.do?tilcod=2002222281611")</f>
        <v>https://opac.libnet.pref.okayama.jp/licsxp-opac/WOpacMsgNewListToTifTilDetailAction.do?tilcod=2002222281611</v>
      </c>
    </row>
    <row r="930" spans="1:9" x14ac:dyDescent="0.4">
      <c r="A930" t="str">
        <f>"岡山の博物館；岡山県博物館協議会会報"</f>
        <v>岡山の博物館；岡山県博物館協議会会報</v>
      </c>
      <c r="B930" s="1" t="str">
        <f t="shared" si="53"/>
        <v>岡山の博物館；岡山県博物館協議会会報</v>
      </c>
      <c r="C930" t="str">
        <f>"オカヤマ ノ ハクブツカン＊オカヤマケン ハクブツカン キョウギカイ カイホウ"</f>
        <v>オカヤマ ノ ハクブツカン＊オカヤマケン ハクブツカン キョウギカイ カイホウ</v>
      </c>
      <c r="D930" t="str">
        <f>"岡山県博物館協議会"</f>
        <v>岡山県博物館協議会</v>
      </c>
      <c r="E930" t="str">
        <f>"オカヤマケンハクブツカンキョウギカイ"</f>
        <v>オカヤマケンハクブツカンキョウギカイ</v>
      </c>
      <c r="F930" t="str">
        <f>"岡山"</f>
        <v>岡山</v>
      </c>
      <c r="G930" t="str">
        <f>"年２回刊"</f>
        <v>年２回刊</v>
      </c>
      <c r="H930" t="str">
        <f>"2002222291161"</f>
        <v>2002222291161</v>
      </c>
      <c r="I930" t="str">
        <f>HYPERLINK("#", "https://opac.libnet.pref.okayama.jp/licsxp-opac/WOpacMsgNewListToTifTilDetailAction.do?tilcod=2002222291161")</f>
        <v>https://opac.libnet.pref.okayama.jp/licsxp-opac/WOpacMsgNewListToTifTilDetailAction.do?tilcod=2002222291161</v>
      </c>
    </row>
    <row r="931" spans="1:9" x14ac:dyDescent="0.4">
      <c r="A931" t="str">
        <f>"おかやまの婦人；岡山県婦人広報"</f>
        <v>おかやまの婦人；岡山県婦人広報</v>
      </c>
      <c r="B931" s="1" t="str">
        <f t="shared" si="53"/>
        <v>おかやまの婦人；岡山県婦人広報</v>
      </c>
      <c r="C931" t="str">
        <f>"オカヤマ　ノ　フジン＊オカヤマケン　フジン　コウホウ"</f>
        <v>オカヤマ　ノ　フジン＊オカヤマケン　フジン　コウホウ</v>
      </c>
      <c r="D931" t="str">
        <f>"岡山県地域振興部県民生活課"</f>
        <v>岡山県地域振興部県民生活課</v>
      </c>
      <c r="E931" t="str">
        <f>"オカヤマケン チイキ シンコウブ ケンミン セイカツカ"</f>
        <v>オカヤマケン チイキ シンコウブ ケンミン セイカツカ</v>
      </c>
      <c r="F931" t="str">
        <f>"岡山"</f>
        <v>岡山</v>
      </c>
      <c r="G931" t="str">
        <f>"頻度不明"</f>
        <v>頻度不明</v>
      </c>
      <c r="H931" t="str">
        <f>"2002222288761"</f>
        <v>2002222288761</v>
      </c>
      <c r="I931" t="str">
        <f>HYPERLINK("#", "https://opac.libnet.pref.okayama.jp/licsxp-opac/WOpacMsgNewListToTifTilDetailAction.do?tilcod=2002222288761")</f>
        <v>https://opac.libnet.pref.okayama.jp/licsxp-opac/WOpacMsgNewListToTifTilDetailAction.do?tilcod=2002222288761</v>
      </c>
    </row>
    <row r="932" spans="1:9" x14ac:dyDescent="0.4">
      <c r="A932" t="str">
        <f>"岡山の文化財"</f>
        <v>岡山の文化財</v>
      </c>
      <c r="B932" s="1" t="str">
        <f t="shared" si="53"/>
        <v>岡山の文化財</v>
      </c>
      <c r="C932" t="str">
        <f>"オカヤマ　ノ　ブンカザイ"</f>
        <v>オカヤマ　ノ　ブンカザイ</v>
      </c>
      <c r="D932" t="str">
        <f>"岡山県文化財を守る会"</f>
        <v>岡山県文化財を守る会</v>
      </c>
      <c r="E932" t="str">
        <f>"オカヤマケンブンカザイヲマモルカイ"</f>
        <v>オカヤマケンブンカザイヲマモルカイ</v>
      </c>
      <c r="F932" t="str">
        <f>""</f>
        <v/>
      </c>
      <c r="G932" t="str">
        <f>"頻度不明"</f>
        <v>頻度不明</v>
      </c>
      <c r="H932" t="str">
        <f>"2002222288771"</f>
        <v>2002222288771</v>
      </c>
      <c r="I932" t="str">
        <f>HYPERLINK("#", "https://opac.libnet.pref.okayama.jp/licsxp-opac/WOpacMsgNewListToTifTilDetailAction.do?tilcod=2002222288771")</f>
        <v>https://opac.libnet.pref.okayama.jp/licsxp-opac/WOpacMsgNewListToTifTilDetailAction.do?tilcod=2002222288771</v>
      </c>
    </row>
    <row r="933" spans="1:9" x14ac:dyDescent="0.4">
      <c r="A933" t="str">
        <f>"岡山の街に出かけよう"</f>
        <v>岡山の街に出かけよう</v>
      </c>
      <c r="B933" s="1" t="str">
        <f t="shared" si="53"/>
        <v>岡山の街に出かけよう</v>
      </c>
      <c r="C933" t="str">
        <f>"オカヤマ　ノ　マチ　ニ　デカケヨウ"</f>
        <v>オカヤマ　ノ　マチ　ニ　デカケヨウ</v>
      </c>
      <c r="D933" t="str">
        <f>"松田祥子"</f>
        <v>松田祥子</v>
      </c>
      <c r="E933" t="str">
        <f>"マツダサチコ"</f>
        <v>マツダサチコ</v>
      </c>
      <c r="F933" t="str">
        <f>"岡山"</f>
        <v>岡山</v>
      </c>
      <c r="G933" t="str">
        <f>"年２回刊"</f>
        <v>年２回刊</v>
      </c>
      <c r="H933" t="str">
        <f>"2002222302164"</f>
        <v>2002222302164</v>
      </c>
      <c r="I933" t="str">
        <f>HYPERLINK("#", "https://opac.libnet.pref.okayama.jp/licsxp-opac/WOpacMsgNewListToTifTilDetailAction.do?tilcod=2002222302164")</f>
        <v>https://opac.libnet.pref.okayama.jp/licsxp-opac/WOpacMsgNewListToTifTilDetailAction.do?tilcod=2002222302164</v>
      </c>
    </row>
    <row r="934" spans="1:9" x14ac:dyDescent="0.4">
      <c r="A934" t="str">
        <f>"おかやまの水"</f>
        <v>おかやまの水</v>
      </c>
      <c r="B934" s="1" t="str">
        <f t="shared" si="53"/>
        <v>おかやまの水</v>
      </c>
      <c r="C934" t="str">
        <f>"オカヤマ　ノ　ミズ"</f>
        <v>オカヤマ　ノ　ミズ</v>
      </c>
      <c r="D934" t="str">
        <f>"岡山市水道局"</f>
        <v>岡山市水道局</v>
      </c>
      <c r="E934" t="str">
        <f>"オカヤマシ スイドウキョク"</f>
        <v>オカヤマシ スイドウキョク</v>
      </c>
      <c r="F934" t="str">
        <f>"岡山"</f>
        <v>岡山</v>
      </c>
      <c r="G934" t="str">
        <f>"年２回刊"</f>
        <v>年２回刊</v>
      </c>
      <c r="H934" t="str">
        <f>"2002222292231"</f>
        <v>2002222292231</v>
      </c>
      <c r="I934" t="str">
        <f>HYPERLINK("#", "https://opac.libnet.pref.okayama.jp/licsxp-opac/WOpacMsgNewListToTifTilDetailAction.do?tilcod=2002222292231")</f>
        <v>https://opac.libnet.pref.okayama.jp/licsxp-opac/WOpacMsgNewListToTifTilDetailAction.do?tilcod=2002222292231</v>
      </c>
    </row>
    <row r="935" spans="1:9" x14ac:dyDescent="0.4">
      <c r="A935" t="str">
        <f>"岡山の民主教育"</f>
        <v>岡山の民主教育</v>
      </c>
      <c r="B935" s="1" t="str">
        <f t="shared" si="53"/>
        <v>岡山の民主教育</v>
      </c>
      <c r="C935" t="str">
        <f>"オカヤマ　ノ　ミンシュ　キョウイク"</f>
        <v>オカヤマ　ノ　ミンシュ　キョウイク</v>
      </c>
      <c r="D935" t="str">
        <f>"岡山県民主教育協議会"</f>
        <v>岡山県民主教育協議会</v>
      </c>
      <c r="E935" t="str">
        <f>"オカヤマケン ミンシュ キョウイク キョウギカイ"</f>
        <v>オカヤマケン ミンシュ キョウイク キョウギカイ</v>
      </c>
      <c r="F935" t="str">
        <f>""</f>
        <v/>
      </c>
      <c r="G935" t="str">
        <f>"頻度不明"</f>
        <v>頻度不明</v>
      </c>
      <c r="H935" t="str">
        <f>"2002222288791"</f>
        <v>2002222288791</v>
      </c>
      <c r="I935" t="str">
        <f>HYPERLINK("#", "https://opac.libnet.pref.okayama.jp/licsxp-opac/WOpacMsgNewListToTifTilDetailAction.do?tilcod=2002222288791")</f>
        <v>https://opac.libnet.pref.okayama.jp/licsxp-opac/WOpacMsgNewListToTifTilDetailAction.do?tilcod=2002222288791</v>
      </c>
    </row>
    <row r="936" spans="1:9" x14ac:dyDescent="0.4">
      <c r="A936" t="str">
        <f>"岡山の歴史地理教育"</f>
        <v>岡山の歴史地理教育</v>
      </c>
      <c r="B936" s="1" t="str">
        <f t="shared" si="53"/>
        <v>岡山の歴史地理教育</v>
      </c>
      <c r="C936" t="str">
        <f>"オカヤマ　ノ　レキシ　チリ　キョウイク"</f>
        <v>オカヤマ　ノ　レキシ　チリ　キョウイク</v>
      </c>
      <c r="D936" t="str">
        <f>"岡山県歴史教育者協議会"</f>
        <v>岡山県歴史教育者協議会</v>
      </c>
      <c r="E936" t="str">
        <f>"オカヤマケン レキシ キョウイクシャ キョウギカイ"</f>
        <v>オカヤマケン レキシ キョウイクシャ キョウギカイ</v>
      </c>
      <c r="F936" t="str">
        <f>""</f>
        <v/>
      </c>
      <c r="G936" t="str">
        <f>"頻度不明"</f>
        <v>頻度不明</v>
      </c>
      <c r="H936" t="str">
        <f>"2002222288801"</f>
        <v>2002222288801</v>
      </c>
      <c r="I936" t="str">
        <f>HYPERLINK("#", "https://opac.libnet.pref.okayama.jp/licsxp-opac/WOpacMsgNewListToTifTilDetailAction.do?tilcod=2002222288801")</f>
        <v>https://opac.libnet.pref.okayama.jp/licsxp-opac/WOpacMsgNewListToTifTilDetailAction.do?tilcod=2002222288801</v>
      </c>
    </row>
    <row r="937" spans="1:9" x14ac:dyDescent="0.4">
      <c r="A937" t="str">
        <f>"[岡山農業専門学校]竜王誌"</f>
        <v>[岡山農業専門学校]竜王誌</v>
      </c>
      <c r="B937" s="1" t="str">
        <f t="shared" si="53"/>
        <v>[岡山農業専門学校]竜王誌</v>
      </c>
      <c r="C937" t="str">
        <f>"オカヤマ ノウギョウ センモン ガッコウ リュウオウ シ"</f>
        <v>オカヤマ ノウギョウ センモン ガッコウ リュウオウ シ</v>
      </c>
      <c r="D937" t="str">
        <f>"岡山農業専門学校"</f>
        <v>岡山農業専門学校</v>
      </c>
      <c r="E937" t="str">
        <f>"オカヤマ ノウギョウ センモン ガッコウ"</f>
        <v>オカヤマ ノウギョウ センモン ガッコウ</v>
      </c>
      <c r="F937" t="str">
        <f>"岡山"</f>
        <v>岡山</v>
      </c>
      <c r="G937" t="str">
        <f>"頻度不明"</f>
        <v>頻度不明</v>
      </c>
      <c r="H937" t="str">
        <f>"2002222287723"</f>
        <v>2002222287723</v>
      </c>
      <c r="I937" t="str">
        <f>HYPERLINK("#", "https://opac.libnet.pref.okayama.jp/licsxp-opac/WOpacMsgNewListToTifTilDetailAction.do?tilcod=2002222287723")</f>
        <v>https://opac.libnet.pref.okayama.jp/licsxp-opac/WOpacMsgNewListToTifTilDetailAction.do?tilcod=2002222287723</v>
      </c>
    </row>
    <row r="938" spans="1:9" x14ac:dyDescent="0.4">
      <c r="A938" t="str">
        <f>"おかやま農協速報"</f>
        <v>おかやま農協速報</v>
      </c>
      <c r="B938" s="1" t="str">
        <f t="shared" si="53"/>
        <v>おかやま農協速報</v>
      </c>
      <c r="C938" t="str">
        <f>"オカヤマ　ノウキョウ　ソクホウ"</f>
        <v>オカヤマ　ノウキョウ　ソクホウ</v>
      </c>
      <c r="D938" t="str">
        <f>"岡山県農業協同組合中央会"</f>
        <v>岡山県農業協同組合中央会</v>
      </c>
      <c r="E938" t="str">
        <f>"オカヤマケン ノウギョウ キョウドウ クミアイ チュウオウカイ"</f>
        <v>オカヤマケン ノウギョウ キョウドウ クミアイ チュウオウカイ</v>
      </c>
      <c r="F938" t="str">
        <f>""</f>
        <v/>
      </c>
      <c r="G938" t="str">
        <f>"隔週刊"</f>
        <v>隔週刊</v>
      </c>
      <c r="H938" t="str">
        <f>"2002222288641"</f>
        <v>2002222288641</v>
      </c>
      <c r="I938" t="str">
        <f>HYPERLINK("#", "https://opac.libnet.pref.okayama.jp/licsxp-opac/WOpacMsgNewListToTifTilDetailAction.do?tilcod=2002222288641")</f>
        <v>https://opac.libnet.pref.okayama.jp/licsxp-opac/WOpacMsgNewListToTifTilDetailAction.do?tilcod=2002222288641</v>
      </c>
    </row>
    <row r="939" spans="1:9" x14ac:dyDescent="0.4">
      <c r="A939" t="str">
        <f>"岡山農林水産統計"</f>
        <v>岡山農林水産統計</v>
      </c>
      <c r="B939" s="1" t="str">
        <f t="shared" si="53"/>
        <v>岡山農林水産統計</v>
      </c>
      <c r="C939" t="str">
        <f>"オカヤマ　ノウリン　スイサン　トウケイ"</f>
        <v>オカヤマ　ノウリン　スイサン　トウケイ</v>
      </c>
      <c r="D939" t="str">
        <f>"岡山農林統計協会"</f>
        <v>岡山農林統計協会</v>
      </c>
      <c r="E939" t="str">
        <f>"オカヤマノウリントウケイキョウカイ"</f>
        <v>オカヤマノウリントウケイキョウカイ</v>
      </c>
      <c r="F939" t="str">
        <f>"岡山"</f>
        <v>岡山</v>
      </c>
      <c r="G939" t="str">
        <f>"月刊"</f>
        <v>月刊</v>
      </c>
      <c r="H939" t="str">
        <f>"2002222288651"</f>
        <v>2002222288651</v>
      </c>
      <c r="I939" t="str">
        <f>HYPERLINK("#", "https://opac.libnet.pref.okayama.jp/licsxp-opac/WOpacMsgNewListToTifTilDetailAction.do?tilcod=2002222288651")</f>
        <v>https://opac.libnet.pref.okayama.jp/licsxp-opac/WOpacMsgNewListToTifTilDetailAction.do?tilcod=2002222288651</v>
      </c>
    </row>
    <row r="940" spans="1:9" x14ac:dyDescent="0.4">
      <c r="A940" t="str">
        <f>"岡山農林水産統計"</f>
        <v>岡山農林水産統計</v>
      </c>
      <c r="B940" s="1" t="str">
        <f t="shared" si="53"/>
        <v>岡山農林水産統計</v>
      </c>
      <c r="C940" t="str">
        <f>"オカヤマ ノウリン スイサン トウケイ"</f>
        <v>オカヤマ ノウリン スイサン トウケイ</v>
      </c>
      <c r="D940" t="str">
        <f>"中国四国農政局統計部"</f>
        <v>中国四国農政局統計部</v>
      </c>
      <c r="E940" t="str">
        <f>"チュウゴク シコク ノウセイキョク トウケイブ"</f>
        <v>チュウゴク シコク ノウセイキョク トウケイブ</v>
      </c>
      <c r="F940" t="str">
        <f>"岡山"</f>
        <v>岡山</v>
      </c>
      <c r="G940" t="str">
        <f>"月刊"</f>
        <v>月刊</v>
      </c>
      <c r="H940" t="str">
        <f>"2002222300440"</f>
        <v>2002222300440</v>
      </c>
      <c r="I940" t="str">
        <f>HYPERLINK("#", "https://opac.libnet.pref.okayama.jp/licsxp-opac/WOpacMsgNewListToTifTilDetailAction.do?tilcod=2002222300440")</f>
        <v>https://opac.libnet.pref.okayama.jp/licsxp-opac/WOpacMsgNewListToTifTilDetailAction.do?tilcod=2002222300440</v>
      </c>
    </row>
    <row r="941" spans="1:9" x14ac:dyDescent="0.4">
      <c r="A941" t="str">
        <f>"岡山農林水産統計資料"</f>
        <v>岡山農林水産統計資料</v>
      </c>
      <c r="B941" s="1" t="str">
        <f t="shared" si="53"/>
        <v>岡山農林水産統計資料</v>
      </c>
      <c r="C941" t="str">
        <f>"オカヤマ　ノウリン　スイサン　トウケイ　シリョウ"</f>
        <v>オカヤマ　ノウリン　スイサン　トウケイ　シリョウ</v>
      </c>
      <c r="D941" t="str">
        <f>"岡山農林統計協会"</f>
        <v>岡山農林統計協会</v>
      </c>
      <c r="E941" t="str">
        <f>"オカヤマノウリントウケイキョウカイ"</f>
        <v>オカヤマノウリントウケイキョウカイ</v>
      </c>
      <c r="F941" t="str">
        <f>""</f>
        <v/>
      </c>
      <c r="G941" t="str">
        <f>"頻度不明"</f>
        <v>頻度不明</v>
      </c>
      <c r="H941" t="str">
        <f>"2002222288661"</f>
        <v>2002222288661</v>
      </c>
      <c r="I941" t="str">
        <f>HYPERLINK("#", "https://opac.libnet.pref.okayama.jp/licsxp-opac/WOpacMsgNewListToTifTilDetailAction.do?tilcod=2002222288661")</f>
        <v>https://opac.libnet.pref.okayama.jp/licsxp-opac/WOpacMsgNewListToTifTilDetailAction.do?tilcod=2002222288661</v>
      </c>
    </row>
    <row r="942" spans="1:9" x14ac:dyDescent="0.4">
      <c r="A942" t="str">
        <f>"岡山農林展望"</f>
        <v>岡山農林展望</v>
      </c>
      <c r="B942" s="1" t="str">
        <f t="shared" si="53"/>
        <v>岡山農林展望</v>
      </c>
      <c r="C942" t="str">
        <f>"オカヤマ　ノウリン　テンボウ"</f>
        <v>オカヤマ　ノウリン　テンボウ</v>
      </c>
      <c r="D942" t="str">
        <f>"岡山農林統計協会"</f>
        <v>岡山農林統計協会</v>
      </c>
      <c r="E942" t="str">
        <f>"オカヤマノウリントウケイキョウカイ"</f>
        <v>オカヤマノウリントウケイキョウカイ</v>
      </c>
      <c r="F942" t="str">
        <f>""</f>
        <v/>
      </c>
      <c r="G942" t="str">
        <f>"頻度不明"</f>
        <v>頻度不明</v>
      </c>
      <c r="H942" t="str">
        <f>"2002222288671"</f>
        <v>2002222288671</v>
      </c>
      <c r="I942" t="str">
        <f>HYPERLINK("#", "https://opac.libnet.pref.okayama.jp/licsxp-opac/WOpacMsgNewListToTifTilDetailAction.do?tilcod=2002222288671")</f>
        <v>https://opac.libnet.pref.okayama.jp/licsxp-opac/WOpacMsgNewListToTifTilDetailAction.do?tilcod=2002222288671</v>
      </c>
    </row>
    <row r="943" spans="1:9" x14ac:dyDescent="0.4">
      <c r="A943" t="str">
        <f>"おかやまハートフル通信"</f>
        <v>おかやまハートフル通信</v>
      </c>
      <c r="B943" s="1" t="str">
        <f t="shared" si="53"/>
        <v>おかやまハートフル通信</v>
      </c>
      <c r="C943" t="str">
        <f>"オカヤマ　ハートフル　ツウシン"</f>
        <v>オカヤマ　ハートフル　ツウシン</v>
      </c>
      <c r="D943" t="str">
        <f>"岡山県人権啓発マトリックス"</f>
        <v>岡山県人権啓発マトリックス</v>
      </c>
      <c r="E943" t="str">
        <f>"オカヤマケンジンケンケイハツマトリックス"</f>
        <v>オカヤマケンジンケンケイハツマトリックス</v>
      </c>
      <c r="F943" t="str">
        <f>"岡山"</f>
        <v>岡山</v>
      </c>
      <c r="G943" t="str">
        <f>"頻度不明"</f>
        <v>頻度不明</v>
      </c>
      <c r="H943" t="str">
        <f>"2002222301772"</f>
        <v>2002222301772</v>
      </c>
      <c r="I943" t="str">
        <f>HYPERLINK("#", "https://opac.libnet.pref.okayama.jp/licsxp-opac/WOpacMsgNewListToTifTilDetailAction.do?tilcod=2002222301772")</f>
        <v>https://opac.libnet.pref.okayama.jp/licsxp-opac/WOpacMsgNewListToTifTilDetailAction.do?tilcod=2002222301772</v>
      </c>
    </row>
    <row r="944" spans="1:9" x14ac:dyDescent="0.4">
      <c r="A944" t="str">
        <f>"岡山バイオ懇話会会報"</f>
        <v>岡山バイオ懇話会会報</v>
      </c>
      <c r="B944" s="1" t="str">
        <f t="shared" si="53"/>
        <v>岡山バイオ懇話会会報</v>
      </c>
      <c r="C944" t="str">
        <f>"オカヤマ　バイオ　コンワカイ　カイホウ"</f>
        <v>オカヤマ　バイオ　コンワカイ　カイホウ</v>
      </c>
      <c r="D944" t="str">
        <f>"岡山バイオ懇話会事務局"</f>
        <v>岡山バイオ懇話会事務局</v>
      </c>
      <c r="E944" t="str">
        <f>"オカヤマバイオコンワカイジムキョク"</f>
        <v>オカヤマバイオコンワカイジムキョク</v>
      </c>
      <c r="F944" t="str">
        <f>"岡山"</f>
        <v>岡山</v>
      </c>
      <c r="G944" t="str">
        <f>"隔月刊"</f>
        <v>隔月刊</v>
      </c>
      <c r="H944" t="str">
        <f>"2002222292211"</f>
        <v>2002222292211</v>
      </c>
      <c r="I944" t="str">
        <f>HYPERLINK("#", "https://opac.libnet.pref.okayama.jp/licsxp-opac/WOpacMsgNewListToTifTilDetailAction.do?tilcod=2002222292211")</f>
        <v>https://opac.libnet.pref.okayama.jp/licsxp-opac/WOpacMsgNewListToTifTilDetailAction.do?tilcod=2002222292211</v>
      </c>
    </row>
    <row r="945" spans="1:9" x14ac:dyDescent="0.4">
      <c r="A945" t="str">
        <f>"岡山博ニュース"</f>
        <v>岡山博ニュース</v>
      </c>
      <c r="B945" s="1" t="str">
        <f t="shared" si="53"/>
        <v>岡山博ニュース</v>
      </c>
      <c r="C945" t="str">
        <f>"オカヤマ　ハク　ニュース"</f>
        <v>オカヤマ　ハク　ニュース</v>
      </c>
      <c r="D945" t="str">
        <f>"岡山産業文化大博覧会事務局"</f>
        <v>岡山産業文化大博覧会事務局</v>
      </c>
      <c r="E945" t="str">
        <f>"オカヤマサンギョウブンカダイハクランカイジムキョク"</f>
        <v>オカヤマサンギョウブンカダイハクランカイジムキョク</v>
      </c>
      <c r="F945" t="str">
        <f>""</f>
        <v/>
      </c>
      <c r="G945" t="str">
        <f>"頻度不明"</f>
        <v>頻度不明</v>
      </c>
      <c r="H945" t="str">
        <f>"2002222288811"</f>
        <v>2002222288811</v>
      </c>
      <c r="I945" t="str">
        <f>HYPERLINK("#", "https://opac.libnet.pref.okayama.jp/licsxp-opac/WOpacMsgNewListToTifTilDetailAction.do?tilcod=2002222288811")</f>
        <v>https://opac.libnet.pref.okayama.jp/licsxp-opac/WOpacMsgNewListToTifTilDetailAction.do?tilcod=2002222288811</v>
      </c>
    </row>
    <row r="946" spans="1:9" x14ac:dyDescent="0.4">
      <c r="A946" t="str">
        <f>"[岡山白陵中学校岡山白陵高等学校]学校案内"</f>
        <v>[岡山白陵中学校岡山白陵高等学校]学校案内</v>
      </c>
      <c r="B946" s="1" t="str">
        <f t="shared" si="53"/>
        <v>[岡山白陵中学校岡山白陵高等学校]学校案内</v>
      </c>
      <c r="C946" t="str">
        <f>"オカヤマ　ハクリョウ　チュウガッコウ　オカヤマ　ハクリョウ　コウトウ　ガッコウ　ガッコウ　アンナイ"</f>
        <v>オカヤマ　ハクリョウ　チュウガッコウ　オカヤマ　ハクリョウ　コウトウ　ガッコウ　ガッコウ　アンナイ</v>
      </c>
      <c r="D946" t="str">
        <f>"岡山白陵中学校・岡山白陵高等学校"</f>
        <v>岡山白陵中学校・岡山白陵高等学校</v>
      </c>
      <c r="E946" t="str">
        <f>"オカヤマ ハクリョウ チュウガッコウ オカヤマ ハクリョウ コウトウ ガッコウ"</f>
        <v>オカヤマ ハクリョウ チュウガッコウ オカヤマ ハクリョウ コウトウ ガッコウ</v>
      </c>
      <c r="F946" t="str">
        <f>"赤磐"</f>
        <v>赤磐</v>
      </c>
      <c r="G946" t="str">
        <f>"年刊"</f>
        <v>年刊</v>
      </c>
      <c r="H946" t="str">
        <f>"2002222301213"</f>
        <v>2002222301213</v>
      </c>
      <c r="I946" t="str">
        <f>HYPERLINK("#", "https://opac.libnet.pref.okayama.jp/licsxp-opac/WOpacMsgNewListToTifTilDetailAction.do?tilcod=2002222301213")</f>
        <v>https://opac.libnet.pref.okayama.jp/licsxp-opac/WOpacMsgNewListToTifTilDetailAction.do?tilcod=2002222301213</v>
      </c>
    </row>
    <row r="947" spans="1:9" x14ac:dyDescent="0.4">
      <c r="A947" t="str">
        <f>"[岡山白陵中学校岡山白陵高等学校]学校要覧"</f>
        <v>[岡山白陵中学校岡山白陵高等学校]学校要覧</v>
      </c>
      <c r="B947" s="1" t="str">
        <f t="shared" si="53"/>
        <v>[岡山白陵中学校岡山白陵高等学校]学校要覧</v>
      </c>
      <c r="C947" t="str">
        <f>"オカヤマ　ハクリョウ　チュウガッコウ　オカヤマ　ハクリョウ　コウトウ　ガッコウ　ガッコウ　ヨウラン"</f>
        <v>オカヤマ　ハクリョウ　チュウガッコウ　オカヤマ　ハクリョウ　コウトウ　ガッコウ　ガッコウ　ヨウラン</v>
      </c>
      <c r="D947" t="str">
        <f>"岡山白陵中学校・岡山白陵高等学校"</f>
        <v>岡山白陵中学校・岡山白陵高等学校</v>
      </c>
      <c r="E947" t="str">
        <f>"オカヤマ ハクリョウ チュウガッコウ オカヤマ ハクリョウ コウトウ ガッコウ"</f>
        <v>オカヤマ ハクリョウ チュウガッコウ オカヤマ ハクリョウ コウトウ ガッコウ</v>
      </c>
      <c r="F947" t="str">
        <f>"熊山町（赤磐郡）"</f>
        <v>熊山町（赤磐郡）</v>
      </c>
      <c r="G947" t="str">
        <f>"年刊"</f>
        <v>年刊</v>
      </c>
      <c r="H947" t="str">
        <f>"2002222300582"</f>
        <v>2002222300582</v>
      </c>
      <c r="I947" t="str">
        <f>HYPERLINK("#", "https://opac.libnet.pref.okayama.jp/licsxp-opac/WOpacMsgNewListToTifTilDetailAction.do?tilcod=2002222300582")</f>
        <v>https://opac.libnet.pref.okayama.jp/licsxp-opac/WOpacMsgNewListToTifTilDetailAction.do?tilcod=2002222300582</v>
      </c>
    </row>
    <row r="948" spans="1:9" x14ac:dyDescent="0.4">
      <c r="A948" t="str">
        <f>"〔岡山白陵中学校・岡山白陵高等学校〕岡山白陵新聞"</f>
        <v>〔岡山白陵中学校・岡山白陵高等学校〕岡山白陵新聞</v>
      </c>
      <c r="B948" s="1" t="str">
        <f t="shared" si="53"/>
        <v>〔岡山白陵中学校・岡山白陵高等学校〕岡山白陵新聞</v>
      </c>
      <c r="C948" t="str">
        <f>"オカヤマ　ハクリョウ　チュウガッコウ　オカヤマ　ハクリョウ　コウトウ　ガッコウ＊オカヤマ　ハクリョウ　シンブン"</f>
        <v>オカヤマ　ハクリョウ　チュウガッコウ　オカヤマ　ハクリョウ　コウトウ　ガッコウ＊オカヤマ　ハクリョウ　シンブン</v>
      </c>
      <c r="D948" t="str">
        <f>"岡山白陵中学校・岡山白陵高等学校新聞部"</f>
        <v>岡山白陵中学校・岡山白陵高等学校新聞部</v>
      </c>
      <c r="E948" t="str">
        <f>"オカヤマハクリョウチュウガッコウオカヤマハクリョウコウトウガッコウシンブンブ"</f>
        <v>オカヤマハクリョウチュウガッコウオカヤマハクリョウコウトウガッコウシンブンブ</v>
      </c>
      <c r="F948" t="str">
        <f>"赤磐"</f>
        <v>赤磐</v>
      </c>
      <c r="G948" t="str">
        <f>"頻度不明"</f>
        <v>頻度不明</v>
      </c>
      <c r="H948" t="str">
        <f>"2002222301881"</f>
        <v>2002222301881</v>
      </c>
      <c r="I948" t="str">
        <f>HYPERLINK("#", "https://opac.libnet.pref.okayama.jp/licsxp-opac/WOpacMsgNewListToTifTilDetailAction.do?tilcod=2002222301881")</f>
        <v>https://opac.libnet.pref.okayama.jp/licsxp-opac/WOpacMsgNewListToTifTilDetailAction.do?tilcod=2002222301881</v>
      </c>
    </row>
    <row r="949" spans="1:9" x14ac:dyDescent="0.4">
      <c r="A949" t="str">
        <f>"〔岡山白陵中学校・岡山白陵高等学校〕雄飛"</f>
        <v>〔岡山白陵中学校・岡山白陵高等学校〕雄飛</v>
      </c>
      <c r="B949" s="1" t="str">
        <f t="shared" si="53"/>
        <v>〔岡山白陵中学校・岡山白陵高等学校〕雄飛</v>
      </c>
      <c r="C949" t="str">
        <f>"オカヤマ　ハクリョウ　チュウガッコウ　オカヤマ　ハクリョウ　コウトウ　ガッコウ＊ユウヒ"</f>
        <v>オカヤマ　ハクリョウ　チュウガッコウ　オカヤマ　ハクリョウ　コウトウ　ガッコウ＊ユウヒ</v>
      </c>
      <c r="D949" t="str">
        <f>"岡山白陵中学校・岡山白陵高等学校"</f>
        <v>岡山白陵中学校・岡山白陵高等学校</v>
      </c>
      <c r="E949" t="str">
        <f>"オカヤマ ハクリョウ チュウガッコウ オカヤマ ハクリョウ コウトウ ガッコウ"</f>
        <v>オカヤマ ハクリョウ チュウガッコウ オカヤマ ハクリョウ コウトウ ガッコウ</v>
      </c>
      <c r="F949" t="str">
        <f>"赤磐"</f>
        <v>赤磐</v>
      </c>
      <c r="G949" t="str">
        <f>"頻度不明"</f>
        <v>頻度不明</v>
      </c>
      <c r="H949" t="str">
        <f>"2002222301892"</f>
        <v>2002222301892</v>
      </c>
      <c r="I949" t="str">
        <f>HYPERLINK("#", "https://opac.libnet.pref.okayama.jp/licsxp-opac/WOpacMsgNewListToTifTilDetailAction.do?tilcod=2002222301892")</f>
        <v>https://opac.libnet.pref.okayama.jp/licsxp-opac/WOpacMsgNewListToTifTilDetailAction.do?tilcod=2002222301892</v>
      </c>
    </row>
    <row r="950" spans="1:9" x14ac:dyDescent="0.4">
      <c r="A950" t="str">
        <f>"おかやま晴れのち晴れ"</f>
        <v>おかやま晴れのち晴れ</v>
      </c>
      <c r="B950" s="1" t="str">
        <f t="shared" si="53"/>
        <v>おかやま晴れのち晴れ</v>
      </c>
      <c r="C950" t="str">
        <f>"オカヤマ　ハレ　ノチ　ハレ"</f>
        <v>オカヤマ　ハレ　ノチ　ハレ</v>
      </c>
      <c r="D950" t="str">
        <f>"アス"</f>
        <v>アス</v>
      </c>
      <c r="E950" t="str">
        <f>"アス"</f>
        <v>アス</v>
      </c>
      <c r="F950" t="str">
        <f>"岡山"</f>
        <v>岡山</v>
      </c>
      <c r="G950" t="str">
        <f>"頻度不明"</f>
        <v>頻度不明</v>
      </c>
      <c r="H950" t="str">
        <f>"2002222293911"</f>
        <v>2002222293911</v>
      </c>
      <c r="I950" t="str">
        <f>HYPERLINK("#", "https://opac.libnet.pref.okayama.jp/licsxp-opac/WOpacMsgNewListToTifTilDetailAction.do?tilcod=2002222293911")</f>
        <v>https://opac.libnet.pref.okayama.jp/licsxp-opac/WOpacMsgNewListToTifTilDetailAction.do?tilcod=2002222293911</v>
      </c>
    </row>
    <row r="951" spans="1:9" x14ac:dyDescent="0.4">
      <c r="A951" t="str">
        <f>"おかやまハローワークプラザ"</f>
        <v>おかやまハローワークプラザ</v>
      </c>
      <c r="B951" s="1" t="str">
        <f t="shared" si="53"/>
        <v>おかやまハローワークプラザ</v>
      </c>
      <c r="C951" t="str">
        <f>"オカヤマ　ハロー　ワーク　プラザ"</f>
        <v>オカヤマ　ハロー　ワーク　プラザ</v>
      </c>
      <c r="D951" t="str">
        <f>"岡山人材銀行・岡山パートバンク"</f>
        <v>岡山人材銀行・岡山パートバンク</v>
      </c>
      <c r="E951" t="str">
        <f>"オカヤマジンザイギンコウオカヤマパートバンク"</f>
        <v>オカヤマジンザイギンコウオカヤマパートバンク</v>
      </c>
      <c r="F951" t="str">
        <f>"岡山市"</f>
        <v>岡山市</v>
      </c>
      <c r="G951" t="str">
        <f>"年刊"</f>
        <v>年刊</v>
      </c>
      <c r="H951" t="str">
        <f>"2002222292221"</f>
        <v>2002222292221</v>
      </c>
      <c r="I951" t="str">
        <f>HYPERLINK("#", "https://opac.libnet.pref.okayama.jp/licsxp-opac/WOpacMsgNewListToTifTilDetailAction.do?tilcod=2002222292221")</f>
        <v>https://opac.libnet.pref.okayama.jp/licsxp-opac/WOpacMsgNewListToTifTilDetailAction.do?tilcod=2002222292221</v>
      </c>
    </row>
    <row r="952" spans="1:9" x14ac:dyDescent="0.4">
      <c r="A952" t="str">
        <f>"岡山東警察署セーフティ・ネット・メール"</f>
        <v>岡山東警察署セーフティ・ネット・メール</v>
      </c>
      <c r="B952" s="1" t="str">
        <f t="shared" si="53"/>
        <v>岡山東警察署セーフティ・ネット・メール</v>
      </c>
      <c r="C952" t="str">
        <f>"オカヤマ ヒガシ ケイサツショ セーフティ ネット メール"</f>
        <v>オカヤマ ヒガシ ケイサツショ セーフティ ネット メール</v>
      </c>
      <c r="D952" t="str">
        <f>"岡山東警察署"</f>
        <v>岡山東警察署</v>
      </c>
      <c r="E952" t="str">
        <f>"オカヤマ ヒガシ ケイサツショ"</f>
        <v>オカヤマ ヒガシ ケイサツショ</v>
      </c>
      <c r="F952" t="str">
        <f t="shared" ref="F952:F961" si="56">"岡山"</f>
        <v>岡山</v>
      </c>
      <c r="G952" t="str">
        <f>"頻度不明"</f>
        <v>頻度不明</v>
      </c>
      <c r="H952" t="str">
        <f>"2002222341931"</f>
        <v>2002222341931</v>
      </c>
      <c r="I952" t="str">
        <f>HYPERLINK("#", "https://opac.libnet.pref.okayama.jp/licsxp-opac/WOpacMsgNewListToTifTilDetailAction.do?tilcod=2002222341931")</f>
        <v>https://opac.libnet.pref.okayama.jp/licsxp-opac/WOpacMsgNewListToTifTilDetailAction.do?tilcod=2002222341931</v>
      </c>
    </row>
    <row r="953" spans="1:9" x14ac:dyDescent="0.4">
      <c r="A953" t="str">
        <f>"岡山東支援学校学校要覧"</f>
        <v>岡山東支援学校学校要覧</v>
      </c>
      <c r="B953" s="1" t="str">
        <f t="shared" si="53"/>
        <v>岡山東支援学校学校要覧</v>
      </c>
      <c r="C953" t="str">
        <f>"オカヤマ　ヒガシ　シエン　ガッコウ　ガッコウ　ヨウラン"</f>
        <v>オカヤマ　ヒガシ　シエン　ガッコウ　ガッコウ　ヨウラン</v>
      </c>
      <c r="D953" t="str">
        <f>"岡山東支援学校"</f>
        <v>岡山東支援学校</v>
      </c>
      <c r="E953" t="str">
        <f>"オカヤマ ヒガシ シエン ガッコウ"</f>
        <v>オカヤマ ヒガシ シエン ガッコウ</v>
      </c>
      <c r="F953" t="str">
        <f t="shared" si="56"/>
        <v>岡山</v>
      </c>
      <c r="G953" t="str">
        <f>"年刊"</f>
        <v>年刊</v>
      </c>
      <c r="H953" t="str">
        <f>"2002222302199"</f>
        <v>2002222302199</v>
      </c>
      <c r="I953" t="str">
        <f>HYPERLINK("#", "https://opac.libnet.pref.okayama.jp/licsxp-opac/WOpacMsgNewListToTifTilDetailAction.do?tilcod=2002222302199")</f>
        <v>https://opac.libnet.pref.okayama.jp/licsxp-opac/WOpacMsgNewListToTifTilDetailAction.do?tilcod=2002222302199</v>
      </c>
    </row>
    <row r="954" spans="1:9" x14ac:dyDescent="0.4">
      <c r="A954" t="str">
        <f>"岡山東商業高等学校学校案内"</f>
        <v>岡山東商業高等学校学校案内</v>
      </c>
      <c r="B954" s="1" t="str">
        <f t="shared" si="53"/>
        <v>岡山東商業高等学校学校案内</v>
      </c>
      <c r="C954" t="str">
        <f>"オカヤマ　ヒガシ　ショウギョウ　コウトウ　ガッコウ　ガッコウ　アンナイ"</f>
        <v>オカヤマ　ヒガシ　ショウギョウ　コウトウ　ガッコウ　ガッコウ　アンナイ</v>
      </c>
      <c r="D954" t="str">
        <f>"岡山東商業高等学校"</f>
        <v>岡山東商業高等学校</v>
      </c>
      <c r="E954" t="str">
        <f>"オカヤマ ヒガシ ショウギョウ コウトウ ガッコウ"</f>
        <v>オカヤマ ヒガシ ショウギョウ コウトウ ガッコウ</v>
      </c>
      <c r="F954" t="str">
        <f t="shared" si="56"/>
        <v>岡山</v>
      </c>
      <c r="G954" t="str">
        <f>"年刊"</f>
        <v>年刊</v>
      </c>
      <c r="H954" t="str">
        <f>"2002222301181"</f>
        <v>2002222301181</v>
      </c>
      <c r="I954" t="str">
        <f>HYPERLINK("#", "https://opac.libnet.pref.okayama.jp/licsxp-opac/WOpacMsgNewListToTifTilDetailAction.do?tilcod=2002222301181")</f>
        <v>https://opac.libnet.pref.okayama.jp/licsxp-opac/WOpacMsgNewListToTifTilDetailAction.do?tilcod=2002222301181</v>
      </c>
    </row>
    <row r="955" spans="1:9" x14ac:dyDescent="0.4">
      <c r="A955" t="str">
        <f>"岡山東商業高等学校学校要覧"</f>
        <v>岡山東商業高等学校学校要覧</v>
      </c>
      <c r="B955" s="1" t="str">
        <f t="shared" si="53"/>
        <v>岡山東商業高等学校学校要覧</v>
      </c>
      <c r="C955" t="str">
        <f>"オカヤマ　ヒガシ　ショウギョウ　コウトウ　ガッコウ　ガッコウ　ヨウラン"</f>
        <v>オカヤマ　ヒガシ　ショウギョウ　コウトウ　ガッコウ　ガッコウ　ヨウラン</v>
      </c>
      <c r="D955" t="str">
        <f>"岡山東商業高等学校"</f>
        <v>岡山東商業高等学校</v>
      </c>
      <c r="E955" t="str">
        <f>"オカヤマ ヒガシ ショウギョウ コウトウ ガッコウ"</f>
        <v>オカヤマ ヒガシ ショウギョウ コウトウ ガッコウ</v>
      </c>
      <c r="F955" t="str">
        <f t="shared" si="56"/>
        <v>岡山</v>
      </c>
      <c r="G955" t="str">
        <f>"年刊"</f>
        <v>年刊</v>
      </c>
      <c r="H955" t="str">
        <f>"2002222300492"</f>
        <v>2002222300492</v>
      </c>
      <c r="I955" t="str">
        <f>HYPERLINK("#", "https://opac.libnet.pref.okayama.jp/licsxp-opac/WOpacMsgNewListToTifTilDetailAction.do?tilcod=2002222300492")</f>
        <v>https://opac.libnet.pref.okayama.jp/licsxp-opac/WOpacMsgNewListToTifTilDetailAction.do?tilcod=2002222300492</v>
      </c>
    </row>
    <row r="956" spans="1:9" x14ac:dyDescent="0.4">
      <c r="A956" t="str">
        <f>"〔岡山東商業高等学校〕岡山東商新聞"</f>
        <v>〔岡山東商業高等学校〕岡山東商新聞</v>
      </c>
      <c r="B956" s="1" t="str">
        <f t="shared" si="53"/>
        <v>〔岡山東商業高等学校〕岡山東商新聞</v>
      </c>
      <c r="C956" t="str">
        <f>"オカヤマ　ヒガシ　ショウギョウ　コウトウ　ガッコウ＊オカヤマ　ヒガシショウ　シンブン"</f>
        <v>オカヤマ　ヒガシ　ショウギョウ　コウトウ　ガッコウ＊オカヤマ　ヒガシショウ　シンブン</v>
      </c>
      <c r="D956" t="str">
        <f>"岡山東商業高等学校新聞部"</f>
        <v>岡山東商業高等学校新聞部</v>
      </c>
      <c r="E956" t="str">
        <f>"オカヤマヒガシショウギョウコウトウガッコウシンブンブ"</f>
        <v>オカヤマヒガシショウギョウコウトウガッコウシンブンブ</v>
      </c>
      <c r="F956" t="str">
        <f t="shared" si="56"/>
        <v>岡山</v>
      </c>
      <c r="G956" t="str">
        <f>"不定期刊"</f>
        <v>不定期刊</v>
      </c>
      <c r="H956" t="str">
        <f>"2002222301848"</f>
        <v>2002222301848</v>
      </c>
      <c r="I956" t="str">
        <f>HYPERLINK("#", "https://opac.libnet.pref.okayama.jp/licsxp-opac/WOpacMsgNewListToTifTilDetailAction.do?tilcod=2002222301848")</f>
        <v>https://opac.libnet.pref.okayama.jp/licsxp-opac/WOpacMsgNewListToTifTilDetailAction.do?tilcod=2002222301848</v>
      </c>
    </row>
    <row r="957" spans="1:9" x14ac:dyDescent="0.4">
      <c r="A957" t="str">
        <f>"〔岡山東商業高等学校〕共感"</f>
        <v>〔岡山東商業高等学校〕共感</v>
      </c>
      <c r="B957" s="1" t="str">
        <f t="shared" si="53"/>
        <v>〔岡山東商業高等学校〕共感</v>
      </c>
      <c r="C957" t="str">
        <f>"オカヤマ　ヒガシ　ショウギョウ　コウトウ　ガッコウ＊キョウカン"</f>
        <v>オカヤマ　ヒガシ　ショウギョウ　コウトウ　ガッコウ＊キョウカン</v>
      </c>
      <c r="D957" t="str">
        <f>"岡山東商業高等学校教育相談室"</f>
        <v>岡山東商業高等学校教育相談室</v>
      </c>
      <c r="E957" t="str">
        <f>"オカヤマ　ヒガシ　ショウギョウ　コウトウ　ガッコウ　キョウイク　ソウダン　シツ"</f>
        <v>オカヤマ　ヒガシ　ショウギョウ　コウトウ　ガッコウ　キョウイク　ソウダン　シツ</v>
      </c>
      <c r="F957" t="str">
        <f t="shared" si="56"/>
        <v>岡山</v>
      </c>
      <c r="G957" t="str">
        <f>"年刊"</f>
        <v>年刊</v>
      </c>
      <c r="H957" t="str">
        <f>"2002222301934"</f>
        <v>2002222301934</v>
      </c>
      <c r="I957" t="str">
        <f>HYPERLINK("#", "https://opac.libnet.pref.okayama.jp/licsxp-opac/WOpacMsgNewListToTifTilDetailAction.do?tilcod=2002222301934")</f>
        <v>https://opac.libnet.pref.okayama.jp/licsxp-opac/WOpacMsgNewListToTifTilDetailAction.do?tilcod=2002222301934</v>
      </c>
    </row>
    <row r="958" spans="1:9" x14ac:dyDescent="0.4">
      <c r="A958" t="str">
        <f>"〔岡山東商業高等学校〕東流"</f>
        <v>〔岡山東商業高等学校〕東流</v>
      </c>
      <c r="B958" s="1" t="str">
        <f t="shared" si="53"/>
        <v>〔岡山東商業高等学校〕東流</v>
      </c>
      <c r="C958" t="str">
        <f>"オカヤマ　ヒガシ　ショウギョウ　コウトウ　ガッコウ＊トウリュウ"</f>
        <v>オカヤマ　ヒガシ　ショウギョウ　コウトウ　ガッコウ＊トウリュウ</v>
      </c>
      <c r="D958" t="str">
        <f>"岡山東商業高等学校"</f>
        <v>岡山東商業高等学校</v>
      </c>
      <c r="E958" t="str">
        <f>"オカヤマ ヒガシ ショウギョウ コウトウ ガッコウ"</f>
        <v>オカヤマ ヒガシ ショウギョウ コウトウ ガッコウ</v>
      </c>
      <c r="F958" t="str">
        <f t="shared" si="56"/>
        <v>岡山</v>
      </c>
      <c r="G958" t="str">
        <f>"年刊"</f>
        <v>年刊</v>
      </c>
      <c r="H958" t="str">
        <f>"2002222301801"</f>
        <v>2002222301801</v>
      </c>
      <c r="I958" t="str">
        <f>HYPERLINK("#", "https://opac.libnet.pref.okayama.jp/licsxp-opac/WOpacMsgNewListToTifTilDetailAction.do?tilcod=2002222301801")</f>
        <v>https://opac.libnet.pref.okayama.jp/licsxp-opac/WOpacMsgNewListToTifTilDetailAction.do?tilcod=2002222301801</v>
      </c>
    </row>
    <row r="959" spans="1:9" x14ac:dyDescent="0.4">
      <c r="A959" t="str">
        <f>"〔岡山東商業高等学校〕図書館報"</f>
        <v>〔岡山東商業高等学校〕図書館報</v>
      </c>
      <c r="B959" s="1" t="str">
        <f t="shared" si="53"/>
        <v>〔岡山東商業高等学校〕図書館報</v>
      </c>
      <c r="C959" t="str">
        <f>"オカヤマ　ヒガシ　ショウギョウ　コウトウ　ガッコウ＊トショカンポウ"</f>
        <v>オカヤマ　ヒガシ　ショウギョウ　コウトウ　ガッコウ＊トショカンポウ</v>
      </c>
      <c r="D959" t="str">
        <f>"岡山東商業高等学校図書館"</f>
        <v>岡山東商業高等学校図書館</v>
      </c>
      <c r="E959" t="str">
        <f>"オカヤマヒガシショウギョウコウウガッコウトショカン"</f>
        <v>オカヤマヒガシショウギョウコウウガッコウトショカン</v>
      </c>
      <c r="F959" t="str">
        <f t="shared" si="56"/>
        <v>岡山</v>
      </c>
      <c r="G959" t="str">
        <f>"年刊"</f>
        <v>年刊</v>
      </c>
      <c r="H959" t="str">
        <f>"2002222301939"</f>
        <v>2002222301939</v>
      </c>
      <c r="I959" t="str">
        <f>HYPERLINK("#", "https://opac.libnet.pref.okayama.jp/licsxp-opac/WOpacMsgNewListToTifTilDetailAction.do?tilcod=2002222301939")</f>
        <v>https://opac.libnet.pref.okayama.jp/licsxp-opac/WOpacMsgNewListToTifTilDetailAction.do?tilcod=2002222301939</v>
      </c>
    </row>
    <row r="960" spans="1:9" x14ac:dyDescent="0.4">
      <c r="A960" t="str">
        <f>"岡山東養護学校学校案内"</f>
        <v>岡山東養護学校学校案内</v>
      </c>
      <c r="B960" s="1" t="str">
        <f t="shared" si="53"/>
        <v>岡山東養護学校学校案内</v>
      </c>
      <c r="C960" t="str">
        <f>"オカヤマ ヒガシ ヨウゴ ガッコウ ガッコウ アンナイ"</f>
        <v>オカヤマ ヒガシ ヨウゴ ガッコウ ガッコウ アンナイ</v>
      </c>
      <c r="D960" t="str">
        <f>"岡山東養護学校"</f>
        <v>岡山東養護学校</v>
      </c>
      <c r="E960" t="str">
        <f>"オカヤマ ヒガシ ヨウゴ ガッコウ"</f>
        <v>オカヤマ ヒガシ ヨウゴ ガッコウ</v>
      </c>
      <c r="F960" t="str">
        <f t="shared" si="56"/>
        <v>岡山</v>
      </c>
      <c r="G960" t="str">
        <f>"年刊"</f>
        <v>年刊</v>
      </c>
      <c r="H960" t="str">
        <f>"2002222301222"</f>
        <v>2002222301222</v>
      </c>
      <c r="I960" t="str">
        <f>HYPERLINK("#", "https://opac.libnet.pref.okayama.jp/licsxp-opac/WOpacMsgNewListToTifTilDetailAction.do?tilcod=2002222301222")</f>
        <v>https://opac.libnet.pref.okayama.jp/licsxp-opac/WOpacMsgNewListToTifTilDetailAction.do?tilcod=2002222301222</v>
      </c>
    </row>
    <row r="961" spans="1:9" x14ac:dyDescent="0.4">
      <c r="A961" t="str">
        <f>"岡山東養護学校学校要覧"</f>
        <v>岡山東養護学校学校要覧</v>
      </c>
      <c r="B961" s="1" t="str">
        <f t="shared" si="53"/>
        <v>岡山東養護学校学校要覧</v>
      </c>
      <c r="C961" t="str">
        <f>"オカヤマ ヒガシ ヨウゴ ガッコウ ガッコウ ヨウラン"</f>
        <v>オカヤマ ヒガシ ヨウゴ ガッコウ ガッコウ ヨウラン</v>
      </c>
      <c r="D961" t="str">
        <f>"岡山東養護学校"</f>
        <v>岡山東養護学校</v>
      </c>
      <c r="E961" t="str">
        <f>"オカヤマ ヒガシ ヨウゴ ガッコウ"</f>
        <v>オカヤマ ヒガシ ヨウゴ ガッコウ</v>
      </c>
      <c r="F961" t="str">
        <f t="shared" si="56"/>
        <v>岡山</v>
      </c>
      <c r="G961" t="str">
        <f>"年刊"</f>
        <v>年刊</v>
      </c>
      <c r="H961" t="str">
        <f>"2002222300598"</f>
        <v>2002222300598</v>
      </c>
      <c r="I961" t="str">
        <f>HYPERLINK("#", "https://opac.libnet.pref.okayama.jp/licsxp-opac/WOpacMsgNewListToTifTilDetailAction.do?tilcod=2002222300598")</f>
        <v>https://opac.libnet.pref.okayama.jp/licsxp-opac/WOpacMsgNewListToTifTilDetailAction.do?tilcod=2002222300598</v>
      </c>
    </row>
    <row r="962" spans="1:9" x14ac:dyDescent="0.4">
      <c r="A962" t="str">
        <f>"岡山東ライオンズクラブ会報"</f>
        <v>岡山東ライオンズクラブ会報</v>
      </c>
      <c r="B962" s="1" t="str">
        <f t="shared" si="53"/>
        <v>岡山東ライオンズクラブ会報</v>
      </c>
      <c r="C962" t="str">
        <f>"オカヤマ　ヒガシ　ライオンズ　クラブ　カイホウ"</f>
        <v>オカヤマ　ヒガシ　ライオンズ　クラブ　カイホウ</v>
      </c>
      <c r="D962" t="str">
        <f>"岡山東ライオンズクラブ広報委員会"</f>
        <v>岡山東ライオンズクラブ広報委員会</v>
      </c>
      <c r="E962" t="str">
        <f>"オカヤマヒガシライオンズクラブコウホウイインカイ"</f>
        <v>オカヤマヒガシライオンズクラブコウホウイインカイ</v>
      </c>
      <c r="F962" t="str">
        <f>""</f>
        <v/>
      </c>
      <c r="G962" t="str">
        <f>"頻度不明"</f>
        <v>頻度不明</v>
      </c>
      <c r="H962" t="str">
        <f>"2002222288831"</f>
        <v>2002222288831</v>
      </c>
      <c r="I962" t="str">
        <f>HYPERLINK("#", "https://opac.libnet.pref.okayama.jp/licsxp-opac/WOpacMsgNewListToTifTilDetailAction.do?tilcod=2002222288831")</f>
        <v>https://opac.libnet.pref.okayama.jp/licsxp-opac/WOpacMsgNewListToTifTilDetailAction.do?tilcod=2002222288831</v>
      </c>
    </row>
    <row r="963" spans="1:9" x14ac:dyDescent="0.4">
      <c r="A963" t="str">
        <f>"〔岡山東商業高等学校〕きずな"</f>
        <v>〔岡山東商業高等学校〕きずな</v>
      </c>
      <c r="B963" s="1" t="str">
        <f t="shared" si="53"/>
        <v>〔岡山東商業高等学校〕きずな</v>
      </c>
      <c r="C963" t="str">
        <f>"オカヤマ ヒガシショウギョウ コウトウ ガッコウ キズナ"</f>
        <v>オカヤマ ヒガシショウギョウ コウトウ ガッコウ キズナ</v>
      </c>
      <c r="D963" t="str">
        <f>"岡山東商業高等学校PTA文化委員会"</f>
        <v>岡山東商業高等学校PTA文化委員会</v>
      </c>
      <c r="E963" t="str">
        <f>"オカヤマ ヒガシショウギョウ コウトウ ガッコウ ピー ティー エー ブンカ イインカイ"</f>
        <v>オカヤマ ヒガシショウギョウ コウトウ ガッコウ ピー ティー エー ブンカ イインカイ</v>
      </c>
      <c r="F963" t="str">
        <f>"岡山"</f>
        <v>岡山</v>
      </c>
      <c r="G963" t="str">
        <f>"年２回刊"</f>
        <v>年２回刊</v>
      </c>
      <c r="H963" t="str">
        <f>"2002222318306"</f>
        <v>2002222318306</v>
      </c>
      <c r="I963" t="str">
        <f>HYPERLINK("#", "https://opac.libnet.pref.okayama.jp/licsxp-opac/WOpacMsgNewListToTifTilDetailAction.do?tilcod=2002222318306")</f>
        <v>https://opac.libnet.pref.okayama.jp/licsxp-opac/WOpacMsgNewListToTifTilDetailAction.do?tilcod=2002222318306</v>
      </c>
    </row>
    <row r="964" spans="1:9" x14ac:dyDescent="0.4">
      <c r="A964" t="str">
        <f>"岡山美少女図鑑"</f>
        <v>岡山美少女図鑑</v>
      </c>
      <c r="B964" s="1" t="str">
        <f t="shared" ref="B964:B1027" si="57">HYPERLINK("#", A964)</f>
        <v>岡山美少女図鑑</v>
      </c>
      <c r="C964" t="str">
        <f>"オカヤマ　ビショウジョ　ズカン"</f>
        <v>オカヤマ　ビショウジョ　ズカン</v>
      </c>
      <c r="D964" t="str">
        <f>"ＣｒｏＣｏｍ"</f>
        <v>ＣｒｏＣｏｍ</v>
      </c>
      <c r="E964" t="str">
        <f>"クロコム"</f>
        <v>クロコム</v>
      </c>
      <c r="F964" t="str">
        <f>"岡山"</f>
        <v>岡山</v>
      </c>
      <c r="G964" t="str">
        <f>"年２回刊"</f>
        <v>年２回刊</v>
      </c>
      <c r="H964" t="str">
        <f>"2002222302057"</f>
        <v>2002222302057</v>
      </c>
      <c r="I964" t="str">
        <f>HYPERLINK("#", "https://opac.libnet.pref.okayama.jp/licsxp-opac/WOpacMsgNewListToTifTilDetailAction.do?tilcod=2002222302057")</f>
        <v>https://opac.libnet.pref.okayama.jp/licsxp-opac/WOpacMsgNewListToTifTilDetailAction.do?tilcod=2002222302057</v>
      </c>
    </row>
    <row r="965" spans="1:9" x14ac:dyDescent="0.4">
      <c r="A965" t="str">
        <f>"おかやま１００周年ニュース"</f>
        <v>おかやま１００周年ニュース</v>
      </c>
      <c r="B965" s="1" t="str">
        <f t="shared" si="57"/>
        <v>おかやま１００周年ニュース</v>
      </c>
      <c r="C965" t="str">
        <f>"オカヤマ　ヒヤク　シュウネン　ニュス"</f>
        <v>オカヤマ　ヒヤク　シュウネン　ニュス</v>
      </c>
      <c r="D965" t="str">
        <f>"おかやま１００周年記念協会"</f>
        <v>おかやま１００周年記念協会</v>
      </c>
      <c r="E965" t="str">
        <f>"オカヤマヒャクシュウネンキネンキョウカイ"</f>
        <v>オカヤマヒャクシュウネンキネンキョウカイ</v>
      </c>
      <c r="F965" t="str">
        <f>"岡山"</f>
        <v>岡山</v>
      </c>
      <c r="G965" t="str">
        <f>"不定期刊"</f>
        <v>不定期刊</v>
      </c>
      <c r="H965" t="str">
        <f>"2002222281421"</f>
        <v>2002222281421</v>
      </c>
      <c r="I965" t="str">
        <f>HYPERLINK("#", "https://opac.libnet.pref.okayama.jp/licsxp-opac/WOpacMsgNewListToTifTilDetailAction.do?tilcod=2002222281421")</f>
        <v>https://opac.libnet.pref.okayama.jp/licsxp-opac/WOpacMsgNewListToTifTilDetailAction.do?tilcod=2002222281421</v>
      </c>
    </row>
    <row r="966" spans="1:9" x14ac:dyDescent="0.4">
      <c r="A966" t="str">
        <f>"おかやま百てん"</f>
        <v>おかやま百てん</v>
      </c>
      <c r="B966" s="1" t="str">
        <f t="shared" si="57"/>
        <v>おかやま百てん</v>
      </c>
      <c r="C966" t="str">
        <f>"オカヤマ　ヒャクテン"</f>
        <v>オカヤマ　ヒャクテン</v>
      </c>
      <c r="D966" t="str">
        <f>"岡山百店会"</f>
        <v>岡山百店会</v>
      </c>
      <c r="E966" t="str">
        <f>"オカヤマヒャクテンカイ"</f>
        <v>オカヤマヒャクテンカイ</v>
      </c>
      <c r="F966" t="str">
        <f>"岡山"</f>
        <v>岡山</v>
      </c>
      <c r="G966" t="str">
        <f>"季刊"</f>
        <v>季刊</v>
      </c>
      <c r="H966" t="str">
        <f>"2002222291181"</f>
        <v>2002222291181</v>
      </c>
      <c r="I966" t="str">
        <f>HYPERLINK("#", "https://opac.libnet.pref.okayama.jp/licsxp-opac/WOpacMsgNewListToTifTilDetailAction.do?tilcod=2002222291181")</f>
        <v>https://opac.libnet.pref.okayama.jp/licsxp-opac/WOpacMsgNewListToTifTilDetailAction.do?tilcod=2002222291181</v>
      </c>
    </row>
    <row r="967" spans="1:9" x14ac:dyDescent="0.4">
      <c r="A967" t="str">
        <f>"岡山ヒューマンスポーツクラブ"</f>
        <v>岡山ヒューマンスポーツクラブ</v>
      </c>
      <c r="B967" s="1" t="str">
        <f t="shared" si="57"/>
        <v>岡山ヒューマンスポーツクラブ</v>
      </c>
      <c r="C967" t="str">
        <f>"オカヤマ　ヒューマン　スポーツ　クラブ"</f>
        <v>オカヤマ　ヒューマン　スポーツ　クラブ</v>
      </c>
      <c r="D967" t="str">
        <f>"岡山ヒューマンスポーツクラブ"</f>
        <v>岡山ヒューマンスポーツクラブ</v>
      </c>
      <c r="E967" t="str">
        <f>"オカヤマヒューマンスポーツクラブ"</f>
        <v>オカヤマヒューマンスポーツクラブ</v>
      </c>
      <c r="F967" t="str">
        <f>"岡山"</f>
        <v>岡山</v>
      </c>
      <c r="G967" t="str">
        <f>"隔月刊"</f>
        <v>隔月刊</v>
      </c>
      <c r="H967" t="str">
        <f>"2002222300411"</f>
        <v>2002222300411</v>
      </c>
      <c r="I967" t="str">
        <f>HYPERLINK("#", "https://opac.libnet.pref.okayama.jp/licsxp-opac/WOpacMsgNewListToTifTilDetailAction.do?tilcod=2002222300411")</f>
        <v>https://opac.libnet.pref.okayama.jp/licsxp-opac/WOpacMsgNewListToTifTilDetailAction.do?tilcod=2002222300411</v>
      </c>
    </row>
    <row r="968" spans="1:9" x14ac:dyDescent="0.4">
      <c r="A968" t="str">
        <f>"おかやま・ひろしまもうひとつの情報誌"</f>
        <v>おかやま・ひろしまもうひとつの情報誌</v>
      </c>
      <c r="B968" s="1" t="str">
        <f t="shared" si="57"/>
        <v>おかやま・ひろしまもうひとつの情報誌</v>
      </c>
      <c r="C968" t="str">
        <f>"オカヤマ　ヒロシマ　モウ　ヒトツ　ノ　ジョウホウシ"</f>
        <v>オカヤマ　ヒロシマ　モウ　ヒトツ　ノ　ジョウホウシ</v>
      </c>
      <c r="D968" t="str">
        <f>"おかやま・ひろしま「もうひとつの情報誌」編集部"</f>
        <v>おかやま・ひろしま「もうひとつの情報誌」編集部</v>
      </c>
      <c r="E968" t="str">
        <f>"オカヤマヒロシマモウヒトツノジョウホウシヘンシュウブ"</f>
        <v>オカヤマヒロシマモウヒトツノジョウホウシヘンシュウブ</v>
      </c>
      <c r="F968" t="str">
        <f>""</f>
        <v/>
      </c>
      <c r="G968" t="str">
        <f>"その他"</f>
        <v>その他</v>
      </c>
      <c r="H968" t="str">
        <f>"2002222288841"</f>
        <v>2002222288841</v>
      </c>
      <c r="I968" t="str">
        <f>HYPERLINK("#", "https://opac.libnet.pref.okayama.jp/licsxp-opac/WOpacMsgNewListToTifTilDetailAction.do?tilcod=2002222288841")</f>
        <v>https://opac.libnet.pref.okayama.jp/licsxp-opac/WOpacMsgNewListToTifTilDetailAction.do?tilcod=2002222288841</v>
      </c>
    </row>
    <row r="969" spans="1:9" x14ac:dyDescent="0.4">
      <c r="A969" t="str">
        <f>"〔おかやまファーマーズマーケットファンクラブ通信〕ひだまり倶楽部"</f>
        <v>〔おかやまファーマーズマーケットファンクラブ通信〕ひだまり倶楽部</v>
      </c>
      <c r="B969" s="1" t="str">
        <f t="shared" si="57"/>
        <v>〔おかやまファーマーズマーケットファンクラブ通信〕ひだまり倶楽部</v>
      </c>
      <c r="C969" t="str">
        <f>"オカヤマ　ファーマーズ　マーケット　ファン　クラブ　ツウシン　ヒダマリ　クラブ"</f>
        <v>オカヤマ　ファーマーズ　マーケット　ファン　クラブ　ツウシン　ヒダマリ　クラブ</v>
      </c>
      <c r="D969" t="str">
        <f>"おかやまファーマーズマーケット管理運営財団"</f>
        <v>おかやまファーマーズマーケット管理運営財団</v>
      </c>
      <c r="E969" t="str">
        <f>"オカヤマファーマーズマーケットカンリウンエイザイダン"</f>
        <v>オカヤマファーマーズマーケットカンリウンエイザイダン</v>
      </c>
      <c r="F969" t="str">
        <f>"灘崎町（都窪郡）"</f>
        <v>灘崎町（都窪郡）</v>
      </c>
      <c r="G969" t="str">
        <f>"頻度不明"</f>
        <v>頻度不明</v>
      </c>
      <c r="H969" t="str">
        <f>"2002222282111"</f>
        <v>2002222282111</v>
      </c>
      <c r="I969" t="str">
        <f>HYPERLINK("#", "https://opac.libnet.pref.okayama.jp/licsxp-opac/WOpacMsgNewListToTifTilDetailAction.do?tilcod=2002222282111")</f>
        <v>https://opac.libnet.pref.okayama.jp/licsxp-opac/WOpacMsgNewListToTifTilDetailAction.do?tilcod=2002222282111</v>
      </c>
    </row>
    <row r="970" spans="1:9" x14ac:dyDescent="0.4">
      <c r="A970" t="str">
        <f>"おかやまファミリー・サポート・センターだより"</f>
        <v>おかやまファミリー・サポート・センターだより</v>
      </c>
      <c r="B970" s="1" t="str">
        <f t="shared" si="57"/>
        <v>おかやまファミリー・サポート・センターだより</v>
      </c>
      <c r="C970" t="str">
        <f>"オカヤマ　ファミリー　サポート　センター　ダヨリ"</f>
        <v>オカヤマ　ファミリー　サポート　センター　ダヨリ</v>
      </c>
      <c r="D970" t="str">
        <f>"岡山ファミリー・サポート・センター"</f>
        <v>岡山ファミリー・サポート・センター</v>
      </c>
      <c r="E970" t="str">
        <f>"オカヤマファミリーサポートセンター"</f>
        <v>オカヤマファミリーサポートセンター</v>
      </c>
      <c r="F970" t="str">
        <f>"岡山"</f>
        <v>岡山</v>
      </c>
      <c r="G970" t="str">
        <f>"年刊"</f>
        <v>年刊</v>
      </c>
      <c r="H970" t="str">
        <f>"2002222302313"</f>
        <v>2002222302313</v>
      </c>
      <c r="I970" t="str">
        <f>HYPERLINK("#", "https://opac.libnet.pref.okayama.jp/licsxp-opac/WOpacMsgNewListToTifTilDetailAction.do?tilcod=2002222302313")</f>
        <v>https://opac.libnet.pref.okayama.jp/licsxp-opac/WOpacMsgNewListToTifTilDetailAction.do?tilcod=2002222302313</v>
      </c>
    </row>
    <row r="971" spans="1:9" x14ac:dyDescent="0.4">
      <c r="A971" t="str">
        <f>"おかやまフェア　花緑通信；第２６回全国都市緑化おかやまフェア　ニュースレター"</f>
        <v>おかやまフェア　花緑通信；第２６回全国都市緑化おかやまフェア　ニュースレター</v>
      </c>
      <c r="B971" s="1" t="str">
        <f t="shared" si="57"/>
        <v>おかやまフェア　花緑通信；第２６回全国都市緑化おかやまフェア　ニュースレター</v>
      </c>
      <c r="C971" t="str">
        <f>"オカヤマ　フェア　ハナミドリ　ツウシン＊ダイニジュウロッカイ　ゼンコク　トシ　リョッカ　オカヤマ　フェア　ニュース　レター"</f>
        <v>オカヤマ　フェア　ハナミドリ　ツウシン＊ダイニジュウロッカイ　ゼンコク　トシ　リョッカ　オカヤマ　フェア　ニュース　レター</v>
      </c>
      <c r="D971" t="str">
        <f>"第２６回全国都市緑化おかやまフェア実行委員会事務局"</f>
        <v>第２６回全国都市緑化おかやまフェア実行委員会事務局</v>
      </c>
      <c r="E971" t="str">
        <f>"ダイニジュウロッカイゼンコクトシリョッカオカヤマフェアジッコウイインカイジムキョク"</f>
        <v>ダイニジュウロッカイゼンコクトシリョッカオカヤマフェアジッコウイインカイジムキョク</v>
      </c>
      <c r="F971" t="str">
        <f>"岡山"</f>
        <v>岡山</v>
      </c>
      <c r="G971" t="str">
        <f>"季刊"</f>
        <v>季刊</v>
      </c>
      <c r="H971" t="str">
        <f>"2002222302032"</f>
        <v>2002222302032</v>
      </c>
      <c r="I971" t="str">
        <f>HYPERLINK("#", "https://opac.libnet.pref.okayama.jp/licsxp-opac/WOpacMsgNewListToTifTilDetailAction.do?tilcod=2002222302032")</f>
        <v>https://opac.libnet.pref.okayama.jp/licsxp-opac/WOpacMsgNewListToTifTilDetailAction.do?tilcod=2002222302032</v>
      </c>
    </row>
    <row r="972" spans="1:9" x14ac:dyDescent="0.4">
      <c r="A972" t="str">
        <f>"〔岡山普及パソコン研究会〕会報"</f>
        <v>〔岡山普及パソコン研究会〕会報</v>
      </c>
      <c r="B972" s="1" t="str">
        <f t="shared" si="57"/>
        <v>〔岡山普及パソコン研究会〕会報</v>
      </c>
      <c r="C972" t="str">
        <f>"オカヤマ　フキュウ　パソコン　ケンキュウカイ　カイホウ"</f>
        <v>オカヤマ　フキュウ　パソコン　ケンキュウカイ　カイホウ</v>
      </c>
      <c r="D972" t="str">
        <f>"岡山普及パソコン研究会"</f>
        <v>岡山普及パソコン研究会</v>
      </c>
      <c r="E972" t="str">
        <f>"オカヤマフキュウパソコンケンキュウカイ"</f>
        <v>オカヤマフキュウパソコンケンキュウカイ</v>
      </c>
      <c r="F972" t="str">
        <f>"〔岡山〕"</f>
        <v>〔岡山〕</v>
      </c>
      <c r="G972" t="str">
        <f>"頻度不明"</f>
        <v>頻度不明</v>
      </c>
      <c r="H972" t="str">
        <f>"2002222301095"</f>
        <v>2002222301095</v>
      </c>
      <c r="I972" t="str">
        <f>HYPERLINK("#", "https://opac.libnet.pref.okayama.jp/licsxp-opac/WOpacMsgNewListToTifTilDetailAction.do?tilcod=2002222301095")</f>
        <v>https://opac.libnet.pref.okayama.jp/licsxp-opac/WOpacMsgNewListToTifTilDetailAction.do?tilcod=2002222301095</v>
      </c>
    </row>
    <row r="973" spans="1:9" x14ac:dyDescent="0.4">
      <c r="A973" t="str">
        <f>"おかやま婦人ニュース;WOMAN BIWEEKLY"</f>
        <v>おかやま婦人ニュース;WOMAN BIWEEKLY</v>
      </c>
      <c r="B973" s="1" t="str">
        <f t="shared" si="57"/>
        <v>おかやま婦人ニュース;WOMAN BIWEEKLY</v>
      </c>
      <c r="C973" t="str">
        <f>"オカヤマ　フジン　ニュース*ウーマン バイウイークリー"</f>
        <v>オカヤマ　フジン　ニュース*ウーマン バイウイークリー</v>
      </c>
      <c r="D973" t="str">
        <f>"おかやま婦人ニュース"</f>
        <v>おかやま婦人ニュース</v>
      </c>
      <c r="E973" t="str">
        <f>"オカヤマフジンニュース"</f>
        <v>オカヤマフジンニュース</v>
      </c>
      <c r="F973" t="str">
        <f>"岡山"</f>
        <v>岡山</v>
      </c>
      <c r="G973" t="str">
        <f>"隔週刊"</f>
        <v>隔週刊</v>
      </c>
      <c r="H973" t="str">
        <f>"2002222301953"</f>
        <v>2002222301953</v>
      </c>
      <c r="I973" t="str">
        <f>HYPERLINK("#", "https://opac.libnet.pref.okayama.jp/licsxp-opac/WOpacMsgNewListToTifTilDetailAction.do?tilcod=2002222301953")</f>
        <v>https://opac.libnet.pref.okayama.jp/licsxp-opac/WOpacMsgNewListToTifTilDetailAction.do?tilcod=2002222301953</v>
      </c>
    </row>
    <row r="974" spans="1:9" x14ac:dyDescent="0.4">
      <c r="A974" t="str">
        <f>"岡山武道館新聞"</f>
        <v>岡山武道館新聞</v>
      </c>
      <c r="B974" s="1" t="str">
        <f t="shared" si="57"/>
        <v>岡山武道館新聞</v>
      </c>
      <c r="C974" t="str">
        <f>"オカヤマ　ブドウカン　シンブン"</f>
        <v>オカヤマ　ブドウカン　シンブン</v>
      </c>
      <c r="D974" t="str">
        <f>"岡山武道館"</f>
        <v>岡山武道館</v>
      </c>
      <c r="E974" t="str">
        <f>"オカヤマブドウカン"</f>
        <v>オカヤマブドウカン</v>
      </c>
      <c r="F974" t="str">
        <f>"岡山"</f>
        <v>岡山</v>
      </c>
      <c r="G974" t="str">
        <f>"年刊"</f>
        <v>年刊</v>
      </c>
      <c r="H974" t="str">
        <f>"2002222300847"</f>
        <v>2002222300847</v>
      </c>
      <c r="I974" t="str">
        <f>HYPERLINK("#", "https://opac.libnet.pref.okayama.jp/licsxp-opac/WOpacMsgNewListToTifTilDetailAction.do?tilcod=2002222300847")</f>
        <v>https://opac.libnet.pref.okayama.jp/licsxp-opac/WOpacMsgNewListToTifTilDetailAction.do?tilcod=2002222300847</v>
      </c>
    </row>
    <row r="975" spans="1:9" x14ac:dyDescent="0.4">
      <c r="A975" t="str">
        <f>"岡山部落解放研究所紀要"</f>
        <v>岡山部落解放研究所紀要</v>
      </c>
      <c r="B975" s="1" t="str">
        <f t="shared" si="57"/>
        <v>岡山部落解放研究所紀要</v>
      </c>
      <c r="C975" t="str">
        <f>"オカヤマ　ブラク　カイホウ　ケンキュウショ　キヨウ"</f>
        <v>オカヤマ　ブラク　カイホウ　ケンキュウショ　キヨウ</v>
      </c>
      <c r="D975" t="str">
        <f>"岡山部落解放研究所"</f>
        <v>岡山部落解放研究所</v>
      </c>
      <c r="E975" t="str">
        <f>"オカヤマ ブラク カイホウ ケンキュウジョ"</f>
        <v>オカヤマ ブラク カイホウ ケンキュウジョ</v>
      </c>
      <c r="F975" t="str">
        <f>"岡山市"</f>
        <v>岡山市</v>
      </c>
      <c r="G975" t="str">
        <f>"年刊"</f>
        <v>年刊</v>
      </c>
      <c r="H975" t="str">
        <f>"2002222294861"</f>
        <v>2002222294861</v>
      </c>
      <c r="I975" t="str">
        <f>HYPERLINK("#", "https://opac.libnet.pref.okayama.jp/licsxp-opac/WOpacMsgNewListToTifTilDetailAction.do?tilcod=2002222294861")</f>
        <v>https://opac.libnet.pref.okayama.jp/licsxp-opac/WOpacMsgNewListToTifTilDetailAction.do?tilcod=2002222294861</v>
      </c>
    </row>
    <row r="976" spans="1:9" x14ac:dyDescent="0.4">
      <c r="A976" t="str">
        <f>"岡山部落解放研究所報"</f>
        <v>岡山部落解放研究所報</v>
      </c>
      <c r="B976" s="1" t="str">
        <f t="shared" si="57"/>
        <v>岡山部落解放研究所報</v>
      </c>
      <c r="C976" t="str">
        <f>"オカヤマ　ブラク　カイホウ　ケンキュウショホウ"</f>
        <v>オカヤマ　ブラク　カイホウ　ケンキュウショホウ</v>
      </c>
      <c r="D976" t="str">
        <f>"岡山部落解放研究所"</f>
        <v>岡山部落解放研究所</v>
      </c>
      <c r="E976" t="str">
        <f>"オカヤマ ブラク カイホウ ケンキュウジョ"</f>
        <v>オカヤマ ブラク カイホウ ケンキュウジョ</v>
      </c>
      <c r="F976" t="str">
        <f>"岡山"</f>
        <v>岡山</v>
      </c>
      <c r="G976" t="str">
        <f>"月刊"</f>
        <v>月刊</v>
      </c>
      <c r="H976" t="str">
        <f>"2002222291191"</f>
        <v>2002222291191</v>
      </c>
      <c r="I976" t="str">
        <f>HYPERLINK("#", "https://opac.libnet.pref.okayama.jp/licsxp-opac/WOpacMsgNewListToTifTilDetailAction.do?tilcod=2002222291191")</f>
        <v>https://opac.libnet.pref.okayama.jp/licsxp-opac/WOpacMsgNewListToTifTilDetailAction.do?tilcod=2002222291191</v>
      </c>
    </row>
    <row r="977" spans="1:9" x14ac:dyDescent="0.4">
      <c r="A977" t="str">
        <f>"岡山文化"</f>
        <v>岡山文化</v>
      </c>
      <c r="B977" s="1" t="str">
        <f t="shared" si="57"/>
        <v>岡山文化</v>
      </c>
      <c r="C977" t="str">
        <f>"オカヤマ　ブンカ"</f>
        <v>オカヤマ　ブンカ</v>
      </c>
      <c r="D977" t="str">
        <f>"玉野民報社"</f>
        <v>玉野民報社</v>
      </c>
      <c r="E977" t="str">
        <f>"タマノ ミンポウシャ"</f>
        <v>タマノ ミンポウシャ</v>
      </c>
      <c r="F977" t="str">
        <f>""</f>
        <v/>
      </c>
      <c r="G977" t="str">
        <f>"頻度不明"</f>
        <v>頻度不明</v>
      </c>
      <c r="H977" t="str">
        <f>"2002222288861"</f>
        <v>2002222288861</v>
      </c>
      <c r="I977" t="str">
        <f>HYPERLINK("#", "https://opac.libnet.pref.okayama.jp/licsxp-opac/WOpacMsgNewListToTifTilDetailAction.do?tilcod=2002222288861")</f>
        <v>https://opac.libnet.pref.okayama.jp/licsxp-opac/WOpacMsgNewListToTifTilDetailAction.do?tilcod=2002222288861</v>
      </c>
    </row>
    <row r="978" spans="1:9" x14ac:dyDescent="0.4">
      <c r="A978" t="str">
        <f>"岡山文化資料"</f>
        <v>岡山文化資料</v>
      </c>
      <c r="B978" s="1" t="str">
        <f t="shared" si="57"/>
        <v>岡山文化資料</v>
      </c>
      <c r="C978" t="str">
        <f>"オカヤマ　ブンカ　シリョウ"</f>
        <v>オカヤマ　ブンカ　シリョウ</v>
      </c>
      <c r="D978" t="str">
        <f>"文献研究会"</f>
        <v>文献研究会</v>
      </c>
      <c r="E978" t="str">
        <f>"ブンケン ケンキュウカイ"</f>
        <v>ブンケン ケンキュウカイ</v>
      </c>
      <c r="F978" t="str">
        <f>""</f>
        <v/>
      </c>
      <c r="G978" t="str">
        <f>"頻度不明"</f>
        <v>頻度不明</v>
      </c>
      <c r="H978" t="str">
        <f>"2002222288881"</f>
        <v>2002222288881</v>
      </c>
      <c r="I978" t="str">
        <f>HYPERLINK("#", "https://opac.libnet.pref.okayama.jp/licsxp-opac/WOpacMsgNewListToTifTilDetailAction.do?tilcod=2002222288881")</f>
        <v>https://opac.libnet.pref.okayama.jp/licsxp-opac/WOpacMsgNewListToTifTilDetailAction.do?tilcod=2002222288881</v>
      </c>
    </row>
    <row r="979" spans="1:9" x14ac:dyDescent="0.4">
      <c r="A979" t="str">
        <f>"岡山文学"</f>
        <v>岡山文学</v>
      </c>
      <c r="B979" s="1" t="str">
        <f t="shared" si="57"/>
        <v>岡山文学</v>
      </c>
      <c r="C979" t="str">
        <f>"オカヤマ　ブンガク"</f>
        <v>オカヤマ　ブンガク</v>
      </c>
      <c r="D979" t="str">
        <f>"岡山文学会"</f>
        <v>岡山文学会</v>
      </c>
      <c r="E979" t="str">
        <f>"オカヤマブンガクカイ"</f>
        <v>オカヤマブンガクカイ</v>
      </c>
      <c r="F979" t="str">
        <f>"岡山"</f>
        <v>岡山</v>
      </c>
      <c r="G979" t="str">
        <f>"隔月刊"</f>
        <v>隔月刊</v>
      </c>
      <c r="H979" t="str">
        <f>"2002222301410"</f>
        <v>2002222301410</v>
      </c>
      <c r="I979" t="str">
        <f>HYPERLINK("#", "https://opac.libnet.pref.okayama.jp/licsxp-opac/WOpacMsgNewListToTifTilDetailAction.do?tilcod=2002222301410")</f>
        <v>https://opac.libnet.pref.okayama.jp/licsxp-opac/WOpacMsgNewListToTifTilDetailAction.do?tilcod=2002222301410</v>
      </c>
    </row>
    <row r="980" spans="1:9" x14ac:dyDescent="0.4">
      <c r="A980" t="str">
        <f>"岡山文学"</f>
        <v>岡山文学</v>
      </c>
      <c r="B980" s="1" t="str">
        <f t="shared" si="57"/>
        <v>岡山文学</v>
      </c>
      <c r="C980" t="str">
        <f>"オカヤマ　ブンガク"</f>
        <v>オカヤマ　ブンガク</v>
      </c>
      <c r="D980" t="str">
        <f>"岡山大学文芸部"</f>
        <v>岡山大学文芸部</v>
      </c>
      <c r="E980" t="str">
        <f>"オカヤマダイガクブンゲイブ"</f>
        <v>オカヤマダイガクブンゲイブ</v>
      </c>
      <c r="F980" t="str">
        <f>"岡山"</f>
        <v>岡山</v>
      </c>
      <c r="G980" t="str">
        <f>"頻度不明"</f>
        <v>頻度不明</v>
      </c>
      <c r="H980" t="str">
        <f>"2002222288891"</f>
        <v>2002222288891</v>
      </c>
      <c r="I980" t="str">
        <f>HYPERLINK("#", "https://opac.libnet.pref.okayama.jp/licsxp-opac/WOpacMsgNewListToTifTilDetailAction.do?tilcod=2002222288891")</f>
        <v>https://opac.libnet.pref.okayama.jp/licsxp-opac/WOpacMsgNewListToTifTilDetailAction.do?tilcod=2002222288891</v>
      </c>
    </row>
    <row r="981" spans="1:9" x14ac:dyDescent="0.4">
      <c r="A981" t="str">
        <f>"岡山文化財研究会会報"</f>
        <v>岡山文化財研究会会報</v>
      </c>
      <c r="B981" s="1" t="str">
        <f t="shared" si="57"/>
        <v>岡山文化財研究会会報</v>
      </c>
      <c r="C981" t="str">
        <f>"オカヤマ ブンカザイ ケンキュウカイ カイホウ"</f>
        <v>オカヤマ ブンカザイ ケンキュウカイ カイホウ</v>
      </c>
      <c r="D981" t="str">
        <f>"[岡山文化財研究会]"</f>
        <v>[岡山文化財研究会]</v>
      </c>
      <c r="E981" t="str">
        <f>"オカヤマ ブンカザイ ケンキュウカイ"</f>
        <v>オカヤマ ブンカザイ ケンキュウカイ</v>
      </c>
      <c r="F981" t="str">
        <f>"[岡山]"</f>
        <v>[岡山]</v>
      </c>
      <c r="G981" t="str">
        <f>"頻度不明"</f>
        <v>頻度不明</v>
      </c>
      <c r="H981" t="str">
        <f>"2002222334072"</f>
        <v>2002222334072</v>
      </c>
      <c r="I981" t="str">
        <f>HYPERLINK("#", "https://opac.libnet.pref.okayama.jp/licsxp-opac/WOpacMsgNewListToTifTilDetailAction.do?tilcod=2002222334072")</f>
        <v>https://opac.libnet.pref.okayama.jp/licsxp-opac/WOpacMsgNewListToTifTilDetailAction.do?tilcod=2002222334072</v>
      </c>
    </row>
    <row r="982" spans="1:9" x14ac:dyDescent="0.4">
      <c r="A982" t="str">
        <f>"岡山文化誌"</f>
        <v>岡山文化誌</v>
      </c>
      <c r="B982" s="1" t="str">
        <f t="shared" si="57"/>
        <v>岡山文化誌</v>
      </c>
      <c r="C982" t="str">
        <f>"オカヤマ　ブンカシ"</f>
        <v>オカヤマ　ブンカシ</v>
      </c>
      <c r="D982" t="str">
        <f>"岡山文化誌社"</f>
        <v>岡山文化誌社</v>
      </c>
      <c r="E982" t="str">
        <f>"オカヤマブンカシシャ"</f>
        <v>オカヤマブンカシシャ</v>
      </c>
      <c r="F982" t="str">
        <f>""</f>
        <v/>
      </c>
      <c r="G982" t="str">
        <f>"頻度不明"</f>
        <v>頻度不明</v>
      </c>
      <c r="H982" t="str">
        <f>"2002222288871"</f>
        <v>2002222288871</v>
      </c>
      <c r="I982" t="str">
        <f>HYPERLINK("#", "https://opac.libnet.pref.okayama.jp/licsxp-opac/WOpacMsgNewListToTifTilDetailAction.do?tilcod=2002222288871")</f>
        <v>https://opac.libnet.pref.okayama.jp/licsxp-opac/WOpacMsgNewListToTifTilDetailAction.do?tilcod=2002222288871</v>
      </c>
    </row>
    <row r="983" spans="1:9" x14ac:dyDescent="0.4">
      <c r="A983" t="str">
        <f>"岡山文芸"</f>
        <v>岡山文芸</v>
      </c>
      <c r="B983" s="1" t="str">
        <f t="shared" si="57"/>
        <v>岡山文芸</v>
      </c>
      <c r="C983" t="str">
        <f>"オカヤマ　ブンゲイ"</f>
        <v>オカヤマ　ブンゲイ</v>
      </c>
      <c r="D983" t="str">
        <f>"岡山文芸"</f>
        <v>岡山文芸</v>
      </c>
      <c r="E983" t="str">
        <f>"オカヤマ ブンゲイ"</f>
        <v>オカヤマ ブンゲイ</v>
      </c>
      <c r="F983" t="str">
        <f>"総社"</f>
        <v>総社</v>
      </c>
      <c r="G983" t="str">
        <f>"年２回刊"</f>
        <v>年２回刊</v>
      </c>
      <c r="H983" t="str">
        <f>"2002222292251"</f>
        <v>2002222292251</v>
      </c>
      <c r="I983" t="str">
        <f>HYPERLINK("#", "https://opac.libnet.pref.okayama.jp/licsxp-opac/WOpacMsgNewListToTifTilDetailAction.do?tilcod=2002222292251")</f>
        <v>https://opac.libnet.pref.okayama.jp/licsxp-opac/WOpacMsgNewListToTifTilDetailAction.do?tilcod=2002222292251</v>
      </c>
    </row>
    <row r="984" spans="1:9" x14ac:dyDescent="0.4">
      <c r="A984" t="str">
        <f>"岡山弁護士会ニュース"</f>
        <v>岡山弁護士会ニュース</v>
      </c>
      <c r="B984" s="1" t="str">
        <f t="shared" si="57"/>
        <v>岡山弁護士会ニュース</v>
      </c>
      <c r="C984" t="str">
        <f>"オカヤマ　ベンゴシカイ　ニュース"</f>
        <v>オカヤマ　ベンゴシカイ　ニュース</v>
      </c>
      <c r="D984" t="str">
        <f>"岡山弁護士会"</f>
        <v>岡山弁護士会</v>
      </c>
      <c r="E984" t="str">
        <f>"オカヤマ ベンゴシカイ"</f>
        <v>オカヤマ ベンゴシカイ</v>
      </c>
      <c r="F984" t="str">
        <f>""</f>
        <v/>
      </c>
      <c r="G984" t="str">
        <f>"頻度不明"</f>
        <v>頻度不明</v>
      </c>
      <c r="H984" t="str">
        <f>"2002222288911"</f>
        <v>2002222288911</v>
      </c>
      <c r="I984" t="str">
        <f>HYPERLINK("#", "https://opac.libnet.pref.okayama.jp/licsxp-opac/WOpacMsgNewListToTifTilDetailAction.do?tilcod=2002222288911")</f>
        <v>https://opac.libnet.pref.okayama.jp/licsxp-opac/WOpacMsgNewListToTifTilDetailAction.do?tilcod=2002222288911</v>
      </c>
    </row>
    <row r="985" spans="1:9" x14ac:dyDescent="0.4">
      <c r="A985" t="str">
        <f>"（岡山弁護士会）会報"</f>
        <v>（岡山弁護士会）会報</v>
      </c>
      <c r="B985" s="1" t="str">
        <f t="shared" si="57"/>
        <v>（岡山弁護士会）会報</v>
      </c>
      <c r="C985" t="str">
        <f>"オカヤマ　ベンゴシカイ＊カイホウ"</f>
        <v>オカヤマ　ベンゴシカイ＊カイホウ</v>
      </c>
      <c r="D985" t="str">
        <f>"岡山弁護士会"</f>
        <v>岡山弁護士会</v>
      </c>
      <c r="E985" t="str">
        <f>"オカヤマ ベンゴシカイ"</f>
        <v>オカヤマ ベンゴシカイ</v>
      </c>
      <c r="F985" t="str">
        <f>""</f>
        <v/>
      </c>
      <c r="G985" t="str">
        <f>"頻度不明"</f>
        <v>頻度不明</v>
      </c>
      <c r="H985" t="str">
        <f>"2002222288901"</f>
        <v>2002222288901</v>
      </c>
      <c r="I985" t="str">
        <f>HYPERLINK("#", "https://opac.libnet.pref.okayama.jp/licsxp-opac/WOpacMsgNewListToTifTilDetailAction.do?tilcod=2002222288901")</f>
        <v>https://opac.libnet.pref.okayama.jp/licsxp-opac/WOpacMsgNewListToTifTilDetailAction.do?tilcod=2002222288901</v>
      </c>
    </row>
    <row r="986" spans="1:9" x14ac:dyDescent="0.4">
      <c r="A986" t="str">
        <f>"岡山芳泉高等学校学校案内"</f>
        <v>岡山芳泉高等学校学校案内</v>
      </c>
      <c r="B986" s="1" t="str">
        <f t="shared" si="57"/>
        <v>岡山芳泉高等学校学校案内</v>
      </c>
      <c r="C986" t="str">
        <f>"オカヤマ　ホウセン　コウトウ　ガッコウ　ガッコウ　アンナイ"</f>
        <v>オカヤマ　ホウセン　コウトウ　ガッコウ　ガッコウ　アンナイ</v>
      </c>
      <c r="D986" t="str">
        <f>"岡山芳泉高等学校"</f>
        <v>岡山芳泉高等学校</v>
      </c>
      <c r="E986" t="str">
        <f>"オカヤマ ホウセン コウトウ ガッコウ"</f>
        <v>オカヤマ ホウセン コウトウ ガッコウ</v>
      </c>
      <c r="F986" t="str">
        <f>"岡山"</f>
        <v>岡山</v>
      </c>
      <c r="G986" t="str">
        <f>"年刊"</f>
        <v>年刊</v>
      </c>
      <c r="H986" t="str">
        <f>"2002222301174"</f>
        <v>2002222301174</v>
      </c>
      <c r="I986" t="str">
        <f>HYPERLINK("#", "https://opac.libnet.pref.okayama.jp/licsxp-opac/WOpacMsgNewListToTifTilDetailAction.do?tilcod=2002222301174")</f>
        <v>https://opac.libnet.pref.okayama.jp/licsxp-opac/WOpacMsgNewListToTifTilDetailAction.do?tilcod=2002222301174</v>
      </c>
    </row>
    <row r="987" spans="1:9" x14ac:dyDescent="0.4">
      <c r="A987" t="str">
        <f>"岡山芳泉高等学校学校要覧"</f>
        <v>岡山芳泉高等学校学校要覧</v>
      </c>
      <c r="B987" s="1" t="str">
        <f t="shared" si="57"/>
        <v>岡山芳泉高等学校学校要覧</v>
      </c>
      <c r="C987" t="str">
        <f>"オカヤマ　ホウセン　コウトウ　ガッコウ　ガッコウ　ヨウラン"</f>
        <v>オカヤマ　ホウセン　コウトウ　ガッコウ　ガッコウ　ヨウラン</v>
      </c>
      <c r="D987" t="str">
        <f>"岡山芳泉高等学校"</f>
        <v>岡山芳泉高等学校</v>
      </c>
      <c r="E987" t="str">
        <f>"オカヤマ ホウセン コウトウ ガッコウ"</f>
        <v>オカヤマ ホウセン コウトウ ガッコウ</v>
      </c>
      <c r="F987" t="str">
        <f>"岡山"</f>
        <v>岡山</v>
      </c>
      <c r="G987" t="str">
        <f>"年刊"</f>
        <v>年刊</v>
      </c>
      <c r="H987" t="str">
        <f>"2002222300483"</f>
        <v>2002222300483</v>
      </c>
      <c r="I987" t="str">
        <f>HYPERLINK("#", "https://opac.libnet.pref.okayama.jp/licsxp-opac/WOpacMsgNewListToTifTilDetailAction.do?tilcod=2002222300483")</f>
        <v>https://opac.libnet.pref.okayama.jp/licsxp-opac/WOpacMsgNewListToTifTilDetailAction.do?tilcod=2002222300483</v>
      </c>
    </row>
    <row r="988" spans="1:9" x14ac:dyDescent="0.4">
      <c r="A988" t="str">
        <f>"〔岡山芳泉高等学校〕図書館報"</f>
        <v>〔岡山芳泉高等学校〕図書館報</v>
      </c>
      <c r="B988" s="1" t="str">
        <f t="shared" si="57"/>
        <v>〔岡山芳泉高等学校〕図書館報</v>
      </c>
      <c r="C988" t="str">
        <f>"オカヤマ　ホウセン　コウトウ　ガッコウ＊トショカンポウ"</f>
        <v>オカヤマ　ホウセン　コウトウ　ガッコウ＊トショカンポウ</v>
      </c>
      <c r="D988" t="str">
        <f>"岡山芳泉高等学校図書委員会"</f>
        <v>岡山芳泉高等学校図書委員会</v>
      </c>
      <c r="E988" t="str">
        <f>"オカヤマ ホウセン コウトウ ガッコウ トショ イインカイ"</f>
        <v>オカヤマ ホウセン コウトウ ガッコウ トショ イインカイ</v>
      </c>
      <c r="F988" t="str">
        <f>"岡山"</f>
        <v>岡山</v>
      </c>
      <c r="G988" t="str">
        <f>"頻度不明"</f>
        <v>頻度不明</v>
      </c>
      <c r="H988" t="str">
        <f>"2002222301859"</f>
        <v>2002222301859</v>
      </c>
      <c r="I988" t="str">
        <f>HYPERLINK("#", "https://opac.libnet.pref.okayama.jp/licsxp-opac/WOpacMsgNewListToTifTilDetailAction.do?tilcod=2002222301859")</f>
        <v>https://opac.libnet.pref.okayama.jp/licsxp-opac/WOpacMsgNewListToTifTilDetailAction.do?tilcod=2002222301859</v>
      </c>
    </row>
    <row r="989" spans="1:9" x14ac:dyDescent="0.4">
      <c r="A989" t="str">
        <f>"〔岡山芳泉高等学校〕芳泉新聞"</f>
        <v>〔岡山芳泉高等学校〕芳泉新聞</v>
      </c>
      <c r="B989" s="1" t="str">
        <f t="shared" si="57"/>
        <v>〔岡山芳泉高等学校〕芳泉新聞</v>
      </c>
      <c r="C989" t="str">
        <f>"オカヤマ　ホウセン　コウトウ　ガッコウ＊ホウセン　シンブン"</f>
        <v>オカヤマ　ホウセン　コウトウ　ガッコウ＊ホウセン　シンブン</v>
      </c>
      <c r="D989" t="str">
        <f>"岡山芳泉高等学校新聞部"</f>
        <v>岡山芳泉高等学校新聞部</v>
      </c>
      <c r="E989" t="str">
        <f>"オカヤマホウセンコウトウガッコウシンブンブ"</f>
        <v>オカヤマホウセンコウトウガッコウシンブンブ</v>
      </c>
      <c r="F989" t="str">
        <f>"岡山"</f>
        <v>岡山</v>
      </c>
      <c r="G989" t="str">
        <f>"頻度不明"</f>
        <v>頻度不明</v>
      </c>
      <c r="H989" t="str">
        <f>"2002222288693"</f>
        <v>2002222288693</v>
      </c>
      <c r="I989" t="str">
        <f>HYPERLINK("#", "https://opac.libnet.pref.okayama.jp/licsxp-opac/WOpacMsgNewListToTifTilDetailAction.do?tilcod=2002222288693")</f>
        <v>https://opac.libnet.pref.okayama.jp/licsxp-opac/WOpacMsgNewListToTifTilDetailAction.do?tilcod=2002222288693</v>
      </c>
    </row>
    <row r="990" spans="1:9" x14ac:dyDescent="0.4">
      <c r="A990" t="str">
        <f>"岡山放送局放送番組予定表"</f>
        <v>岡山放送局放送番組予定表</v>
      </c>
      <c r="B990" s="1" t="str">
        <f t="shared" si="57"/>
        <v>岡山放送局放送番組予定表</v>
      </c>
      <c r="C990" t="str">
        <f>"オカヤマ　ホウソウキョク　ホウソウ　バングミ　ヨテイヒョウ"</f>
        <v>オカヤマ　ホウソウキョク　ホウソウ　バングミ　ヨテイヒョウ</v>
      </c>
      <c r="D990" t="str">
        <f>"ＮＨＫ岡山放送局"</f>
        <v>ＮＨＫ岡山放送局</v>
      </c>
      <c r="E990" t="str">
        <f>"エヌエイチケー オカヤマ ホウソウキョク"</f>
        <v>エヌエイチケー オカヤマ ホウソウキョク</v>
      </c>
      <c r="F990" t="str">
        <f>"岡山市"</f>
        <v>岡山市</v>
      </c>
      <c r="G990" t="str">
        <f>"不定期刊"</f>
        <v>不定期刊</v>
      </c>
      <c r="H990" t="str">
        <f>"2002222292261"</f>
        <v>2002222292261</v>
      </c>
      <c r="I990" t="str">
        <f>HYPERLINK("#", "https://opac.libnet.pref.okayama.jp/licsxp-opac/WOpacMsgNewListToTifTilDetailAction.do?tilcod=2002222292261")</f>
        <v>https://opac.libnet.pref.okayama.jp/licsxp-opac/WOpacMsgNewListToTifTilDetailAction.do?tilcod=2002222292261</v>
      </c>
    </row>
    <row r="991" spans="1:9" x14ac:dyDescent="0.4">
      <c r="A991" t="str">
        <f>"おかやま保健福祉研究"</f>
        <v>おかやま保健福祉研究</v>
      </c>
      <c r="B991" s="1" t="str">
        <f t="shared" si="57"/>
        <v>おかやま保健福祉研究</v>
      </c>
      <c r="C991" t="str">
        <f>"オカヤマ　ホケン　フクシ　ケンキュウ"</f>
        <v>オカヤマ　ホケン　フクシ　ケンキュウ</v>
      </c>
      <c r="D991" t="str">
        <f>"岡山県保健福祉学会"</f>
        <v>岡山県保健福祉学会</v>
      </c>
      <c r="E991" t="str">
        <f>"オカヤマケンホケンフクシガッカイ"</f>
        <v>オカヤマケンホケンフクシガッカイ</v>
      </c>
      <c r="F991" t="str">
        <f>"岡山"</f>
        <v>岡山</v>
      </c>
      <c r="G991" t="str">
        <f>"頻度不明"</f>
        <v>頻度不明</v>
      </c>
      <c r="H991" t="str">
        <f>"2002222280191"</f>
        <v>2002222280191</v>
      </c>
      <c r="I991" t="str">
        <f>HYPERLINK("#", "https://opac.libnet.pref.okayama.jp/licsxp-opac/WOpacMsgNewListToTifTilDetailAction.do?tilcod=2002222280191")</f>
        <v>https://opac.libnet.pref.okayama.jp/licsxp-opac/WOpacMsgNewListToTifTilDetailAction.do?tilcod=2002222280191</v>
      </c>
    </row>
    <row r="992" spans="1:9" x14ac:dyDescent="0.4">
      <c r="A992" t="str">
        <f>"岡山輔導時報"</f>
        <v>岡山輔導時報</v>
      </c>
      <c r="B992" s="1" t="str">
        <f t="shared" si="57"/>
        <v>岡山輔導時報</v>
      </c>
      <c r="C992" t="str">
        <f>"オカヤマ　ホドウ　ジホウ"</f>
        <v>オカヤマ　ホドウ　ジホウ</v>
      </c>
      <c r="D992" t="str">
        <f>"岡山市中等学校校外輔導連盟事務所"</f>
        <v>岡山市中等学校校外輔導連盟事務所</v>
      </c>
      <c r="E992" t="str">
        <f>"オカヤマシチュウトウガッコウコウガイホドウレンメイジムショ"</f>
        <v>オカヤマシチュウトウガッコウコウガイホドウレンメイジムショ</v>
      </c>
      <c r="F992" t="str">
        <f>"岡山"</f>
        <v>岡山</v>
      </c>
      <c r="G992" t="str">
        <f>"頻度不明"</f>
        <v>頻度不明</v>
      </c>
      <c r="H992" t="str">
        <f>"2002222301067"</f>
        <v>2002222301067</v>
      </c>
      <c r="I992" t="str">
        <f>HYPERLINK("#", "https://opac.libnet.pref.okayama.jp/licsxp-opac/WOpacMsgNewListToTifTilDetailAction.do?tilcod=2002222301067")</f>
        <v>https://opac.libnet.pref.okayama.jp/licsxp-opac/WOpacMsgNewListToTifTilDetailAction.do?tilcod=2002222301067</v>
      </c>
    </row>
    <row r="993" spans="1:9" x14ac:dyDescent="0.4">
      <c r="A993" t="str">
        <f>"岡山紅辣椒：岡山ホンラージャオ"</f>
        <v>岡山紅辣椒：岡山ホンラージャオ</v>
      </c>
      <c r="B993" s="1" t="str">
        <f t="shared" si="57"/>
        <v>岡山紅辣椒：岡山ホンラージャオ</v>
      </c>
      <c r="C993" t="str">
        <f>"オカヤマ ホンラージャオ"</f>
        <v>オカヤマ ホンラージャオ</v>
      </c>
      <c r="D993" t="str">
        <f>"紅辣椒"</f>
        <v>紅辣椒</v>
      </c>
      <c r="E993" t="str">
        <f>"ホンラージャオ"</f>
        <v>ホンラージャオ</v>
      </c>
      <c r="F993" t="str">
        <f>"岡山"</f>
        <v>岡山</v>
      </c>
      <c r="G993" t="str">
        <f>"季刊"</f>
        <v>季刊</v>
      </c>
      <c r="H993" t="str">
        <f>"2002222326706"</f>
        <v>2002222326706</v>
      </c>
      <c r="I993" t="str">
        <f>HYPERLINK("#", "https://opac.libnet.pref.okayama.jp/licsxp-opac/WOpacMsgNewListToTifTilDetailAction.do?tilcod=2002222326706")</f>
        <v>https://opac.libnet.pref.okayama.jp/licsxp-opac/WOpacMsgNewListToTifTilDetailAction.do?tilcod=2002222326706</v>
      </c>
    </row>
    <row r="994" spans="1:9" x14ac:dyDescent="0.4">
      <c r="A994" t="str">
        <f>"[岡山御津高等学校] 学校案内"</f>
        <v>[岡山御津高等学校] 学校案内</v>
      </c>
      <c r="B994" s="1" t="str">
        <f t="shared" si="57"/>
        <v>[岡山御津高等学校] 学校案内</v>
      </c>
      <c r="C994" t="str">
        <f>"オカヤマ　ミツ　コウトウ　ガッコウ　ガッコウ　アンナイ"</f>
        <v>オカヤマ　ミツ　コウトウ　ガッコウ　ガッコウ　アンナイ</v>
      </c>
      <c r="D994" t="str">
        <f>"岡山御津高等学校"</f>
        <v>岡山御津高等学校</v>
      </c>
      <c r="E994" t="str">
        <f>"オカヤマ ミツ コウトウ ガッコウ"</f>
        <v>オカヤマ ミツ コウトウ ガッコウ</v>
      </c>
      <c r="F994" t="str">
        <f>"御津町（御津郡）"</f>
        <v>御津町（御津郡）</v>
      </c>
      <c r="G994" t="str">
        <f>"年刊"</f>
        <v>年刊</v>
      </c>
      <c r="H994" t="str">
        <f>"2002222301186"</f>
        <v>2002222301186</v>
      </c>
      <c r="I994" t="str">
        <f>HYPERLINK("#", "https://opac.libnet.pref.okayama.jp/licsxp-opac/WOpacMsgNewListToTifTilDetailAction.do?tilcod=2002222301186")</f>
        <v>https://opac.libnet.pref.okayama.jp/licsxp-opac/WOpacMsgNewListToTifTilDetailAction.do?tilcod=2002222301186</v>
      </c>
    </row>
    <row r="995" spans="1:9" x14ac:dyDescent="0.4">
      <c r="A995" t="str">
        <f>"岡山御津高等学校学校要覧"</f>
        <v>岡山御津高等学校学校要覧</v>
      </c>
      <c r="B995" s="1" t="str">
        <f t="shared" si="57"/>
        <v>岡山御津高等学校学校要覧</v>
      </c>
      <c r="C995" t="str">
        <f>"オカヤマ　ミツ　コウトウ　ガッコウ　ガッコウ　ヨウラン"</f>
        <v>オカヤマ　ミツ　コウトウ　ガッコウ　ガッコウ　ヨウラン</v>
      </c>
      <c r="D995" t="str">
        <f>"岡山御津高等学校"</f>
        <v>岡山御津高等学校</v>
      </c>
      <c r="E995" t="str">
        <f>"オカヤマ ミツ コウトウ ガッコウ"</f>
        <v>オカヤマ ミツ コウトウ ガッコウ</v>
      </c>
      <c r="F995" t="str">
        <f>"御津町（御津郡）"</f>
        <v>御津町（御津郡）</v>
      </c>
      <c r="G995" t="str">
        <f>"年刊"</f>
        <v>年刊</v>
      </c>
      <c r="H995" t="str">
        <f>"2002222300532"</f>
        <v>2002222300532</v>
      </c>
      <c r="I995" t="str">
        <f>HYPERLINK("#", "https://opac.libnet.pref.okayama.jp/licsxp-opac/WOpacMsgNewListToTifTilDetailAction.do?tilcod=2002222300532")</f>
        <v>https://opac.libnet.pref.okayama.jp/licsxp-opac/WOpacMsgNewListToTifTilDetailAction.do?tilcod=2002222300532</v>
      </c>
    </row>
    <row r="996" spans="1:9" x14ac:dyDescent="0.4">
      <c r="A996" t="str">
        <f>"〔岡山御津高等学校〕Ｓｙｌｌａｂｕｓ（シラバス）；学校生活　ＨＡＮＤ　ＢＯＯＫ"</f>
        <v>〔岡山御津高等学校〕Ｓｙｌｌａｂｕｓ（シラバス）；学校生活　ＨＡＮＤ　ＢＯＯＫ</v>
      </c>
      <c r="B996" s="1" t="str">
        <f t="shared" si="57"/>
        <v>〔岡山御津高等学校〕Ｓｙｌｌａｂｕｓ（シラバス）；学校生活　ＨＡＮＤ　ＢＯＯＫ</v>
      </c>
      <c r="C996" t="str">
        <f>"オカヤマ ミツ コウトウ ガッコウ シラバス*ガッコウ セイカツ ハンド　ブック"</f>
        <v>オカヤマ ミツ コウトウ ガッコウ シラバス*ガッコウ セイカツ ハンド　ブック</v>
      </c>
      <c r="D996" t="str">
        <f>"岡山御津高等学校"</f>
        <v>岡山御津高等学校</v>
      </c>
      <c r="E996" t="str">
        <f>"オカヤマ ミツ コウトウ ガッコウ"</f>
        <v>オカヤマ ミツ コウトウ ガッコウ</v>
      </c>
      <c r="F996" t="str">
        <f t="shared" ref="F996:F1005" si="58">"岡山"</f>
        <v>岡山</v>
      </c>
      <c r="G996" t="str">
        <f>"年刊"</f>
        <v>年刊</v>
      </c>
      <c r="H996" t="str">
        <f>"2002222301157"</f>
        <v>2002222301157</v>
      </c>
      <c r="I996" t="str">
        <f>HYPERLINK("#", "https://opac.libnet.pref.okayama.jp/licsxp-opac/WOpacMsgNewListToTifTilDetailAction.do?tilcod=2002222301157")</f>
        <v>https://opac.libnet.pref.okayama.jp/licsxp-opac/WOpacMsgNewListToTifTilDetailAction.do?tilcod=2002222301157</v>
      </c>
    </row>
    <row r="997" spans="1:9" x14ac:dyDescent="0.4">
      <c r="A997" t="str">
        <f>"[岡山御津高等学校]臥龍"</f>
        <v>[岡山御津高等学校]臥龍</v>
      </c>
      <c r="B997" s="1" t="str">
        <f t="shared" si="57"/>
        <v>[岡山御津高等学校]臥龍</v>
      </c>
      <c r="C997" t="str">
        <f>"オカヤマ ミツ コウトウ ガッコウ＊ガリュウ"</f>
        <v>オカヤマ ミツ コウトウ ガッコウ＊ガリュウ</v>
      </c>
      <c r="D997" t="str">
        <f>"岡山御津高等学校"</f>
        <v>岡山御津高等学校</v>
      </c>
      <c r="E997" t="str">
        <f>"オカヤマ ミツ コウトウ ガッコウ"</f>
        <v>オカヤマ ミツ コウトウ ガッコウ</v>
      </c>
      <c r="F997" t="str">
        <f t="shared" si="58"/>
        <v>岡山</v>
      </c>
      <c r="G997" t="str">
        <f>"年刊"</f>
        <v>年刊</v>
      </c>
      <c r="H997" t="str">
        <f>"2002222329807"</f>
        <v>2002222329807</v>
      </c>
      <c r="I997" t="str">
        <f>HYPERLINK("#", "https://opac.libnet.pref.okayama.jp/licsxp-opac/WOpacMsgNewListToTifTilDetailAction.do?tilcod=2002222329807")</f>
        <v>https://opac.libnet.pref.okayama.jp/licsxp-opac/WOpacMsgNewListToTifTilDetailAction.do?tilcod=2002222329807</v>
      </c>
    </row>
    <row r="998" spans="1:9" x14ac:dyDescent="0.4">
      <c r="A998" t="str">
        <f>"岡山南高新聞"</f>
        <v>岡山南高新聞</v>
      </c>
      <c r="B998" s="1" t="str">
        <f t="shared" si="57"/>
        <v>岡山南高新聞</v>
      </c>
      <c r="C998" t="str">
        <f>"オカヤマ　ミナミ　コウ　シンブン"</f>
        <v>オカヤマ　ミナミ　コウ　シンブン</v>
      </c>
      <c r="D998" t="str">
        <f>"岡山南高等学校新聞部"</f>
        <v>岡山南高等学校新聞部</v>
      </c>
      <c r="E998" t="str">
        <f>"オカヤマミナミコウトウガッコウシンブンブ"</f>
        <v>オカヤマミナミコウトウガッコウシンブンブ</v>
      </c>
      <c r="F998" t="str">
        <f t="shared" si="58"/>
        <v>岡山</v>
      </c>
      <c r="G998" t="str">
        <f>"頻度不明"</f>
        <v>頻度不明</v>
      </c>
      <c r="H998" t="str">
        <f>"2002222301854"</f>
        <v>2002222301854</v>
      </c>
      <c r="I998" t="str">
        <f>HYPERLINK("#", "https://opac.libnet.pref.okayama.jp/licsxp-opac/WOpacMsgNewListToTifTilDetailAction.do?tilcod=2002222301854")</f>
        <v>https://opac.libnet.pref.okayama.jp/licsxp-opac/WOpacMsgNewListToTifTilDetailAction.do?tilcod=2002222301854</v>
      </c>
    </row>
    <row r="999" spans="1:9" x14ac:dyDescent="0.4">
      <c r="A999" t="str">
        <f>"岡山南高等学校学校案内"</f>
        <v>岡山南高等学校学校案内</v>
      </c>
      <c r="B999" s="1" t="str">
        <f t="shared" si="57"/>
        <v>岡山南高等学校学校案内</v>
      </c>
      <c r="C999" t="str">
        <f>"オカヤマ　ミナミ　コウトウ　ガッコウ　ガッコウ　アンナイ"</f>
        <v>オカヤマ　ミナミ　コウトウ　ガッコウ　ガッコウ　アンナイ</v>
      </c>
      <c r="D999" t="str">
        <f>"岡山南高等学校"</f>
        <v>岡山南高等学校</v>
      </c>
      <c r="E999" t="str">
        <f>"オカヤマミナミコウトウガッコウ"</f>
        <v>オカヤマミナミコウトウガッコウ</v>
      </c>
      <c r="F999" t="str">
        <f t="shared" si="58"/>
        <v>岡山</v>
      </c>
      <c r="G999" t="str">
        <f t="shared" ref="G999:G1005" si="59">"年刊"</f>
        <v>年刊</v>
      </c>
      <c r="H999" t="str">
        <f>"2002222301182"</f>
        <v>2002222301182</v>
      </c>
      <c r="I999" t="str">
        <f>HYPERLINK("#", "https://opac.libnet.pref.okayama.jp/licsxp-opac/WOpacMsgNewListToTifTilDetailAction.do?tilcod=2002222301182")</f>
        <v>https://opac.libnet.pref.okayama.jp/licsxp-opac/WOpacMsgNewListToTifTilDetailAction.do?tilcod=2002222301182</v>
      </c>
    </row>
    <row r="1000" spans="1:9" x14ac:dyDescent="0.4">
      <c r="A1000" t="str">
        <f>"岡山南高等学校学校要覧"</f>
        <v>岡山南高等学校学校要覧</v>
      </c>
      <c r="B1000" s="1" t="str">
        <f t="shared" si="57"/>
        <v>岡山南高等学校学校要覧</v>
      </c>
      <c r="C1000" t="str">
        <f>"オカヤマ　ミナミ　コウトウ　ガッコウ　ガッコウ　ヨウラン"</f>
        <v>オカヤマ　ミナミ　コウトウ　ガッコウ　ガッコウ　ヨウラン</v>
      </c>
      <c r="D1000" t="str">
        <f>"岡山南高等学校"</f>
        <v>岡山南高等学校</v>
      </c>
      <c r="E1000" t="str">
        <f>"オカヤマミナミコウトウガッコウ"</f>
        <v>オカヤマミナミコウトウガッコウ</v>
      </c>
      <c r="F1000" t="str">
        <f t="shared" si="58"/>
        <v>岡山</v>
      </c>
      <c r="G1000" t="str">
        <f t="shared" si="59"/>
        <v>年刊</v>
      </c>
      <c r="H1000" t="str">
        <f>"2002222300493"</f>
        <v>2002222300493</v>
      </c>
      <c r="I1000" t="str">
        <f>HYPERLINK("#", "https://opac.libnet.pref.okayama.jp/licsxp-opac/WOpacMsgNewListToTifTilDetailAction.do?tilcod=2002222300493")</f>
        <v>https://opac.libnet.pref.okayama.jp/licsxp-opac/WOpacMsgNewListToTifTilDetailAction.do?tilcod=2002222300493</v>
      </c>
    </row>
    <row r="1001" spans="1:9" x14ac:dyDescent="0.4">
      <c r="A1001" t="str">
        <f>"[岡山南高等学校]花園"</f>
        <v>[岡山南高等学校]花園</v>
      </c>
      <c r="B1001" s="1" t="str">
        <f t="shared" si="57"/>
        <v>[岡山南高等学校]花園</v>
      </c>
      <c r="C1001" t="str">
        <f>"オカヤマ ミナミ コウトウ ガッコウ＊ハナゾノ　"</f>
        <v>オカヤマ ミナミ コウトウ ガッコウ＊ハナゾノ　</v>
      </c>
      <c r="D1001" t="str">
        <f>"岡山南高等学校家庭クラブ"</f>
        <v>岡山南高等学校家庭クラブ</v>
      </c>
      <c r="E1001" t="str">
        <f>"オカヤマミナミコウトウガッコウカテイクラブ"</f>
        <v>オカヤマミナミコウトウガッコウカテイクラブ</v>
      </c>
      <c r="F1001" t="str">
        <f t="shared" si="58"/>
        <v>岡山</v>
      </c>
      <c r="G1001" t="str">
        <f t="shared" si="59"/>
        <v>年刊</v>
      </c>
      <c r="H1001" t="str">
        <f>"2002222289123"</f>
        <v>2002222289123</v>
      </c>
      <c r="I1001" t="str">
        <f>HYPERLINK("#", "https://opac.libnet.pref.okayama.jp/licsxp-opac/WOpacMsgNewListToTifTilDetailAction.do?tilcod=2002222289123")</f>
        <v>https://opac.libnet.pref.okayama.jp/licsxp-opac/WOpacMsgNewListToTifTilDetailAction.do?tilcod=2002222289123</v>
      </c>
    </row>
    <row r="1002" spans="1:9" x14ac:dyDescent="0.4">
      <c r="A1002" t="str">
        <f>"岡山南支援学校学校案内"</f>
        <v>岡山南支援学校学校案内</v>
      </c>
      <c r="B1002" s="1" t="str">
        <f t="shared" si="57"/>
        <v>岡山南支援学校学校案内</v>
      </c>
      <c r="C1002" t="str">
        <f>"オカヤマ　ミナミ　シエン　ガッコウ　ガッコウ　アンナイ"</f>
        <v>オカヤマ　ミナミ　シエン　ガッコウ　ガッコウ　アンナイ</v>
      </c>
      <c r="D1002" t="str">
        <f>"岡山南支援学校"</f>
        <v>岡山南支援学校</v>
      </c>
      <c r="E1002" t="str">
        <f>"オカヤマ ミナミ シエン ガッコウ"</f>
        <v>オカヤマ ミナミ シエン ガッコウ</v>
      </c>
      <c r="F1002" t="str">
        <f t="shared" si="58"/>
        <v>岡山</v>
      </c>
      <c r="G1002" t="str">
        <f t="shared" si="59"/>
        <v>年刊</v>
      </c>
      <c r="H1002" t="str">
        <f>"2002222302251"</f>
        <v>2002222302251</v>
      </c>
      <c r="I1002" t="str">
        <f>HYPERLINK("#", "https://opac.libnet.pref.okayama.jp/licsxp-opac/WOpacMsgNewListToTifTilDetailAction.do?tilcod=2002222302251")</f>
        <v>https://opac.libnet.pref.okayama.jp/licsxp-opac/WOpacMsgNewListToTifTilDetailAction.do?tilcod=2002222302251</v>
      </c>
    </row>
    <row r="1003" spans="1:9" x14ac:dyDescent="0.4">
      <c r="A1003" t="str">
        <f>"岡山南支援学校学校要覧"</f>
        <v>岡山南支援学校学校要覧</v>
      </c>
      <c r="B1003" s="1" t="str">
        <f t="shared" si="57"/>
        <v>岡山南支援学校学校要覧</v>
      </c>
      <c r="C1003" t="str">
        <f>"オカヤマ　ミナミ　シエン　ガッコウ　ガッコウ　ヨウラン"</f>
        <v>オカヤマ　ミナミ　シエン　ガッコウ　ガッコウ　ヨウラン</v>
      </c>
      <c r="D1003" t="str">
        <f>"岡山南支援学校"</f>
        <v>岡山南支援学校</v>
      </c>
      <c r="E1003" t="str">
        <f>"オカヤマ ミナミ シエン ガッコウ"</f>
        <v>オカヤマ ミナミ シエン ガッコウ</v>
      </c>
      <c r="F1003" t="str">
        <f t="shared" si="58"/>
        <v>岡山</v>
      </c>
      <c r="G1003" t="str">
        <f t="shared" si="59"/>
        <v>年刊</v>
      </c>
      <c r="H1003" t="str">
        <f>"2002222302252"</f>
        <v>2002222302252</v>
      </c>
      <c r="I1003" t="str">
        <f>HYPERLINK("#", "https://opac.libnet.pref.okayama.jp/licsxp-opac/WOpacMsgNewListToTifTilDetailAction.do?tilcod=2002222302252")</f>
        <v>https://opac.libnet.pref.okayama.jp/licsxp-opac/WOpacMsgNewListToTifTilDetailAction.do?tilcod=2002222302252</v>
      </c>
    </row>
    <row r="1004" spans="1:9" x14ac:dyDescent="0.4">
      <c r="A1004" t="str">
        <f>"岡山南養護学校学校案内"</f>
        <v>岡山南養護学校学校案内</v>
      </c>
      <c r="B1004" s="1" t="str">
        <f t="shared" si="57"/>
        <v>岡山南養護学校学校案内</v>
      </c>
      <c r="C1004" t="str">
        <f>"オカヤマ ミナミ ヨウゴ ガッコウ ガッコウ アンナイ"</f>
        <v>オカヤマ ミナミ ヨウゴ ガッコウ ガッコウ アンナイ</v>
      </c>
      <c r="D1004" t="str">
        <f>"岡山南養護学校"</f>
        <v>岡山南養護学校</v>
      </c>
      <c r="E1004" t="str">
        <f>"オカヤマ ミナミ ヨウゴ ガッコウ"</f>
        <v>オカヤマ ミナミ ヨウゴ ガッコウ</v>
      </c>
      <c r="F1004" t="str">
        <f t="shared" si="58"/>
        <v>岡山</v>
      </c>
      <c r="G1004" t="str">
        <f t="shared" si="59"/>
        <v>年刊</v>
      </c>
      <c r="H1004" t="str">
        <f>"2002222301474"</f>
        <v>2002222301474</v>
      </c>
      <c r="I1004" t="str">
        <f>HYPERLINK("#", "https://opac.libnet.pref.okayama.jp/licsxp-opac/WOpacMsgNewListToTifTilDetailAction.do?tilcod=2002222301474")</f>
        <v>https://opac.libnet.pref.okayama.jp/licsxp-opac/WOpacMsgNewListToTifTilDetailAction.do?tilcod=2002222301474</v>
      </c>
    </row>
    <row r="1005" spans="1:9" x14ac:dyDescent="0.4">
      <c r="A1005" t="str">
        <f>"岡山南養護学校学校要覧"</f>
        <v>岡山南養護学校学校要覧</v>
      </c>
      <c r="B1005" s="1" t="str">
        <f t="shared" si="57"/>
        <v>岡山南養護学校学校要覧</v>
      </c>
      <c r="C1005" t="str">
        <f>"オカヤマ ミナミ ヨウゴ ガッコウ ガッコウ ヨウラン"</f>
        <v>オカヤマ ミナミ ヨウゴ ガッコウ ガッコウ ヨウラン</v>
      </c>
      <c r="D1005" t="str">
        <f>"岡山南養護学校"</f>
        <v>岡山南養護学校</v>
      </c>
      <c r="E1005" t="str">
        <f>"オカヤマ ミナミ ヨウゴ ガッコウ"</f>
        <v>オカヤマ ミナミ ヨウゴ ガッコウ</v>
      </c>
      <c r="F1005" t="str">
        <f t="shared" si="58"/>
        <v>岡山</v>
      </c>
      <c r="G1005" t="str">
        <f t="shared" si="59"/>
        <v>年刊</v>
      </c>
      <c r="H1005" t="str">
        <f>"2002222301473"</f>
        <v>2002222301473</v>
      </c>
      <c r="I1005" t="str">
        <f>HYPERLINK("#", "https://opac.libnet.pref.okayama.jp/licsxp-opac/WOpacMsgNewListToTifTilDetailAction.do?tilcod=2002222301473")</f>
        <v>https://opac.libnet.pref.okayama.jp/licsxp-opac/WOpacMsgNewListToTifTilDetailAction.do?tilcod=2002222301473</v>
      </c>
    </row>
    <row r="1006" spans="1:9" x14ac:dyDescent="0.4">
      <c r="A1006" t="str">
        <f>"岡山南ロータリークラブ月報"</f>
        <v>岡山南ロータリークラブ月報</v>
      </c>
      <c r="B1006" s="1" t="str">
        <f t="shared" si="57"/>
        <v>岡山南ロータリークラブ月報</v>
      </c>
      <c r="C1006" t="str">
        <f>"オカヤマ　ミナミ　ロータリー　クラブ　ゲッポウ"</f>
        <v>オカヤマ　ミナミ　ロータリー　クラブ　ゲッポウ</v>
      </c>
      <c r="D1006" t="str">
        <f>"岡山南ロータリークラブ"</f>
        <v>岡山南ロータリークラブ</v>
      </c>
      <c r="E1006" t="str">
        <f>"オカヤマ ミナミ ロータリー クラブ"</f>
        <v>オカヤマ ミナミ ロータリー クラブ</v>
      </c>
      <c r="F1006" t="str">
        <f>""</f>
        <v/>
      </c>
      <c r="G1006" t="str">
        <f>"頻度不明"</f>
        <v>頻度不明</v>
      </c>
      <c r="H1006" t="str">
        <f>"2002222288921"</f>
        <v>2002222288921</v>
      </c>
      <c r="I1006" t="str">
        <f>HYPERLINK("#", "https://opac.libnet.pref.okayama.jp/licsxp-opac/WOpacMsgNewListToTifTilDetailAction.do?tilcod=2002222288921")</f>
        <v>https://opac.libnet.pref.okayama.jp/licsxp-opac/WOpacMsgNewListToTifTilDetailAction.do?tilcod=2002222288921</v>
      </c>
    </row>
    <row r="1007" spans="1:9" x14ac:dyDescent="0.4">
      <c r="A1007" t="str">
        <f>"岡山民権百年ニュース"</f>
        <v>岡山民権百年ニュース</v>
      </c>
      <c r="B1007" s="1" t="str">
        <f t="shared" si="57"/>
        <v>岡山民権百年ニュース</v>
      </c>
      <c r="C1007" t="str">
        <f>"オカヤマ ミンケン ヒャクネン ニュース"</f>
        <v>オカヤマ ミンケン ヒャクネン ニュース</v>
      </c>
      <c r="D1007" t="str">
        <f>"岡山民権百年記念実行委員会"</f>
        <v>岡山民権百年記念実行委員会</v>
      </c>
      <c r="E1007" t="str">
        <f>"オカヤマミンケンヒャクネンキネンジッコウイインカイ"</f>
        <v>オカヤマミンケンヒャクネンキネンジッコウイインカイ</v>
      </c>
      <c r="F1007" t="str">
        <f>""</f>
        <v/>
      </c>
      <c r="G1007" t="str">
        <f>"頻度不明"</f>
        <v>頻度不明</v>
      </c>
      <c r="H1007" t="str">
        <f>"2002222288931"</f>
        <v>2002222288931</v>
      </c>
      <c r="I1007" t="str">
        <f>HYPERLINK("#", "https://opac.libnet.pref.okayama.jp/licsxp-opac/WOpacMsgNewListToTifTilDetailAction.do?tilcod=2002222288931")</f>
        <v>https://opac.libnet.pref.okayama.jp/licsxp-opac/WOpacMsgNewListToTifTilDetailAction.do?tilcod=2002222288931</v>
      </c>
    </row>
    <row r="1008" spans="1:9" x14ac:dyDescent="0.4">
      <c r="A1008" t="str">
        <f>"岡山民俗"</f>
        <v>岡山民俗</v>
      </c>
      <c r="B1008" s="1" t="str">
        <f t="shared" si="57"/>
        <v>岡山民俗</v>
      </c>
      <c r="C1008" t="str">
        <f>"オカヤマ ミンゾク"</f>
        <v>オカヤマ ミンゾク</v>
      </c>
      <c r="D1008" t="str">
        <f>"岡山民俗学会"</f>
        <v>岡山民俗学会</v>
      </c>
      <c r="E1008" t="str">
        <f>"オカヤマ ミンゾク ガッカイ"</f>
        <v>オカヤマ ミンゾク ガッカイ</v>
      </c>
      <c r="F1008" t="str">
        <f>"総社"</f>
        <v>総社</v>
      </c>
      <c r="G1008" t="str">
        <f>"年刊"</f>
        <v>年刊</v>
      </c>
      <c r="H1008" t="str">
        <f>"2002222291201"</f>
        <v>2002222291201</v>
      </c>
      <c r="I1008" t="str">
        <f>HYPERLINK("#", "https://opac.libnet.pref.okayama.jp/licsxp-opac/WOpacMsgNewListToTifTilDetailAction.do?tilcod=2002222291201")</f>
        <v>https://opac.libnet.pref.okayama.jp/licsxp-opac/WOpacMsgNewListToTifTilDetailAction.do?tilcod=2002222291201</v>
      </c>
    </row>
    <row r="1009" spans="1:9" x14ac:dyDescent="0.4">
      <c r="A1009" t="str">
        <f>"[岡山民俗学会]会報"</f>
        <v>[岡山民俗学会]会報</v>
      </c>
      <c r="B1009" s="1" t="str">
        <f t="shared" si="57"/>
        <v>[岡山民俗学会]会報</v>
      </c>
      <c r="C1009" t="str">
        <f>"オカヤマ ミンゾク ガッカイ＊カイホウ"</f>
        <v>オカヤマ ミンゾク ガッカイ＊カイホウ</v>
      </c>
      <c r="D1009" t="str">
        <f>"岡山民俗学会"</f>
        <v>岡山民俗学会</v>
      </c>
      <c r="E1009" t="str">
        <f>"オカヤマ ミンゾク ガッカイ"</f>
        <v>オカヤマ ミンゾク ガッカイ</v>
      </c>
      <c r="F1009" t="str">
        <f>""</f>
        <v/>
      </c>
      <c r="G1009" t="str">
        <f>"年２回刊"</f>
        <v>年２回刊</v>
      </c>
      <c r="H1009" t="str">
        <f>"2002222288941"</f>
        <v>2002222288941</v>
      </c>
      <c r="I1009" t="str">
        <f>HYPERLINK("#", "https://opac.libnet.pref.okayama.jp/licsxp-opac/WOpacMsgNewListToTifTilDetailAction.do?tilcod=2002222288941")</f>
        <v>https://opac.libnet.pref.okayama.jp/licsxp-opac/WOpacMsgNewListToTifTilDetailAction.do?tilcod=2002222288941</v>
      </c>
    </row>
    <row r="1010" spans="1:9" x14ac:dyDescent="0.4">
      <c r="A1010" t="str">
        <f>"岡山民俗資料"</f>
        <v>岡山民俗資料</v>
      </c>
      <c r="B1010" s="1" t="str">
        <f t="shared" si="57"/>
        <v>岡山民俗資料</v>
      </c>
      <c r="C1010" t="str">
        <f>"オカヤマ　ミンゾク　シリョウ"</f>
        <v>オカヤマ　ミンゾク　シリョウ</v>
      </c>
      <c r="D1010" t="str">
        <f>"岡山民俗学会"</f>
        <v>岡山民俗学会</v>
      </c>
      <c r="E1010" t="str">
        <f>"オカヤマ ミンゾク ガッカイ"</f>
        <v>オカヤマ ミンゾク ガッカイ</v>
      </c>
      <c r="F1010" t="str">
        <f>""</f>
        <v/>
      </c>
      <c r="G1010" t="str">
        <f>"頻度不明"</f>
        <v>頻度不明</v>
      </c>
      <c r="H1010" t="str">
        <f>"2002222288951"</f>
        <v>2002222288951</v>
      </c>
      <c r="I1010" t="str">
        <f>HYPERLINK("#", "https://opac.libnet.pref.okayama.jp/licsxp-opac/WOpacMsgNewListToTifTilDetailAction.do?tilcod=2002222288951")</f>
        <v>https://opac.libnet.pref.okayama.jp/licsxp-opac/WOpacMsgNewListToTifTilDetailAction.do?tilcod=2002222288951</v>
      </c>
    </row>
    <row r="1011" spans="1:9" x14ac:dyDescent="0.4">
      <c r="A1011" t="str">
        <f>"岡山民文月報"</f>
        <v>岡山民文月報</v>
      </c>
      <c r="B1011" s="1" t="str">
        <f t="shared" si="57"/>
        <v>岡山民文月報</v>
      </c>
      <c r="C1011" t="str">
        <f>"オカヤマ　ミンブン　ゲッポウ"</f>
        <v>オカヤマ　ミンブン　ゲッポウ</v>
      </c>
      <c r="D1011" t="str">
        <f>"日本民主主義文学同盟岡山支部"</f>
        <v>日本民主主義文学同盟岡山支部</v>
      </c>
      <c r="E1011" t="str">
        <f>"ニホンミンシュシュギブンガクドウメイオカヤマシブ"</f>
        <v>ニホンミンシュシュギブンガクドウメイオカヤマシブ</v>
      </c>
      <c r="F1011" t="str">
        <f>""</f>
        <v/>
      </c>
      <c r="G1011" t="str">
        <f>"頻度不明"</f>
        <v>頻度不明</v>
      </c>
      <c r="H1011" t="str">
        <f>"2002222288961"</f>
        <v>2002222288961</v>
      </c>
      <c r="I1011" t="str">
        <f>HYPERLINK("#", "https://opac.libnet.pref.okayama.jp/licsxp-opac/WOpacMsgNewListToTifTilDetailAction.do?tilcod=2002222288961")</f>
        <v>https://opac.libnet.pref.okayama.jp/licsxp-opac/WOpacMsgNewListToTifTilDetailAction.do?tilcod=2002222288961</v>
      </c>
    </row>
    <row r="1012" spans="1:9" x14ac:dyDescent="0.4">
      <c r="A1012" t="str">
        <f>"岡山民報"</f>
        <v>岡山民報</v>
      </c>
      <c r="B1012" s="1" t="str">
        <f t="shared" si="57"/>
        <v>岡山民報</v>
      </c>
      <c r="C1012" t="str">
        <f>"オカヤマ　ミンポウ"</f>
        <v>オカヤマ　ミンポウ</v>
      </c>
      <c r="D1012" t="str">
        <f>"岡山民報社"</f>
        <v>岡山民報社</v>
      </c>
      <c r="E1012" t="str">
        <f>"オカヤマ ミンポウシャ"</f>
        <v>オカヤマ ミンポウシャ</v>
      </c>
      <c r="F1012" t="str">
        <f>"岡山"</f>
        <v>岡山</v>
      </c>
      <c r="G1012" t="str">
        <f>"週刊"</f>
        <v>週刊</v>
      </c>
      <c r="H1012" t="str">
        <f>"2002222300989"</f>
        <v>2002222300989</v>
      </c>
      <c r="I1012" t="str">
        <f>HYPERLINK("#", "https://opac.libnet.pref.okayama.jp/licsxp-opac/WOpacMsgNewListToTifTilDetailAction.do?tilcod=2002222300989")</f>
        <v>https://opac.libnet.pref.okayama.jp/licsxp-opac/WOpacMsgNewListToTifTilDetailAction.do?tilcod=2002222300989</v>
      </c>
    </row>
    <row r="1013" spans="1:9" x14ac:dyDescent="0.4">
      <c r="A1013" t="str">
        <f>"岡山民報"</f>
        <v>岡山民報</v>
      </c>
      <c r="B1013" s="1" t="str">
        <f t="shared" si="57"/>
        <v>岡山民報</v>
      </c>
      <c r="C1013" t="str">
        <f>"オカヤマ　ミンポウ"</f>
        <v>オカヤマ　ミンポウ</v>
      </c>
      <c r="D1013" t="str">
        <f>"岡山民報社"</f>
        <v>岡山民報社</v>
      </c>
      <c r="E1013" t="str">
        <f>"オカヤマ ミンポウシャ"</f>
        <v>オカヤマ ミンポウシャ</v>
      </c>
      <c r="F1013" t="str">
        <f>"岡山"</f>
        <v>岡山</v>
      </c>
      <c r="G1013" t="str">
        <f>"週刊"</f>
        <v>週刊</v>
      </c>
      <c r="H1013" t="str">
        <f>"2002222301077"</f>
        <v>2002222301077</v>
      </c>
      <c r="I1013" t="str">
        <f>HYPERLINK("#", "https://opac.libnet.pref.okayama.jp/licsxp-opac/WOpacMsgNewListToTifTilDetailAction.do?tilcod=2002222301077")</f>
        <v>https://opac.libnet.pref.okayama.jp/licsxp-opac/WOpacMsgNewListToTifTilDetailAction.do?tilcod=2002222301077</v>
      </c>
    </row>
    <row r="1014" spans="1:9" x14ac:dyDescent="0.4">
      <c r="A1014" t="str">
        <f>"岡山民報　縮刷版"</f>
        <v>岡山民報　縮刷版</v>
      </c>
      <c r="B1014" s="1" t="str">
        <f t="shared" si="57"/>
        <v>岡山民報　縮刷版</v>
      </c>
      <c r="C1014" t="str">
        <f>"オカヤマ　ミンポウ　シュクサツバン"</f>
        <v>オカヤマ　ミンポウ　シュクサツバン</v>
      </c>
      <c r="D1014" t="str">
        <f>"岡山民報社"</f>
        <v>岡山民報社</v>
      </c>
      <c r="E1014" t="str">
        <f>"オカヤマ ミンポウシャ"</f>
        <v>オカヤマ ミンポウシャ</v>
      </c>
      <c r="F1014" t="str">
        <f>""</f>
        <v/>
      </c>
      <c r="G1014" t="str">
        <f>"頻度不明"</f>
        <v>頻度不明</v>
      </c>
      <c r="H1014" t="str">
        <f>"2002222289743"</f>
        <v>2002222289743</v>
      </c>
      <c r="I1014" t="str">
        <f>HYPERLINK("#", "https://opac.libnet.pref.okayama.jp/licsxp-opac/WOpacMsgNewListToTifTilDetailAction.do?tilcod=2002222289743")</f>
        <v>https://opac.libnet.pref.okayama.jp/licsxp-opac/WOpacMsgNewListToTifTilDetailAction.do?tilcod=2002222289743</v>
      </c>
    </row>
    <row r="1015" spans="1:9" x14ac:dyDescent="0.4">
      <c r="A1015" t="str">
        <f>"OKAYAMA MOVE UP(岡山ムーブアップ)"</f>
        <v>OKAYAMA MOVE UP(岡山ムーブアップ)</v>
      </c>
      <c r="B1015" s="1" t="str">
        <f t="shared" si="57"/>
        <v>OKAYAMA MOVE UP(岡山ムーブアップ)</v>
      </c>
      <c r="C1015" t="str">
        <f>"オカヤマ ムーブ アップ"</f>
        <v>オカヤマ ムーブ アップ</v>
      </c>
      <c r="D1015" t="str">
        <f>"Headline"</f>
        <v>Headline</v>
      </c>
      <c r="E1015" t="str">
        <f>"ヘッドライン"</f>
        <v>ヘッドライン</v>
      </c>
      <c r="F1015" t="str">
        <f t="shared" ref="F1015:F1024" si="60">"岡山"</f>
        <v>岡山</v>
      </c>
      <c r="G1015" t="str">
        <f>"隔月刊"</f>
        <v>隔月刊</v>
      </c>
      <c r="H1015" t="str">
        <f>"2002222322006"</f>
        <v>2002222322006</v>
      </c>
      <c r="I1015" t="str">
        <f>HYPERLINK("#", "https://opac.libnet.pref.okayama.jp/licsxp-opac/WOpacMsgNewListToTifTilDetailAction.do?tilcod=2002222322006")</f>
        <v>https://opac.libnet.pref.okayama.jp/licsxp-opac/WOpacMsgNewListToTifTilDetailAction.do?tilcod=2002222322006</v>
      </c>
    </row>
    <row r="1016" spans="1:9" x14ac:dyDescent="0.4">
      <c r="A1016" t="str">
        <f>"岡山めさまし新聞"</f>
        <v>岡山めさまし新聞</v>
      </c>
      <c r="B1016" s="1" t="str">
        <f t="shared" si="57"/>
        <v>岡山めさまし新聞</v>
      </c>
      <c r="C1016" t="str">
        <f>"オカヤマ　メサマシ　シンブン"</f>
        <v>オカヤマ　メサマシ　シンブン</v>
      </c>
      <c r="D1016" t="str">
        <f>"岡山めさまし新聞社"</f>
        <v>岡山めさまし新聞社</v>
      </c>
      <c r="E1016" t="str">
        <f>"オカヤマメサマシシンブンシャ"</f>
        <v>オカヤマメサマシシンブンシャ</v>
      </c>
      <c r="F1016" t="str">
        <f t="shared" si="60"/>
        <v>岡山</v>
      </c>
      <c r="G1016" t="str">
        <f>"日刊"</f>
        <v>日刊</v>
      </c>
      <c r="H1016" t="str">
        <f>"2002222301068"</f>
        <v>2002222301068</v>
      </c>
      <c r="I1016" t="str">
        <f>HYPERLINK("#", "https://opac.libnet.pref.okayama.jp/licsxp-opac/WOpacMsgNewListToTifTilDetailAction.do?tilcod=2002222301068")</f>
        <v>https://opac.libnet.pref.okayama.jp/licsxp-opac/WOpacMsgNewListToTifTilDetailAction.do?tilcod=2002222301068</v>
      </c>
    </row>
    <row r="1017" spans="1:9" x14ac:dyDescent="0.4">
      <c r="A1017" t="str">
        <f>"岡山盲学校学校案内"</f>
        <v>岡山盲学校学校案内</v>
      </c>
      <c r="B1017" s="1" t="str">
        <f t="shared" si="57"/>
        <v>岡山盲学校学校案内</v>
      </c>
      <c r="C1017" t="str">
        <f>"オカヤマ　モウガッコウ　ガッコウ　アンナイ"</f>
        <v>オカヤマ　モウガッコウ　ガッコウ　アンナイ</v>
      </c>
      <c r="D1017" t="str">
        <f>"岡山盲学校"</f>
        <v>岡山盲学校</v>
      </c>
      <c r="E1017" t="str">
        <f>"オカヤマモウガッコウ"</f>
        <v>オカヤマモウガッコウ</v>
      </c>
      <c r="F1017" t="str">
        <f t="shared" si="60"/>
        <v>岡山</v>
      </c>
      <c r="G1017" t="str">
        <f>"年刊"</f>
        <v>年刊</v>
      </c>
      <c r="H1017" t="str">
        <f>"2002222301219"</f>
        <v>2002222301219</v>
      </c>
      <c r="I1017" t="str">
        <f>HYPERLINK("#", "https://opac.libnet.pref.okayama.jp/licsxp-opac/WOpacMsgNewListToTifTilDetailAction.do?tilcod=2002222301219")</f>
        <v>https://opac.libnet.pref.okayama.jp/licsxp-opac/WOpacMsgNewListToTifTilDetailAction.do?tilcod=2002222301219</v>
      </c>
    </row>
    <row r="1018" spans="1:9" x14ac:dyDescent="0.4">
      <c r="A1018" t="str">
        <f>"岡山盲学校学校要覧"</f>
        <v>岡山盲学校学校要覧</v>
      </c>
      <c r="B1018" s="1" t="str">
        <f t="shared" si="57"/>
        <v>岡山盲学校学校要覧</v>
      </c>
      <c r="C1018" t="str">
        <f>"オカヤマ　モウガッコウ　ガッコウ　ヨウラン"</f>
        <v>オカヤマ　モウガッコウ　ガッコウ　ヨウラン</v>
      </c>
      <c r="D1018" t="str">
        <f>"岡山盲学校"</f>
        <v>岡山盲学校</v>
      </c>
      <c r="E1018" t="str">
        <f>"オカヤマモウガッコウ"</f>
        <v>オカヤマモウガッコウ</v>
      </c>
      <c r="F1018" t="str">
        <f t="shared" si="60"/>
        <v>岡山</v>
      </c>
      <c r="G1018" t="str">
        <f>"年刊"</f>
        <v>年刊</v>
      </c>
      <c r="H1018" t="str">
        <f>"2002222300594"</f>
        <v>2002222300594</v>
      </c>
      <c r="I1018" t="str">
        <f>HYPERLINK("#", "https://opac.libnet.pref.okayama.jp/licsxp-opac/WOpacMsgNewListToTifTilDetailAction.do?tilcod=2002222300594")</f>
        <v>https://opac.libnet.pref.okayama.jp/licsxp-opac/WOpacMsgNewListToTifTilDetailAction.do?tilcod=2002222300594</v>
      </c>
    </row>
    <row r="1019" spans="1:9" x14ac:dyDescent="0.4">
      <c r="A1019" t="str">
        <f>"岡山桃太郎空港時刻表"</f>
        <v>岡山桃太郎空港時刻表</v>
      </c>
      <c r="B1019" s="1" t="str">
        <f t="shared" si="57"/>
        <v>岡山桃太郎空港時刻表</v>
      </c>
      <c r="C1019" t="str">
        <f>"オカヤマ　モモタロウ　クウコウ　ジコクヒョウ"</f>
        <v>オカヤマ　モモタロウ　クウコウ　ジコクヒョウ</v>
      </c>
      <c r="D1019" t="str">
        <f>"空路利用を促進する会"</f>
        <v>空路利用を促進する会</v>
      </c>
      <c r="E1019" t="str">
        <f>"クウロリヨウオソクシンスルカイ"</f>
        <v>クウロリヨウオソクシンスルカイ</v>
      </c>
      <c r="F1019" t="str">
        <f t="shared" si="60"/>
        <v>岡山</v>
      </c>
      <c r="G1019" t="str">
        <f>"不定期刊"</f>
        <v>不定期刊</v>
      </c>
      <c r="H1019" t="str">
        <f>"2002222331186"</f>
        <v>2002222331186</v>
      </c>
      <c r="I1019" t="str">
        <f>HYPERLINK("#", "https://opac.libnet.pref.okayama.jp/licsxp-opac/WOpacMsgNewListToTifTilDetailAction.do?tilcod=2002222331186")</f>
        <v>https://opac.libnet.pref.okayama.jp/licsxp-opac/WOpacMsgNewListToTifTilDetailAction.do?tilcod=2002222331186</v>
      </c>
    </row>
    <row r="1020" spans="1:9" x14ac:dyDescent="0.4">
      <c r="A1020" t="str">
        <f>"岡山大和新聞"</f>
        <v>岡山大和新聞</v>
      </c>
      <c r="B1020" s="1" t="str">
        <f t="shared" si="57"/>
        <v>岡山大和新聞</v>
      </c>
      <c r="C1020" t="str">
        <f>"オカヤマ　ヤマト　シンブン"</f>
        <v>オカヤマ　ヤマト　シンブン</v>
      </c>
      <c r="D1020" t="str">
        <f>"岡山大和新聞社"</f>
        <v>岡山大和新聞社</v>
      </c>
      <c r="E1020" t="str">
        <f>"オカヤマヤマトシンブンシャ"</f>
        <v>オカヤマヤマトシンブンシャ</v>
      </c>
      <c r="F1020" t="str">
        <f t="shared" si="60"/>
        <v>岡山</v>
      </c>
      <c r="G1020" t="str">
        <f>"月刊"</f>
        <v>月刊</v>
      </c>
      <c r="H1020" t="str">
        <f>"2002222300848"</f>
        <v>2002222300848</v>
      </c>
      <c r="I1020" t="str">
        <f>HYPERLINK("#", "https://opac.libnet.pref.okayama.jp/licsxp-opac/WOpacMsgNewListToTifTilDetailAction.do?tilcod=2002222300848")</f>
        <v>https://opac.libnet.pref.okayama.jp/licsxp-opac/WOpacMsgNewListToTifTilDetailAction.do?tilcod=2002222300848</v>
      </c>
    </row>
    <row r="1021" spans="1:9" x14ac:dyDescent="0.4">
      <c r="A1021" t="str">
        <f>"おかやまゆうあい(複製)"</f>
        <v>おかやまゆうあい(複製)</v>
      </c>
      <c r="B1021" s="1" t="str">
        <f t="shared" si="57"/>
        <v>おかやまゆうあい(複製)</v>
      </c>
      <c r="C1021" t="str">
        <f>"オカヤマ ユウアイ"</f>
        <v>オカヤマ ユウアイ</v>
      </c>
      <c r="D1021" t="str">
        <f>"岡山県知的障害者福祉協会"</f>
        <v>岡山県知的障害者福祉協会</v>
      </c>
      <c r="E1021" t="str">
        <f>"オカヤマケン チテキ ショウガイシャ フクシ キョウカイ"</f>
        <v>オカヤマケン チテキ ショウガイシャ フクシ キョウカイ</v>
      </c>
      <c r="F1021" t="str">
        <f t="shared" si="60"/>
        <v>岡山</v>
      </c>
      <c r="G1021" t="str">
        <f>"年３回刊"</f>
        <v>年３回刊</v>
      </c>
      <c r="H1021" t="str">
        <f>"2002222321166"</f>
        <v>2002222321166</v>
      </c>
      <c r="I1021" t="str">
        <f>HYPERLINK("#", "https://opac.libnet.pref.okayama.jp/licsxp-opac/WOpacMsgNewListToTifTilDetailAction.do?tilcod=2002222321166")</f>
        <v>https://opac.libnet.pref.okayama.jp/licsxp-opac/WOpacMsgNewListToTifTilDetailAction.do?tilcod=2002222321166</v>
      </c>
    </row>
    <row r="1022" spans="1:9" x14ac:dyDescent="0.4">
      <c r="A1022" t="str">
        <f>"岡山郵便局ニュース"</f>
        <v>岡山郵便局ニュース</v>
      </c>
      <c r="B1022" s="1" t="str">
        <f t="shared" si="57"/>
        <v>岡山郵便局ニュース</v>
      </c>
      <c r="C1022" t="str">
        <f>"オカヤマ　ユウビンキョク　ニュース"</f>
        <v>オカヤマ　ユウビンキョク　ニュース</v>
      </c>
      <c r="D1022" t="str">
        <f>"岡山郵便局"</f>
        <v>岡山郵便局</v>
      </c>
      <c r="E1022" t="str">
        <f>"オカヤマユウビンキョク"</f>
        <v>オカヤマユウビンキョク</v>
      </c>
      <c r="F1022" t="str">
        <f t="shared" si="60"/>
        <v>岡山</v>
      </c>
      <c r="G1022" t="str">
        <f>"月刊"</f>
        <v>月刊</v>
      </c>
      <c r="H1022" t="str">
        <f>"2002222300849"</f>
        <v>2002222300849</v>
      </c>
      <c r="I1022" t="str">
        <f>HYPERLINK("#", "https://opac.libnet.pref.okayama.jp/licsxp-opac/WOpacMsgNewListToTifTilDetailAction.do?tilcod=2002222300849")</f>
        <v>https://opac.libnet.pref.okayama.jp/licsxp-opac/WOpacMsgNewListToTifTilDetailAction.do?tilcod=2002222300849</v>
      </c>
    </row>
    <row r="1023" spans="1:9" x14ac:dyDescent="0.4">
      <c r="A1023" t="str">
        <f>"おかやま郵便局ニュース；岡山県郵便局ニュース"</f>
        <v>おかやま郵便局ニュース；岡山県郵便局ニュース</v>
      </c>
      <c r="B1023" s="1" t="str">
        <f t="shared" si="57"/>
        <v>おかやま郵便局ニュース；岡山県郵便局ニュース</v>
      </c>
      <c r="C1023" t="str">
        <f>"オカヤマ　ユウビンキョク　ニュース＊オカヤマケン　ユウビンキョク　ニュース"</f>
        <v>オカヤマ　ユウビンキョク　ニュース＊オカヤマケン　ユウビンキョク　ニュース</v>
      </c>
      <c r="D1023" t="str">
        <f>"岡山地区郵便協力会"</f>
        <v>岡山地区郵便協力会</v>
      </c>
      <c r="E1023" t="str">
        <f>"オカヤマチクユウビンキョウリョクカイ"</f>
        <v>オカヤマチクユウビンキョウリョクカイ</v>
      </c>
      <c r="F1023" t="str">
        <f t="shared" si="60"/>
        <v>岡山</v>
      </c>
      <c r="G1023" t="str">
        <f>"月刊"</f>
        <v>月刊</v>
      </c>
      <c r="H1023" t="str">
        <f>"2002222300851"</f>
        <v>2002222300851</v>
      </c>
      <c r="I1023" t="str">
        <f>HYPERLINK("#", "https://opac.libnet.pref.okayama.jp/licsxp-opac/WOpacMsgNewListToTifTilDetailAction.do?tilcod=2002222300851")</f>
        <v>https://opac.libnet.pref.okayama.jp/licsxp-opac/WOpacMsgNewListToTifTilDetailAction.do?tilcod=2002222300851</v>
      </c>
    </row>
    <row r="1024" spans="1:9" x14ac:dyDescent="0.4">
      <c r="A1024" t="str">
        <f>"岡山ユネスコ協会会報"</f>
        <v>岡山ユネスコ協会会報</v>
      </c>
      <c r="B1024" s="1" t="str">
        <f t="shared" si="57"/>
        <v>岡山ユネスコ協会会報</v>
      </c>
      <c r="C1024" t="str">
        <f>"オカヤマ　ユネスコ　キョウカイ　カイホウ"</f>
        <v>オカヤマ　ユネスコ　キョウカイ　カイホウ</v>
      </c>
      <c r="D1024" t="str">
        <f>"岡山ユネスコ協会"</f>
        <v>岡山ユネスコ協会</v>
      </c>
      <c r="E1024" t="str">
        <f>"オカヤマ ユネスコ キョウカイ"</f>
        <v>オカヤマ ユネスコ キョウカイ</v>
      </c>
      <c r="F1024" t="str">
        <f t="shared" si="60"/>
        <v>岡山</v>
      </c>
      <c r="G1024" t="str">
        <f>"頻度不明"</f>
        <v>頻度不明</v>
      </c>
      <c r="H1024" t="str">
        <f>"2002222300710"</f>
        <v>2002222300710</v>
      </c>
      <c r="I1024" t="str">
        <f>HYPERLINK("#", "https://opac.libnet.pref.okayama.jp/licsxp-opac/WOpacMsgNewListToTifTilDetailAction.do?tilcod=2002222300710")</f>
        <v>https://opac.libnet.pref.okayama.jp/licsxp-opac/WOpacMsgNewListToTifTilDetailAction.do?tilcod=2002222300710</v>
      </c>
    </row>
    <row r="1025" spans="1:9" x14ac:dyDescent="0.4">
      <c r="A1025" t="str">
        <f>"岡山湯郷ベルだより；Ｂｅｌｌｅ（ベル）"</f>
        <v>岡山湯郷ベルだより；Ｂｅｌｌｅ（ベル）</v>
      </c>
      <c r="B1025" s="1" t="str">
        <f t="shared" si="57"/>
        <v>岡山湯郷ベルだより；Ｂｅｌｌｅ（ベル）</v>
      </c>
      <c r="C1025" t="str">
        <f>"オカヤマ　ユノゴウ　ベル　ダヨリ＊ベル"</f>
        <v>オカヤマ　ユノゴウ　ベル　ダヨリ＊ベル</v>
      </c>
      <c r="D1025" t="str">
        <f>"美作スポーツ＆レジャークラブ"</f>
        <v>美作スポーツ＆レジャークラブ</v>
      </c>
      <c r="E1025" t="str">
        <f>"ミマサカスポーツアンドレジャークラブ"</f>
        <v>ミマサカスポーツアンドレジャークラブ</v>
      </c>
      <c r="F1025" t="str">
        <f>"美作"</f>
        <v>美作</v>
      </c>
      <c r="G1025" t="str">
        <f>"月刊"</f>
        <v>月刊</v>
      </c>
      <c r="H1025" t="str">
        <f>"2002222300425"</f>
        <v>2002222300425</v>
      </c>
      <c r="I1025" t="str">
        <f>HYPERLINK("#", "https://opac.libnet.pref.okayama.jp/licsxp-opac/WOpacMsgNewListToTifTilDetailAction.do?tilcod=2002222300425")</f>
        <v>https://opac.libnet.pref.okayama.jp/licsxp-opac/WOpacMsgNewListToTifTilDetailAction.do?tilcod=2002222300425</v>
      </c>
    </row>
    <row r="1026" spans="1:9" x14ac:dyDescent="0.4">
      <c r="A1026" t="str">
        <f>"岡山湯郷Ｂｅｌｌｅマッチデープログラム　ＡＣＴＩＯＮ（アクション）"</f>
        <v>岡山湯郷Ｂｅｌｌｅマッチデープログラム　ＡＣＴＩＯＮ（アクション）</v>
      </c>
      <c r="B1026" s="1" t="str">
        <f t="shared" si="57"/>
        <v>岡山湯郷Ｂｅｌｌｅマッチデープログラム　ＡＣＴＩＯＮ（アクション）</v>
      </c>
      <c r="C1026" t="str">
        <f>"オカヤマ　ユノゴウ　ベル　マッチ　デー　プログラム　アクション"</f>
        <v>オカヤマ　ユノゴウ　ベル　マッチ　デー　プログラム　アクション</v>
      </c>
      <c r="D1026" t="str">
        <f>"美作スポーツ＆レジャークラブ岡山湯郷Ｂｅｌｌｅ事務局"</f>
        <v>美作スポーツ＆レジャークラブ岡山湯郷Ｂｅｌｌｅ事務局</v>
      </c>
      <c r="E1026" t="str">
        <f>"ミマサカスポーツアンドレジャークラブオカヤマユノゴウベルジムキョク"</f>
        <v>ミマサカスポーツアンドレジャークラブオカヤマユノゴウベルジムキョク</v>
      </c>
      <c r="F1026" t="str">
        <f>"美作"</f>
        <v>美作</v>
      </c>
      <c r="G1026" t="str">
        <f>"不定期刊"</f>
        <v>不定期刊</v>
      </c>
      <c r="H1026" t="str">
        <f>"2002222301778"</f>
        <v>2002222301778</v>
      </c>
      <c r="I1026" t="str">
        <f>HYPERLINK("#", "https://opac.libnet.pref.okayama.jp/licsxp-opac/WOpacMsgNewListToTifTilDetailAction.do?tilcod=2002222301778")</f>
        <v>https://opac.libnet.pref.okayama.jp/licsxp-opac/WOpacMsgNewListToTifTilDetailAction.do?tilcod=2002222301778</v>
      </c>
    </row>
    <row r="1027" spans="1:9" x14ac:dyDescent="0.4">
      <c r="A1027" t="str">
        <f>"岡山湯郷Belleマッチデープログラム　PRIDE OF NAVY(プライド・オブ・ネイビー)"</f>
        <v>岡山湯郷Belleマッチデープログラム　PRIDE OF NAVY(プライド・オブ・ネイビー)</v>
      </c>
      <c r="B1027" s="1" t="str">
        <f t="shared" si="57"/>
        <v>岡山湯郷Belleマッチデープログラム　PRIDE OF NAVY(プライド・オブ・ネイビー)</v>
      </c>
      <c r="C1027" t="str">
        <f>"オカヤマ ユノゴウ ベル マッチ デー プログラム プライド オブ ネイビー"</f>
        <v>オカヤマ ユノゴウ ベル マッチ デー プログラム プライド オブ ネイビー</v>
      </c>
      <c r="D1027" t="str">
        <f>"岡山湯郷Belle"</f>
        <v>岡山湯郷Belle</v>
      </c>
      <c r="E1027" t="str">
        <f>"オカヤマ ユノゴウ ベル"</f>
        <v>オカヤマ ユノゴウ ベル</v>
      </c>
      <c r="F1027" t="str">
        <f>"美作"</f>
        <v>美作</v>
      </c>
      <c r="G1027" t="str">
        <f>"不定期刊"</f>
        <v>不定期刊</v>
      </c>
      <c r="H1027" t="str">
        <f>"2002222322866"</f>
        <v>2002222322866</v>
      </c>
      <c r="I1027" t="str">
        <f>HYPERLINK("#", "https://opac.libnet.pref.okayama.jp/licsxp-opac/WOpacMsgNewListToTifTilDetailAction.do?tilcod=2002222322866")</f>
        <v>https://opac.libnet.pref.okayama.jp/licsxp-opac/WOpacMsgNewListToTifTilDetailAction.do?tilcod=2002222322866</v>
      </c>
    </row>
    <row r="1028" spans="1:9" x14ac:dyDescent="0.4">
      <c r="A1028" t="str">
        <f>"岡山養護学校学校案内"</f>
        <v>岡山養護学校学校案内</v>
      </c>
      <c r="B1028" s="1" t="str">
        <f t="shared" ref="B1028:B1091" si="61">HYPERLINK("#", A1028)</f>
        <v>岡山養護学校学校案内</v>
      </c>
      <c r="C1028" t="str">
        <f>"オカヤマ　ヨウゴ　ガッコウ　ガッコウ　アンナイ"</f>
        <v>オカヤマ　ヨウゴ　ガッコウ　ガッコウ　アンナイ</v>
      </c>
      <c r="D1028" t="str">
        <f>"岡山養護学校"</f>
        <v>岡山養護学校</v>
      </c>
      <c r="E1028" t="str">
        <f>"オカヤマ ヨウゴ ガッコウ"</f>
        <v>オカヤマ ヨウゴ ガッコウ</v>
      </c>
      <c r="F1028" t="str">
        <f>"岡山"</f>
        <v>岡山</v>
      </c>
      <c r="G1028" t="str">
        <f>"年刊"</f>
        <v>年刊</v>
      </c>
      <c r="H1028" t="str">
        <f>"2002222301217"</f>
        <v>2002222301217</v>
      </c>
      <c r="I1028" t="str">
        <f>HYPERLINK("#", "https://opac.libnet.pref.okayama.jp/licsxp-opac/WOpacMsgNewListToTifTilDetailAction.do?tilcod=2002222301217")</f>
        <v>https://opac.libnet.pref.okayama.jp/licsxp-opac/WOpacMsgNewListToTifTilDetailAction.do?tilcod=2002222301217</v>
      </c>
    </row>
    <row r="1029" spans="1:9" x14ac:dyDescent="0.4">
      <c r="A1029" t="str">
        <f>"岡山養護学校学校要覧"</f>
        <v>岡山養護学校学校要覧</v>
      </c>
      <c r="B1029" s="1" t="str">
        <f t="shared" si="61"/>
        <v>岡山養護学校学校要覧</v>
      </c>
      <c r="C1029" t="str">
        <f>"オカヤマ　ヨウゴ　ガッコウ　ガッコウ　ヨウラン"</f>
        <v>オカヤマ　ヨウゴ　ガッコウ　ガッコウ　ヨウラン</v>
      </c>
      <c r="D1029" t="str">
        <f>"岡山養護学校"</f>
        <v>岡山養護学校</v>
      </c>
      <c r="E1029" t="str">
        <f>"オカヤマ ヨウゴ ガッコウ"</f>
        <v>オカヤマ ヨウゴ ガッコウ</v>
      </c>
      <c r="F1029" t="str">
        <f>"岡山"</f>
        <v>岡山</v>
      </c>
      <c r="G1029" t="str">
        <f>"年刊"</f>
        <v>年刊</v>
      </c>
      <c r="H1029" t="str">
        <f>"2002222300596"</f>
        <v>2002222300596</v>
      </c>
      <c r="I1029" t="str">
        <f>HYPERLINK("#", "https://opac.libnet.pref.okayama.jp/licsxp-opac/WOpacMsgNewListToTifTilDetailAction.do?tilcod=2002222300596")</f>
        <v>https://opac.libnet.pref.okayama.jp/licsxp-opac/WOpacMsgNewListToTifTilDetailAction.do?tilcod=2002222300596</v>
      </c>
    </row>
    <row r="1030" spans="1:9" x14ac:dyDescent="0.4">
      <c r="A1030" t="str">
        <f>"岡山養護学校わかたけ"</f>
        <v>岡山養護学校わかたけ</v>
      </c>
      <c r="B1030" s="1" t="str">
        <f t="shared" si="61"/>
        <v>岡山養護学校わかたけ</v>
      </c>
      <c r="C1030" t="str">
        <f>"オカヤマ　ヨウゴ　ガッコウ　ワカタケ"</f>
        <v>オカヤマ　ヨウゴ　ガッコウ　ワカタケ</v>
      </c>
      <c r="D1030" t="str">
        <f>"岡山養護学校広報部ＰＴＡ文化部"</f>
        <v>岡山養護学校広報部ＰＴＡ文化部</v>
      </c>
      <c r="E1030" t="str">
        <f>"オカヤマヨウゴガッコウコウホウブピーティーエーブンカブ"</f>
        <v>オカヤマヨウゴガッコウコウホウブピーティーエーブンカブ</v>
      </c>
      <c r="F1030" t="str">
        <f>"岡山"</f>
        <v>岡山</v>
      </c>
      <c r="G1030" t="str">
        <f>"年３回刊"</f>
        <v>年３回刊</v>
      </c>
      <c r="H1030" t="str">
        <f>"2002222301889"</f>
        <v>2002222301889</v>
      </c>
      <c r="I1030" t="str">
        <f>HYPERLINK("#", "https://opac.libnet.pref.okayama.jp/licsxp-opac/WOpacMsgNewListToTifTilDetailAction.do?tilcod=2002222301889")</f>
        <v>https://opac.libnet.pref.okayama.jp/licsxp-opac/WOpacMsgNewListToTifTilDetailAction.do?tilcod=2002222301889</v>
      </c>
    </row>
    <row r="1031" spans="1:9" x14ac:dyDescent="0.4">
      <c r="A1031" t="str">
        <f>"岡山読売ファミリー"</f>
        <v>岡山読売ファミリー</v>
      </c>
      <c r="B1031" s="1" t="str">
        <f t="shared" si="61"/>
        <v>岡山読売ファミリー</v>
      </c>
      <c r="C1031" t="str">
        <f>"オカヤマ　ヨミウリ　ファミリー"</f>
        <v>オカヤマ　ヨミウリ　ファミリー</v>
      </c>
      <c r="D1031" t="str">
        <f>"読宣岡山"</f>
        <v>読宣岡山</v>
      </c>
      <c r="E1031" t="str">
        <f>"ヨミウリオカヤマ"</f>
        <v>ヨミウリオカヤマ</v>
      </c>
      <c r="F1031" t="str">
        <f>"岡山"</f>
        <v>岡山</v>
      </c>
      <c r="G1031" t="str">
        <f>"月刊"</f>
        <v>月刊</v>
      </c>
      <c r="H1031" t="str">
        <f>"2002222300853"</f>
        <v>2002222300853</v>
      </c>
      <c r="I1031" t="str">
        <f>HYPERLINK("#", "https://opac.libnet.pref.okayama.jp/licsxp-opac/WOpacMsgNewListToTifTilDetailAction.do?tilcod=2002222300853")</f>
        <v>https://opac.libnet.pref.okayama.jp/licsxp-opac/WOpacMsgNewListToTifTilDetailAction.do?tilcod=2002222300853</v>
      </c>
    </row>
    <row r="1032" spans="1:9" x14ac:dyDescent="0.4">
      <c r="A1032" t="str">
        <f>"ＯＫＡＹＡＭＡ　ＬＩＯＮＳ　ＣＬＵＢ　ＯＦＦＩＣＩＡＬ　ＰＵＢＬＩＣＡＴＩＯＮ（オカヤマライオンズクラブオフィシャルパブリケーション）"</f>
        <v>ＯＫＡＹＡＭＡ　ＬＩＯＮＳ　ＣＬＵＢ　ＯＦＦＩＣＩＡＬ　ＰＵＢＬＩＣＡＴＩＯＮ（オカヤマライオンズクラブオフィシャルパブリケーション）</v>
      </c>
      <c r="B1032" s="1" t="str">
        <f t="shared" si="61"/>
        <v>ＯＫＡＹＡＭＡ　ＬＩＯＮＳ　ＣＬＵＢ　ＯＦＦＩＣＩＡＬ　ＰＵＢＬＩＣＡＴＩＯＮ（オカヤマライオンズクラブオフィシャルパブリケーション）</v>
      </c>
      <c r="C1032" t="str">
        <f>"オカヤマ　ライオンズ　クラブ　オフィシャル　パブリケーション"</f>
        <v>オカヤマ　ライオンズ　クラブ　オフィシャル　パブリケーション</v>
      </c>
      <c r="D1032" t="str">
        <f>"岡山ライオンズクラブ広報委員会"</f>
        <v>岡山ライオンズクラブ広報委員会</v>
      </c>
      <c r="E1032" t="str">
        <f>"オカヤマライオンズクラブコウホウイインカイ"</f>
        <v>オカヤマライオンズクラブコウホウイインカイ</v>
      </c>
      <c r="F1032" t="str">
        <f>""</f>
        <v/>
      </c>
      <c r="G1032" t="str">
        <f>"頻度不明"</f>
        <v>頻度不明</v>
      </c>
      <c r="H1032" t="str">
        <f>"2002222288971"</f>
        <v>2002222288971</v>
      </c>
      <c r="I1032" t="str">
        <f>HYPERLINK("#", "https://opac.libnet.pref.okayama.jp/licsxp-opac/WOpacMsgNewListToTifTilDetailAction.do?tilcod=2002222288971")</f>
        <v>https://opac.libnet.pref.okayama.jp/licsxp-opac/WOpacMsgNewListToTifTilDetailAction.do?tilcod=2002222288971</v>
      </c>
    </row>
    <row r="1033" spans="1:9" x14ac:dyDescent="0.4">
      <c r="A1033" t="str">
        <f>"岡山理科教育情報"</f>
        <v>岡山理科教育情報</v>
      </c>
      <c r="B1033" s="1" t="str">
        <f t="shared" si="61"/>
        <v>岡山理科教育情報</v>
      </c>
      <c r="C1033" t="str">
        <f>"オカヤマ　リカ　キョウイク　ジョウホウ"</f>
        <v>オカヤマ　リカ　キョウイク　ジョウホウ</v>
      </c>
      <c r="D1033" t="str">
        <f>"岡山県理科教育振興推進会"</f>
        <v>岡山県理科教育振興推進会</v>
      </c>
      <c r="E1033" t="str">
        <f>"オカヤマケンリカキョウイクシンコウスイシンカイ"</f>
        <v>オカヤマケンリカキョウイクシンコウスイシンカイ</v>
      </c>
      <c r="F1033" t="str">
        <f>""</f>
        <v/>
      </c>
      <c r="G1033" t="str">
        <f>"頻度不明"</f>
        <v>頻度不明</v>
      </c>
      <c r="H1033" t="str">
        <f>"2002222288981"</f>
        <v>2002222288981</v>
      </c>
      <c r="I1033" t="str">
        <f>HYPERLINK("#", "https://opac.libnet.pref.okayama.jp/licsxp-opac/WOpacMsgNewListToTifTilDetailAction.do?tilcod=2002222288981")</f>
        <v>https://opac.libnet.pref.okayama.jp/licsxp-opac/WOpacMsgNewListToTifTilDetailAction.do?tilcod=2002222288981</v>
      </c>
    </row>
    <row r="1034" spans="1:9" x14ac:dyDescent="0.4">
      <c r="A1034" t="str">
        <f>"〔岡山理科大学専門学校〕動物看護学科卒業研究抄録集"</f>
        <v>〔岡山理科大学専門学校〕動物看護学科卒業研究抄録集</v>
      </c>
      <c r="B1034" s="1" t="str">
        <f t="shared" si="61"/>
        <v>〔岡山理科大学専門学校〕動物看護学科卒業研究抄録集</v>
      </c>
      <c r="C1034" t="str">
        <f>"オカヤマ　リカ　ダイガウ　センモン　ガッコウ　ドウブツ　カンゴ　ガッカ　ソツギョウ　ケンキュウ　ショウロク　シュウ"</f>
        <v>オカヤマ　リカ　ダイガウ　センモン　ガッコウ　ドウブツ　カンゴ　ガッカ　ソツギョウ　ケンキュウ　ショウロク　シュウ</v>
      </c>
      <c r="D1034" t="str">
        <f>"岡山理科大学専門学校"</f>
        <v>岡山理科大学専門学校</v>
      </c>
      <c r="E1034" t="str">
        <f>"オカヤマ リカ ダイガク センモン ガッコウ"</f>
        <v>オカヤマ リカ ダイガク センモン ガッコウ</v>
      </c>
      <c r="F1034" t="str">
        <f>"岡山"</f>
        <v>岡山</v>
      </c>
      <c r="G1034" t="str">
        <f>"頻度不明"</f>
        <v>頻度不明</v>
      </c>
      <c r="H1034" t="str">
        <f>"2002222302373"</f>
        <v>2002222302373</v>
      </c>
      <c r="I1034" t="str">
        <f>HYPERLINK("#", "https://opac.libnet.pref.okayama.jp/licsxp-opac/WOpacMsgNewListToTifTilDetailAction.do?tilcod=2002222302373")</f>
        <v>https://opac.libnet.pref.okayama.jp/licsxp-opac/WOpacMsgNewListToTifTilDetailAction.do?tilcod=2002222302373</v>
      </c>
    </row>
    <row r="1035" spans="1:9" x14ac:dyDescent="0.4">
      <c r="A1035" t="str">
        <f>"岡山理科大学紀要"</f>
        <v>岡山理科大学紀要</v>
      </c>
      <c r="B1035" s="1" t="str">
        <f t="shared" si="61"/>
        <v>岡山理科大学紀要</v>
      </c>
      <c r="C1035" t="str">
        <f>"オカヤマ　リカ　ダイガク　キヨウ"</f>
        <v>オカヤマ　リカ　ダイガク　キヨウ</v>
      </c>
      <c r="D1035" t="str">
        <f>"岡山理科大学"</f>
        <v>岡山理科大学</v>
      </c>
      <c r="E1035" t="str">
        <f>"オカヤマリカダイガク"</f>
        <v>オカヤマリカダイガク</v>
      </c>
      <c r="F1035" t="str">
        <f>"岡山"</f>
        <v>岡山</v>
      </c>
      <c r="G1035" t="str">
        <f>"年刊"</f>
        <v>年刊</v>
      </c>
      <c r="H1035" t="str">
        <f>"2002222280781"</f>
        <v>2002222280781</v>
      </c>
      <c r="I1035" t="str">
        <f>HYPERLINK("#", "https://opac.libnet.pref.okayama.jp/licsxp-opac/WOpacMsgNewListToTifTilDetailAction.do?tilcod=2002222280781")</f>
        <v>https://opac.libnet.pref.okayama.jp/licsxp-opac/WOpacMsgNewListToTifTilDetailAction.do?tilcod=2002222280781</v>
      </c>
    </row>
    <row r="1036" spans="1:9" x14ac:dyDescent="0.4">
      <c r="A1036" t="str">
        <f>"岡山理科大学同窓会報"</f>
        <v>岡山理科大学同窓会報</v>
      </c>
      <c r="B1036" s="1" t="str">
        <f t="shared" si="61"/>
        <v>岡山理科大学同窓会報</v>
      </c>
      <c r="C1036" t="str">
        <f>"オカヤマ リカ ダイガク ドウソウ カイ ホウ"</f>
        <v>オカヤマ リカ ダイガク ドウソウ カイ ホウ</v>
      </c>
      <c r="D1036" t="str">
        <f>"岡山理科大学同窓会本部"</f>
        <v>岡山理科大学同窓会本部</v>
      </c>
      <c r="E1036" t="str">
        <f>"オカヤマ リカ ダイガク ドウソウ カイ ホンブ"</f>
        <v>オカヤマ リカ ダイガク ドウソウ カイ ホンブ</v>
      </c>
      <c r="F1036" t="str">
        <f>"岡山"</f>
        <v>岡山</v>
      </c>
      <c r="G1036" t="str">
        <f>"頻度不明"</f>
        <v>頻度不明</v>
      </c>
      <c r="H1036" t="str">
        <f>"2002222337950"</f>
        <v>2002222337950</v>
      </c>
      <c r="I1036" t="str">
        <f>HYPERLINK("#", "https://opac.libnet.pref.okayama.jp/licsxp-opac/WOpacMsgNewListToTifTilDetailAction.do?tilcod=2002222337950")</f>
        <v>https://opac.libnet.pref.okayama.jp/licsxp-opac/WOpacMsgNewListToTifTilDetailAction.do?tilcod=2002222337950</v>
      </c>
    </row>
    <row r="1037" spans="1:9" x14ac:dyDescent="0.4">
      <c r="A1037" t="str">
        <f>"〔岡山理科大学〕蒜山研究所研究報告"</f>
        <v>〔岡山理科大学〕蒜山研究所研究報告</v>
      </c>
      <c r="B1037" s="1" t="str">
        <f t="shared" si="61"/>
        <v>〔岡山理科大学〕蒜山研究所研究報告</v>
      </c>
      <c r="C1037" t="str">
        <f>"オカヤマ　リカ　ダイガク　ヒルゼン　ケンキュウジョ　ケンキュウ　ホウコク"</f>
        <v>オカヤマ　リカ　ダイガク　ヒルゼン　ケンキュウジョ　ケンキュウ　ホウコク</v>
      </c>
      <c r="D1037" t="str">
        <f>"岡山理科大学蒜山研究所"</f>
        <v>岡山理科大学蒜山研究所</v>
      </c>
      <c r="E1037" t="str">
        <f>"オカヤマ リカ ダイガク ヒルゼン ケンキュウショ"</f>
        <v>オカヤマ リカ ダイガク ヒルゼン ケンキュウショ</v>
      </c>
      <c r="F1037" t="str">
        <f>""</f>
        <v/>
      </c>
      <c r="G1037" t="str">
        <f>"年刊"</f>
        <v>年刊</v>
      </c>
      <c r="H1037" t="str">
        <f>"2002222288573"</f>
        <v>2002222288573</v>
      </c>
      <c r="I1037" t="str">
        <f>HYPERLINK("#", "https://opac.libnet.pref.okayama.jp/licsxp-opac/WOpacMsgNewListToTifTilDetailAction.do?tilcod=2002222288573")</f>
        <v>https://opac.libnet.pref.okayama.jp/licsxp-opac/WOpacMsgNewListToTifTilDetailAction.do?tilcod=2002222288573</v>
      </c>
    </row>
    <row r="1038" spans="1:9" x14ac:dyDescent="0.4">
      <c r="A1038" t="str">
        <f>"[岡山理科大学附属高等学校JRC機関誌]　雑草"</f>
        <v>[岡山理科大学附属高等学校JRC機関誌]　雑草</v>
      </c>
      <c r="B1038" s="1" t="str">
        <f t="shared" si="61"/>
        <v>[岡山理科大学附属高等学校JRC機関誌]　雑草</v>
      </c>
      <c r="C1038" t="str">
        <f>"オカヤマ リカ ダイガク フゾク コウトウ ガコウ ジェイ アール シー キカンシ ザッソウ"</f>
        <v>オカヤマ リカ ダイガク フゾク コウトウ ガコウ ジェイ アール シー キカンシ ザッソウ</v>
      </c>
      <c r="D1038" t="str">
        <f>"岡山理科大学附属高等学校JRC（青少年赤十字団）"</f>
        <v>岡山理科大学附属高等学校JRC（青少年赤十字団）</v>
      </c>
      <c r="E1038" t="str">
        <f>"オカヤマ リカ ダイガク フゾク コウトウ ガッコウ ジェイ アール シー セイショウネン セキジュウジダン"</f>
        <v>オカヤマ リカ ダイガク フゾク コウトウ ガッコウ ジェイ アール シー セイショウネン セキジュウジダン</v>
      </c>
      <c r="F1038" t="str">
        <f>"岡山"</f>
        <v>岡山</v>
      </c>
      <c r="G1038" t="str">
        <f>"月２回刊"</f>
        <v>月２回刊</v>
      </c>
      <c r="H1038" t="str">
        <f>"2002222328516"</f>
        <v>2002222328516</v>
      </c>
      <c r="I1038" t="str">
        <f>HYPERLINK("#", "https://opac.libnet.pref.okayama.jp/licsxp-opac/WOpacMsgNewListToTifTilDetailAction.do?tilcod=2002222328516")</f>
        <v>https://opac.libnet.pref.okayama.jp/licsxp-opac/WOpacMsgNewListToTifTilDetailAction.do?tilcod=2002222328516</v>
      </c>
    </row>
    <row r="1039" spans="1:9" x14ac:dyDescent="0.4">
      <c r="A1039" t="str">
        <f>"岡山理科大学附属高等学校学校案内"</f>
        <v>岡山理科大学附属高等学校学校案内</v>
      </c>
      <c r="B1039" s="1" t="str">
        <f t="shared" si="61"/>
        <v>岡山理科大学附属高等学校学校案内</v>
      </c>
      <c r="C1039" t="str">
        <f>"オカヤマ　リカ　ダイガク　フゾク　コウトウ　ガッコウ　ガッコウ　アンナイ"</f>
        <v>オカヤマ　リカ　ダイガク　フゾク　コウトウ　ガッコウ　ガッコウ　アンナイ</v>
      </c>
      <c r="D1039" t="str">
        <f>"岡山理科大学附属高等学校"</f>
        <v>岡山理科大学附属高等学校</v>
      </c>
      <c r="E1039" t="str">
        <f>"オカヤマ リカ ダイガク フゾク コウトウ ガッコウ"</f>
        <v>オカヤマ リカ ダイガク フゾク コウトウ ガッコウ</v>
      </c>
      <c r="F1039" t="str">
        <f>"岡山"</f>
        <v>岡山</v>
      </c>
      <c r="G1039" t="str">
        <f>"年刊"</f>
        <v>年刊</v>
      </c>
      <c r="H1039" t="str">
        <f>"2002222301192"</f>
        <v>2002222301192</v>
      </c>
      <c r="I1039" t="str">
        <f>HYPERLINK("#", "https://opac.libnet.pref.okayama.jp/licsxp-opac/WOpacMsgNewListToTifTilDetailAction.do?tilcod=2002222301192")</f>
        <v>https://opac.libnet.pref.okayama.jp/licsxp-opac/WOpacMsgNewListToTifTilDetailAction.do?tilcod=2002222301192</v>
      </c>
    </row>
    <row r="1040" spans="1:9" x14ac:dyDescent="0.4">
      <c r="A1040" t="str">
        <f>"岡山理科大学附属高等学校学校要覧"</f>
        <v>岡山理科大学附属高等学校学校要覧</v>
      </c>
      <c r="B1040" s="1" t="str">
        <f t="shared" si="61"/>
        <v>岡山理科大学附属高等学校学校要覧</v>
      </c>
      <c r="C1040" t="str">
        <f>"オカヤマ　リカ　ダイガク　フゾク　コウトウ　ガッコウ　ガッコウ　ヨウラン"</f>
        <v>オカヤマ　リカ　ダイガク　フゾク　コウトウ　ガッコウ　ガッコウ　ヨウラン</v>
      </c>
      <c r="D1040" t="str">
        <f>"岡山理科大学附属高等学校"</f>
        <v>岡山理科大学附属高等学校</v>
      </c>
      <c r="E1040" t="str">
        <f>"オカヤマ リカ ダイガク フゾク コウトウ ガッコウ"</f>
        <v>オカヤマ リカ ダイガク フゾク コウトウ ガッコウ</v>
      </c>
      <c r="F1040" t="str">
        <f>"岡山"</f>
        <v>岡山</v>
      </c>
      <c r="G1040" t="str">
        <f>"年刊"</f>
        <v>年刊</v>
      </c>
      <c r="H1040" t="str">
        <f>"2002222300576"</f>
        <v>2002222300576</v>
      </c>
      <c r="I1040" t="str">
        <f>HYPERLINK("#", "https://opac.libnet.pref.okayama.jp/licsxp-opac/WOpacMsgNewListToTifTilDetailAction.do?tilcod=2002222300576")</f>
        <v>https://opac.libnet.pref.okayama.jp/licsxp-opac/WOpacMsgNewListToTifTilDetailAction.do?tilcod=2002222300576</v>
      </c>
    </row>
    <row r="1041" spans="1:9" x14ac:dyDescent="0.4">
      <c r="A1041" t="str">
        <f>"岡山理科大学附属高等学校【通信制課程】学校案内"</f>
        <v>岡山理科大学附属高等学校【通信制課程】学校案内</v>
      </c>
      <c r="B1041" s="1" t="str">
        <f t="shared" si="61"/>
        <v>岡山理科大学附属高等学校【通信制課程】学校案内</v>
      </c>
      <c r="C1041" t="str">
        <f>"オカヤマ リカ ダイガク フゾク コウトウ ガッコウ ツウシンセイ カテイ ガッコウ アンナイ"</f>
        <v>オカヤマ リカ ダイガク フゾク コウトウ ガッコウ ツウシンセイ カテイ ガッコウ アンナイ</v>
      </c>
      <c r="D1041" t="str">
        <f>"岡山理科大学附属高等学校"</f>
        <v>岡山理科大学附属高等学校</v>
      </c>
      <c r="E1041" t="str">
        <f>"オカヤマ リカ ダイガク フゾク コウトウ ガッコウ"</f>
        <v>オカヤマ リカ ダイガク フゾク コウトウ ガッコウ</v>
      </c>
      <c r="F1041" t="str">
        <f>"岡山"</f>
        <v>岡山</v>
      </c>
      <c r="G1041" t="str">
        <f>"年刊"</f>
        <v>年刊</v>
      </c>
      <c r="H1041" t="str">
        <f>"2002222301295"</f>
        <v>2002222301295</v>
      </c>
      <c r="I1041" t="str">
        <f>HYPERLINK("#", "https://opac.libnet.pref.okayama.jp/licsxp-opac/WOpacMsgNewListToTifTilDetailAction.do?tilcod=2002222301295")</f>
        <v>https://opac.libnet.pref.okayama.jp/licsxp-opac/WOpacMsgNewListToTifTilDetailAction.do?tilcod=2002222301295</v>
      </c>
    </row>
    <row r="1042" spans="1:9" x14ac:dyDescent="0.4">
      <c r="A1042" t="str">
        <f>"〔岡山理科大学附属高等学校通信制課程〕Ｒ通だより"</f>
        <v>〔岡山理科大学附属高等学校通信制課程〕Ｒ通だより</v>
      </c>
      <c r="B1042" s="1" t="str">
        <f t="shared" si="61"/>
        <v>〔岡山理科大学附属高等学校通信制課程〕Ｒ通だより</v>
      </c>
      <c r="C1042" t="str">
        <f>"オカヤマ　リカ　ダイガク　フゾク　コウトウ　ガッコウ　ツウシンセイ　カテイ＊アール　ツウ　ダヨリ"</f>
        <v>オカヤマ　リカ　ダイガク　フゾク　コウトウ　ガッコウ　ツウシンセイ　カテイ＊アール　ツウ　ダヨリ</v>
      </c>
      <c r="D1042" t="str">
        <f>"岡山理科大学附属高等学校通信制課程"</f>
        <v>岡山理科大学附属高等学校通信制課程</v>
      </c>
      <c r="E1042" t="str">
        <f>"オカヤマリカダイガクフゾクコウトウガッコウツウシンセイカテイ"</f>
        <v>オカヤマリカダイガクフゾクコウトウガッコウツウシンセイカテイ</v>
      </c>
      <c r="F1042" t="str">
        <f>"岡山"</f>
        <v>岡山</v>
      </c>
      <c r="G1042" t="str">
        <f>"頻度不明"</f>
        <v>頻度不明</v>
      </c>
      <c r="H1042" t="str">
        <f>"2002222302049"</f>
        <v>2002222302049</v>
      </c>
      <c r="I1042" t="str">
        <f>HYPERLINK("#", "https://opac.libnet.pref.okayama.jp/licsxp-opac/WOpacMsgNewListToTifTilDetailAction.do?tilcod=2002222302049")</f>
        <v>https://opac.libnet.pref.okayama.jp/licsxp-opac/WOpacMsgNewListToTifTilDetailAction.do?tilcod=2002222302049</v>
      </c>
    </row>
    <row r="1043" spans="1:9" x14ac:dyDescent="0.4">
      <c r="A1043" t="str">
        <f>"〔岡山理科大学附属高等学校〕理大附高新聞"</f>
        <v>〔岡山理科大学附属高等学校〕理大附高新聞</v>
      </c>
      <c r="B1043" s="1" t="str">
        <f t="shared" si="61"/>
        <v>〔岡山理科大学附属高等学校〕理大附高新聞</v>
      </c>
      <c r="C1043" t="str">
        <f>"オカヤマ リカ ダイガク フゾク コウトウ ガッコウ リダイフコウ シンブン"</f>
        <v>オカヤマ リカ ダイガク フゾク コウトウ ガッコウ リダイフコウ シンブン</v>
      </c>
      <c r="D1043" t="str">
        <f>"岡山理科大学附属高等学校生徒会執行部"</f>
        <v>岡山理科大学附属高等学校生徒会執行部</v>
      </c>
      <c r="E1043" t="str">
        <f>"オカヤマ リカ ダイガク フゾク コウトウ ガッコウ セイトカイ シッコウブ"</f>
        <v>オカヤマ リカ ダイガク フゾク コウトウ ガッコウ セイトカイ シッコウブ</v>
      </c>
      <c r="F1043" t="str">
        <f>""</f>
        <v/>
      </c>
      <c r="G1043" t="str">
        <f>"頻度不明"</f>
        <v>頻度不明</v>
      </c>
      <c r="H1043" t="str">
        <f>"2002222318327"</f>
        <v>2002222318327</v>
      </c>
      <c r="I1043" t="str">
        <f>HYPERLINK("#", "https://opac.libnet.pref.okayama.jp/licsxp-opac/WOpacMsgNewListToTifTilDetailAction.do?tilcod=2002222318327")</f>
        <v>https://opac.libnet.pref.okayama.jp/licsxp-opac/WOpacMsgNewListToTifTilDetailAction.do?tilcod=2002222318327</v>
      </c>
    </row>
    <row r="1044" spans="1:9" x14ac:dyDescent="0.4">
      <c r="A1044" t="str">
        <f>"〔岡山理科大学附属高等学校〕ＡＮＤ"</f>
        <v>〔岡山理科大学附属高等学校〕ＡＮＤ</v>
      </c>
      <c r="B1044" s="1" t="str">
        <f t="shared" si="61"/>
        <v>〔岡山理科大学附属高等学校〕ＡＮＤ</v>
      </c>
      <c r="C1044" t="str">
        <f>"オカヤマ　リカ　ダイガク　フゾク　コウトウ　ガッコウ＊アンド"</f>
        <v>オカヤマ　リカ　ダイガク　フゾク　コウトウ　ガッコウ＊アンド</v>
      </c>
      <c r="D1044" t="str">
        <f>"岡山理科大学附属高等学校文芸部"</f>
        <v>岡山理科大学附属高等学校文芸部</v>
      </c>
      <c r="E1044" t="str">
        <f>"オカヤマリカダイガクフゾクコウトウガッコウブンゲイブ"</f>
        <v>オカヤマリカダイガクフゾクコウトウガッコウブンゲイブ</v>
      </c>
      <c r="F1044" t="str">
        <f>"岡山"</f>
        <v>岡山</v>
      </c>
      <c r="G1044" t="str">
        <f>"不定期刊"</f>
        <v>不定期刊</v>
      </c>
      <c r="H1044" t="str">
        <f>"2002222300459"</f>
        <v>2002222300459</v>
      </c>
      <c r="I1044" t="str">
        <f>HYPERLINK("#", "https://opac.libnet.pref.okayama.jp/licsxp-opac/WOpacMsgNewListToTifTilDetailAction.do?tilcod=2002222300459")</f>
        <v>https://opac.libnet.pref.okayama.jp/licsxp-opac/WOpacMsgNewListToTifTilDetailAction.do?tilcod=2002222300459</v>
      </c>
    </row>
    <row r="1045" spans="1:9" x14ac:dyDescent="0.4">
      <c r="A1045" t="str">
        <f>"[岡山理科大学附属中学・高等学校図書館]図書館冊子"</f>
        <v>[岡山理科大学附属中学・高等学校図書館]図書館冊子</v>
      </c>
      <c r="B1045" s="1" t="str">
        <f t="shared" si="61"/>
        <v>[岡山理科大学附属中学・高等学校図書館]図書館冊子</v>
      </c>
      <c r="C1045" t="str">
        <f>"オカヤマ　リカ　ダイガク　フゾク　チュウガク　コウトウ　ガッコウ　トショカン＊トショカンサッシ"</f>
        <v>オカヤマ　リカ　ダイガク　フゾク　チュウガク　コウトウ　ガッコウ　トショカン＊トショカンサッシ</v>
      </c>
      <c r="D1045" t="str">
        <f>"岡山理科大学附属中学・高等学校図書館"</f>
        <v>岡山理科大学附属中学・高等学校図書館</v>
      </c>
      <c r="E1045" t="str">
        <f>"オカヤマ　リカダイガク　フゾク　チュウガク　コウトウ　ガッコウ　トショカン"</f>
        <v>オカヤマ　リカダイガク　フゾク　チュウガク　コウトウ　ガッコウ　トショカン</v>
      </c>
      <c r="F1045" t="str">
        <f>"岡山"</f>
        <v>岡山</v>
      </c>
      <c r="G1045" t="str">
        <f>"頻度不明"</f>
        <v>頻度不明</v>
      </c>
      <c r="H1045" t="str">
        <f>"2002222311868"</f>
        <v>2002222311868</v>
      </c>
      <c r="I1045" t="str">
        <f>HYPERLINK("#", "https://opac.libnet.pref.okayama.jp/licsxp-opac/WOpacMsgNewListToTifTilDetailAction.do?tilcod=2002222311868")</f>
        <v>https://opac.libnet.pref.okayama.jp/licsxp-opac/WOpacMsgNewListToTifTilDetailAction.do?tilcod=2002222311868</v>
      </c>
    </row>
    <row r="1046" spans="1:9" x14ac:dyDescent="0.4">
      <c r="A1046" t="str">
        <f>"岡山理科大学附属中学校[中高一貫教育]学校案内"</f>
        <v>岡山理科大学附属中学校[中高一貫教育]学校案内</v>
      </c>
      <c r="B1046" s="1" t="str">
        <f t="shared" si="61"/>
        <v>岡山理科大学附属中学校[中高一貫教育]学校案内</v>
      </c>
      <c r="C1046" t="str">
        <f>"オカヤマ リカ ダイガク フゾク チュウガッコウ＊チュウコウ イッカン キョウイク＊ガッコウ アンナイ"</f>
        <v>オカヤマ リカ ダイガク フゾク チュウガッコウ＊チュウコウ イッカン キョウイク＊ガッコウ アンナイ</v>
      </c>
      <c r="D1046" t="str">
        <f>"岡山理科大学附属中学校"</f>
        <v>岡山理科大学附属中学校</v>
      </c>
      <c r="E1046" t="str">
        <f>"オカヤマ リカ ダイガク フゾク チュウガッコウ"</f>
        <v>オカヤマ リカ ダイガク フゾク チュウガッコウ</v>
      </c>
      <c r="F1046" t="str">
        <f>"岡山"</f>
        <v>岡山</v>
      </c>
      <c r="G1046" t="str">
        <f t="shared" ref="G1046:G1051" si="62">"年刊"</f>
        <v>年刊</v>
      </c>
      <c r="H1046" t="str">
        <f>"2002222302055"</f>
        <v>2002222302055</v>
      </c>
      <c r="I1046" t="str">
        <f>HYPERLINK("#", "https://opac.libnet.pref.okayama.jp/licsxp-opac/WOpacMsgNewListToTifTilDetailAction.do?tilcod=2002222302055")</f>
        <v>https://opac.libnet.pref.okayama.jp/licsxp-opac/WOpacMsgNewListToTifTilDetailAction.do?tilcod=2002222302055</v>
      </c>
    </row>
    <row r="1047" spans="1:9" x14ac:dyDescent="0.4">
      <c r="A1047" t="str">
        <f>"[岡山理科大学]フロンティア理工学研究所研究報告"</f>
        <v>[岡山理科大学]フロンティア理工学研究所研究報告</v>
      </c>
      <c r="B1047" s="1" t="str">
        <f t="shared" si="61"/>
        <v>[岡山理科大学]フロンティア理工学研究所研究報告</v>
      </c>
      <c r="C1047" t="str">
        <f>"オカヤマ リカ ダイガク フロンティア リコウガク ケンキュウジョ ケンキュウ ホウコク"</f>
        <v>オカヤマ リカ ダイガク フロンティア リコウガク ケンキュウジョ ケンキュウ ホウコク</v>
      </c>
      <c r="D1047" t="str">
        <f>"岡山理科大学フロンティア理工学研究所"</f>
        <v>岡山理科大学フロンティア理工学研究所</v>
      </c>
      <c r="E1047" t="str">
        <f>"オカヤマリカダイガク フロンティア リコウガク ケンキュウショ"</f>
        <v>オカヤマリカダイガク フロンティア リコウガク ケンキュウショ</v>
      </c>
      <c r="F1047" t="str">
        <f>"岡山"</f>
        <v>岡山</v>
      </c>
      <c r="G1047" t="str">
        <f t="shared" si="62"/>
        <v>年刊</v>
      </c>
      <c r="H1047" t="str">
        <f>"2002222336946"</f>
        <v>2002222336946</v>
      </c>
      <c r="I1047" t="str">
        <f>HYPERLINK("#", "https://opac.libnet.pref.okayama.jp/licsxp-opac/WOpacMsgNewListToTifTilDetailAction.do?tilcod=2002222336946")</f>
        <v>https://opac.libnet.pref.okayama.jp/licsxp-opac/WOpacMsgNewListToTifTilDetailAction.do?tilcod=2002222336946</v>
      </c>
    </row>
    <row r="1048" spans="1:9" x14ac:dyDescent="0.4">
      <c r="A1048" t="str">
        <f>"〔岡山理科大学〕自然科学研究所研究報告"</f>
        <v>〔岡山理科大学〕自然科学研究所研究報告</v>
      </c>
      <c r="B1048" s="1" t="str">
        <f t="shared" si="61"/>
        <v>〔岡山理科大学〕自然科学研究所研究報告</v>
      </c>
      <c r="C1048" t="str">
        <f>"オカヤマ　リカ　ダイガク＊シゼン　カガク　ケンキュウショ　ケンキュウ　ホウコク"</f>
        <v>オカヤマ　リカ　ダイガク＊シゼン　カガク　ケンキュウショ　ケンキュウ　ホウコク</v>
      </c>
      <c r="D1048" t="str">
        <f>"岡山理科大学自然科学研究所"</f>
        <v>岡山理科大学自然科学研究所</v>
      </c>
      <c r="E1048" t="str">
        <f>"オカヤマリカダイガクシゼンカガクケンキュウジョ"</f>
        <v>オカヤマリカダイガクシゼンカガクケンキュウジョ</v>
      </c>
      <c r="F1048" t="str">
        <f>"岡山"</f>
        <v>岡山</v>
      </c>
      <c r="G1048" t="str">
        <f t="shared" si="62"/>
        <v>年刊</v>
      </c>
      <c r="H1048" t="str">
        <f>"2002222280791"</f>
        <v>2002222280791</v>
      </c>
      <c r="I1048" t="str">
        <f>HYPERLINK("#", "https://opac.libnet.pref.okayama.jp/licsxp-opac/WOpacMsgNewListToTifTilDetailAction.do?tilcod=2002222280791")</f>
        <v>https://opac.libnet.pref.okayama.jp/licsxp-opac/WOpacMsgNewListToTifTilDetailAction.do?tilcod=2002222280791</v>
      </c>
    </row>
    <row r="1049" spans="1:9" x14ac:dyDescent="0.4">
      <c r="A1049" t="str">
        <f>"岡山龍谷高等学校学校案内"</f>
        <v>岡山龍谷高等学校学校案内</v>
      </c>
      <c r="B1049" s="1" t="str">
        <f t="shared" si="61"/>
        <v>岡山龍谷高等学校学校案内</v>
      </c>
      <c r="C1049" t="str">
        <f>"オカヤマ リュウコク コウトウ ガッコウ ガッコウ アンナイ"</f>
        <v>オカヤマ リュウコク コウトウ ガッコウ ガッコウ アンナイ</v>
      </c>
      <c r="D1049" t="str">
        <f>"岡山龍谷高等学校"</f>
        <v>岡山龍谷高等学校</v>
      </c>
      <c r="E1049" t="str">
        <f>"オカヤマ リュウコク コウトウ ガッコウ"</f>
        <v>オカヤマ リュウコク コウトウ ガッコウ</v>
      </c>
      <c r="F1049" t="str">
        <f>"笠岡"</f>
        <v>笠岡</v>
      </c>
      <c r="G1049" t="str">
        <f t="shared" si="62"/>
        <v>年刊</v>
      </c>
      <c r="H1049" t="str">
        <f>"2002222316047"</f>
        <v>2002222316047</v>
      </c>
      <c r="I1049" t="str">
        <f>HYPERLINK("#", "https://opac.libnet.pref.okayama.jp/licsxp-opac/WOpacMsgNewListToTifTilDetailAction.do?tilcod=2002222316047")</f>
        <v>https://opac.libnet.pref.okayama.jp/licsxp-opac/WOpacMsgNewListToTifTilDetailAction.do?tilcod=2002222316047</v>
      </c>
    </row>
    <row r="1050" spans="1:9" x14ac:dyDescent="0.4">
      <c r="A1050" t="str">
        <f>"岡山龍谷高等学校学校要覧"</f>
        <v>岡山龍谷高等学校学校要覧</v>
      </c>
      <c r="B1050" s="1" t="str">
        <f t="shared" si="61"/>
        <v>岡山龍谷高等学校学校要覧</v>
      </c>
      <c r="C1050" t="str">
        <f>"オカヤマ リュウコク コウトウ ガッコウ ガッコウ ヨウラン"</f>
        <v>オカヤマ リュウコク コウトウ ガッコウ ガッコウ ヨウラン</v>
      </c>
      <c r="D1050" t="str">
        <f>"岡山龍谷高等学校"</f>
        <v>岡山龍谷高等学校</v>
      </c>
      <c r="E1050" t="str">
        <f>"オカヤマ リュウコク コウトウ ガッコウ"</f>
        <v>オカヤマ リュウコク コウトウ ガッコウ</v>
      </c>
      <c r="F1050" t="str">
        <f>"笠岡"</f>
        <v>笠岡</v>
      </c>
      <c r="G1050" t="str">
        <f t="shared" si="62"/>
        <v>年刊</v>
      </c>
      <c r="H1050" t="str">
        <f>"2002222316046"</f>
        <v>2002222316046</v>
      </c>
      <c r="I1050" t="str">
        <f>HYPERLINK("#", "https://opac.libnet.pref.okayama.jp/licsxp-opac/WOpacMsgNewListToTifTilDetailAction.do?tilcod=2002222316046")</f>
        <v>https://opac.libnet.pref.okayama.jp/licsxp-opac/WOpacMsgNewListToTifTilDetailAction.do?tilcod=2002222316046</v>
      </c>
    </row>
    <row r="1051" spans="1:9" x14ac:dyDescent="0.4">
      <c r="A1051" t="str">
        <f>"岡山林試場報"</f>
        <v>岡山林試場報</v>
      </c>
      <c r="B1051" s="1" t="str">
        <f t="shared" si="61"/>
        <v>岡山林試場報</v>
      </c>
      <c r="C1051" t="str">
        <f>"オカヤマ　リンシ　ジョウホウ"</f>
        <v>オカヤマ　リンシ　ジョウホウ</v>
      </c>
      <c r="D1051" t="str">
        <f>"岡山県林業試験場"</f>
        <v>岡山県林業試験場</v>
      </c>
      <c r="E1051" t="str">
        <f>"オカヤマケンリンギョウシケンジョウ"</f>
        <v>オカヤマケンリンギョウシケンジョウ</v>
      </c>
      <c r="F1051" t="str">
        <f>"勝央町"</f>
        <v>勝央町</v>
      </c>
      <c r="G1051" t="str">
        <f t="shared" si="62"/>
        <v>年刊</v>
      </c>
      <c r="H1051" t="str">
        <f>"2002222281881"</f>
        <v>2002222281881</v>
      </c>
      <c r="I1051" t="str">
        <f>HYPERLINK("#", "https://opac.libnet.pref.okayama.jp/licsxp-opac/WOpacMsgNewListToTifTilDetailAction.do?tilcod=2002222281881")</f>
        <v>https://opac.libnet.pref.okayama.jp/licsxp-opac/WOpacMsgNewListToTifTilDetailAction.do?tilcod=2002222281881</v>
      </c>
    </row>
    <row r="1052" spans="1:9" x14ac:dyDescent="0.4">
      <c r="A1052" t="str">
        <f>"岡山歴教協会報"</f>
        <v>岡山歴教協会報</v>
      </c>
      <c r="B1052" s="1" t="str">
        <f t="shared" si="61"/>
        <v>岡山歴教協会報</v>
      </c>
      <c r="C1052" t="str">
        <f>"オカヤマ レキキョウ キョウカイホウ"</f>
        <v>オカヤマ レキキョウ キョウカイホウ</v>
      </c>
      <c r="D1052" t="str">
        <f>"歴史教育者協議会岡山支部"</f>
        <v>歴史教育者協議会岡山支部</v>
      </c>
      <c r="E1052" t="str">
        <f>"レキシ キョウイクシャ キョウギカイ オカヤマ シブ"</f>
        <v>レキシ キョウイクシャ キョウギカイ オカヤマ シブ</v>
      </c>
      <c r="F1052" t="str">
        <f>"岡山"</f>
        <v>岡山</v>
      </c>
      <c r="G1052" t="str">
        <f>"月刊"</f>
        <v>月刊</v>
      </c>
      <c r="H1052" t="str">
        <f>"2002222334668"</f>
        <v>2002222334668</v>
      </c>
      <c r="I1052" t="str">
        <f>HYPERLINK("#", "https://opac.libnet.pref.okayama.jp/licsxp-opac/WOpacMsgNewListToTifTilDetailAction.do?tilcod=2002222334668")</f>
        <v>https://opac.libnet.pref.okayama.jp/licsxp-opac/WOpacMsgNewListToTifTilDetailAction.do?tilcod=2002222334668</v>
      </c>
    </row>
    <row r="1053" spans="1:9" x14ac:dyDescent="0.4">
      <c r="A1053" t="str">
        <f>"岡山歴史地理"</f>
        <v>岡山歴史地理</v>
      </c>
      <c r="B1053" s="1" t="str">
        <f t="shared" si="61"/>
        <v>岡山歴史地理</v>
      </c>
      <c r="C1053" t="str">
        <f>"オカヤマ　レキシ　チリ"</f>
        <v>オカヤマ　レキシ　チリ</v>
      </c>
      <c r="D1053" t="str">
        <f>"岡山歴史地理学会"</f>
        <v>岡山歴史地理学会</v>
      </c>
      <c r="E1053" t="str">
        <f>"オカヤマ レキシ チリ ガッカイ"</f>
        <v>オカヤマ レキシ チリ ガッカイ</v>
      </c>
      <c r="F1053" t="str">
        <f>""</f>
        <v/>
      </c>
      <c r="G1053" t="str">
        <f>"頻度不明"</f>
        <v>頻度不明</v>
      </c>
      <c r="H1053" t="str">
        <f>"2002222288991"</f>
        <v>2002222288991</v>
      </c>
      <c r="I1053" t="str">
        <f>HYPERLINK("#", "https://opac.libnet.pref.okayama.jp/licsxp-opac/WOpacMsgNewListToTifTilDetailAction.do?tilcod=2002222288991")</f>
        <v>https://opac.libnet.pref.okayama.jp/licsxp-opac/WOpacMsgNewListToTifTilDetailAction.do?tilcod=2002222288991</v>
      </c>
    </row>
    <row r="1054" spans="1:9" x14ac:dyDescent="0.4">
      <c r="A1054" t="str">
        <f>"岡山聯隊区将校団団報"</f>
        <v>岡山聯隊区将校団団報</v>
      </c>
      <c r="B1054" s="1" t="str">
        <f t="shared" si="61"/>
        <v>岡山聯隊区将校団団報</v>
      </c>
      <c r="C1054" t="str">
        <f>"オカヤマ　レンタイク　ショウコウダン　ダンポウ"</f>
        <v>オカヤマ　レンタイク　ショウコウダン　ダンポウ</v>
      </c>
      <c r="D1054" t="str">
        <f>"岡山聯隊区将校団"</f>
        <v>岡山聯隊区将校団</v>
      </c>
      <c r="E1054" t="str">
        <f>"オカヤマ レンタイク ショウコウダン"</f>
        <v>オカヤマ レンタイク ショウコウダン</v>
      </c>
      <c r="F1054" t="str">
        <f>""</f>
        <v/>
      </c>
      <c r="G1054" t="str">
        <f>"頻度不明"</f>
        <v>頻度不明</v>
      </c>
      <c r="H1054" t="str">
        <f>"2002222282003"</f>
        <v>2002222282003</v>
      </c>
      <c r="I1054" t="str">
        <f>HYPERLINK("#", "https://opac.libnet.pref.okayama.jp/licsxp-opac/WOpacMsgNewListToTifTilDetailAction.do?tilcod=2002222282003")</f>
        <v>https://opac.libnet.pref.okayama.jp/licsxp-opac/WOpacMsgNewListToTifTilDetailAction.do?tilcod=2002222282003</v>
      </c>
    </row>
    <row r="1055" spans="1:9" x14ac:dyDescent="0.4">
      <c r="A1055" t="str">
        <f>"おかやま連町だより"</f>
        <v>おかやま連町だより</v>
      </c>
      <c r="B1055" s="1" t="str">
        <f t="shared" si="61"/>
        <v>おかやま連町だより</v>
      </c>
      <c r="C1055" t="str">
        <f>"オカヤマ レンチョウ ダヨリ"</f>
        <v>オカヤマ レンチョウ ダヨリ</v>
      </c>
      <c r="D1055" t="str">
        <f>"岡山市連合町内会"</f>
        <v>岡山市連合町内会</v>
      </c>
      <c r="E1055" t="str">
        <f>"オカヤマシ レンゴウ チョウナイカイ"</f>
        <v>オカヤマシ レンゴウ チョウナイカイ</v>
      </c>
      <c r="F1055" t="str">
        <f t="shared" ref="F1055:F1061" si="63">"岡山"</f>
        <v>岡山</v>
      </c>
      <c r="G1055" t="str">
        <f>"年刊"</f>
        <v>年刊</v>
      </c>
      <c r="H1055" t="str">
        <f>"2002222325126"</f>
        <v>2002222325126</v>
      </c>
      <c r="I1055" t="str">
        <f>HYPERLINK("#", "https://opac.libnet.pref.okayama.jp/licsxp-opac/WOpacMsgNewListToTifTilDetailAction.do?tilcod=2002222325126")</f>
        <v>https://opac.libnet.pref.okayama.jp/licsxp-opac/WOpacMsgNewListToTifTilDetailAction.do?tilcod=2002222325126</v>
      </c>
    </row>
    <row r="1056" spans="1:9" x14ac:dyDescent="0.4">
      <c r="A1056" t="str">
        <f>"岡山聾学校学校案内"</f>
        <v>岡山聾学校学校案内</v>
      </c>
      <c r="B1056" s="1" t="str">
        <f t="shared" si="61"/>
        <v>岡山聾学校学校案内</v>
      </c>
      <c r="C1056" t="str">
        <f>"オカヤマ　ロウガッコウ　ガッコウ　アンナイ"</f>
        <v>オカヤマ　ロウガッコウ　ガッコウ　アンナイ</v>
      </c>
      <c r="D1056" t="str">
        <f>"岡山聾学校"</f>
        <v>岡山聾学校</v>
      </c>
      <c r="E1056" t="str">
        <f>"オカヤマロウガッコウ"</f>
        <v>オカヤマロウガッコウ</v>
      </c>
      <c r="F1056" t="str">
        <f t="shared" si="63"/>
        <v>岡山</v>
      </c>
      <c r="G1056" t="str">
        <f>"年刊"</f>
        <v>年刊</v>
      </c>
      <c r="H1056" t="str">
        <f>"2002222301223"</f>
        <v>2002222301223</v>
      </c>
      <c r="I1056" t="str">
        <f>HYPERLINK("#", "https://opac.libnet.pref.okayama.jp/licsxp-opac/WOpacMsgNewListToTifTilDetailAction.do?tilcod=2002222301223")</f>
        <v>https://opac.libnet.pref.okayama.jp/licsxp-opac/WOpacMsgNewListToTifTilDetailAction.do?tilcod=2002222301223</v>
      </c>
    </row>
    <row r="1057" spans="1:9" x14ac:dyDescent="0.4">
      <c r="A1057" t="str">
        <f>"岡山聾学校学校要覧"</f>
        <v>岡山聾学校学校要覧</v>
      </c>
      <c r="B1057" s="1" t="str">
        <f t="shared" si="61"/>
        <v>岡山聾学校学校要覧</v>
      </c>
      <c r="C1057" t="str">
        <f>"オカヤマ　ロウガッコウ　ガッコウ　ヨウラン"</f>
        <v>オカヤマ　ロウガッコウ　ガッコウ　ヨウラン</v>
      </c>
      <c r="D1057" t="str">
        <f>"岡山聾学校"</f>
        <v>岡山聾学校</v>
      </c>
      <c r="E1057" t="str">
        <f>"オカヤマロウガッコウ"</f>
        <v>オカヤマロウガッコウ</v>
      </c>
      <c r="F1057" t="str">
        <f t="shared" si="63"/>
        <v>岡山</v>
      </c>
      <c r="G1057" t="str">
        <f>"年刊"</f>
        <v>年刊</v>
      </c>
      <c r="H1057" t="str">
        <f>"2002222300595"</f>
        <v>2002222300595</v>
      </c>
      <c r="I1057" t="str">
        <f>HYPERLINK("#", "https://opac.libnet.pref.okayama.jp/licsxp-opac/WOpacMsgNewListToTifTilDetailAction.do?tilcod=2002222300595")</f>
        <v>https://opac.libnet.pref.okayama.jp/licsxp-opac/WOpacMsgNewListToTifTilDetailAction.do?tilcod=2002222300595</v>
      </c>
    </row>
    <row r="1058" spans="1:9" x14ac:dyDescent="0.4">
      <c r="A1058" t="str">
        <f>"〔岡山聾学校〕研究・実践の記録"</f>
        <v>〔岡山聾学校〕研究・実践の記録</v>
      </c>
      <c r="B1058" s="1" t="str">
        <f t="shared" si="61"/>
        <v>〔岡山聾学校〕研究・実践の記録</v>
      </c>
      <c r="C1058" t="str">
        <f>"オカヤマ　ロウガッコウ　ケンキュウ　ジッセン　ノ　キロク"</f>
        <v>オカヤマ　ロウガッコウ　ケンキュウ　ジッセン　ノ　キロク</v>
      </c>
      <c r="D1058" t="str">
        <f>"岡山聾学校"</f>
        <v>岡山聾学校</v>
      </c>
      <c r="E1058" t="str">
        <f>"オカヤマロウガッコウ"</f>
        <v>オカヤマロウガッコウ</v>
      </c>
      <c r="F1058" t="str">
        <f t="shared" si="63"/>
        <v>岡山</v>
      </c>
      <c r="G1058" t="str">
        <f>"年刊"</f>
        <v>年刊</v>
      </c>
      <c r="H1058" t="str">
        <f>"2002222301471"</f>
        <v>2002222301471</v>
      </c>
      <c r="I1058" t="str">
        <f>HYPERLINK("#", "https://opac.libnet.pref.okayama.jp/licsxp-opac/WOpacMsgNewListToTifTilDetailAction.do?tilcod=2002222301471")</f>
        <v>https://opac.libnet.pref.okayama.jp/licsxp-opac/WOpacMsgNewListToTifTilDetailAction.do?tilcod=2002222301471</v>
      </c>
    </row>
    <row r="1059" spans="1:9" x14ac:dyDescent="0.4">
      <c r="A1059" t="str">
        <f>"岡山労働"</f>
        <v>岡山労働</v>
      </c>
      <c r="B1059" s="1" t="str">
        <f t="shared" si="61"/>
        <v>岡山労働</v>
      </c>
      <c r="C1059" t="str">
        <f>"オカヤマ　ロウドウ"</f>
        <v>オカヤマ　ロウドウ</v>
      </c>
      <c r="D1059" t="str">
        <f>"岡山県商工労働部労働政策課"</f>
        <v>岡山県商工労働部労働政策課</v>
      </c>
      <c r="E1059" t="str">
        <f>"オカヤマケンショウコウロウドウブロウドウセイサクカ"</f>
        <v>オカヤマケンショウコウロウドウブロウドウセイサクカ</v>
      </c>
      <c r="F1059" t="str">
        <f t="shared" si="63"/>
        <v>岡山</v>
      </c>
      <c r="G1059" t="str">
        <f>"頻度不明"</f>
        <v>頻度不明</v>
      </c>
      <c r="H1059" t="str">
        <f>"2002222282013"</f>
        <v>2002222282013</v>
      </c>
      <c r="I1059" t="str">
        <f>HYPERLINK("#", "https://opac.libnet.pref.okayama.jp/licsxp-opac/WOpacMsgNewListToTifTilDetailAction.do?tilcod=2002222282013")</f>
        <v>https://opac.libnet.pref.okayama.jp/licsxp-opac/WOpacMsgNewListToTifTilDetailAction.do?tilcod=2002222282013</v>
      </c>
    </row>
    <row r="1060" spans="1:9" x14ac:dyDescent="0.4">
      <c r="A1060" t="str">
        <f>"おかやま労働"</f>
        <v>おかやま労働</v>
      </c>
      <c r="B1060" s="1" t="str">
        <f t="shared" si="61"/>
        <v>おかやま労働</v>
      </c>
      <c r="C1060" t="str">
        <f>"オカヤマ　ロウドウ"</f>
        <v>オカヤマ　ロウドウ</v>
      </c>
      <c r="D1060" t="str">
        <f>"岡山県産業労働部労働雇用政策課"</f>
        <v>岡山県産業労働部労働雇用政策課</v>
      </c>
      <c r="E1060" t="str">
        <f>"オカヤマケン サンギョウ ロウドウブ ロウドウ コヨウ セイサクカ"</f>
        <v>オカヤマケン サンギョウ ロウドウブ ロウドウ コヨウ セイサクカ</v>
      </c>
      <c r="F1060" t="str">
        <f t="shared" si="63"/>
        <v>岡山</v>
      </c>
      <c r="G1060" t="str">
        <f>"季刊"</f>
        <v>季刊</v>
      </c>
      <c r="H1060" t="str">
        <f>"2002222292271"</f>
        <v>2002222292271</v>
      </c>
      <c r="I1060" t="str">
        <f>HYPERLINK("#", "https://opac.libnet.pref.okayama.jp/licsxp-opac/WOpacMsgNewListToTifTilDetailAction.do?tilcod=2002222292271")</f>
        <v>https://opac.libnet.pref.okayama.jp/licsxp-opac/WOpacMsgNewListToTifTilDetailAction.do?tilcod=2002222292271</v>
      </c>
    </row>
    <row r="1061" spans="1:9" x14ac:dyDescent="0.4">
      <c r="A1061" t="str">
        <f>"岡山労働基準"</f>
        <v>岡山労働基準</v>
      </c>
      <c r="B1061" s="1" t="str">
        <f t="shared" si="61"/>
        <v>岡山労働基準</v>
      </c>
      <c r="C1061" t="str">
        <f>"オカヤマ　ロウドウ　キジュン"</f>
        <v>オカヤマ　ロウドウ　キジュン</v>
      </c>
      <c r="D1061" t="str">
        <f>"岡山県労働基準連絡議会"</f>
        <v>岡山県労働基準連絡議会</v>
      </c>
      <c r="E1061" t="str">
        <f>"オカヤマケンロウドウキジュンレンラクギカイ"</f>
        <v>オカヤマケンロウドウキジュンレンラクギカイ</v>
      </c>
      <c r="F1061" t="str">
        <f t="shared" si="63"/>
        <v>岡山</v>
      </c>
      <c r="G1061" t="str">
        <f>"月刊"</f>
        <v>月刊</v>
      </c>
      <c r="H1061" t="str">
        <f>"2002222284821"</f>
        <v>2002222284821</v>
      </c>
      <c r="I1061" t="str">
        <f>HYPERLINK("#", "https://opac.libnet.pref.okayama.jp/licsxp-opac/WOpacMsgNewListToTifTilDetailAction.do?tilcod=2002222284821")</f>
        <v>https://opac.libnet.pref.okayama.jp/licsxp-opac/WOpacMsgNewListToTifTilDetailAction.do?tilcod=2002222284821</v>
      </c>
    </row>
    <row r="1062" spans="1:9" x14ac:dyDescent="0.4">
      <c r="A1062" t="str">
        <f>"岡山労働基準弘報"</f>
        <v>岡山労働基準弘報</v>
      </c>
      <c r="B1062" s="1" t="str">
        <f t="shared" si="61"/>
        <v>岡山労働基準弘報</v>
      </c>
      <c r="C1062" t="str">
        <f>"オカヤマ　ロウドウ　キジュン　コウホウ"</f>
        <v>オカヤマ　ロウドウ　キジュン　コウホウ</v>
      </c>
      <c r="D1062" t="str">
        <f>"岡山県労働基準協会"</f>
        <v>岡山県労働基準協会</v>
      </c>
      <c r="E1062" t="str">
        <f>"オカヤマケン ロウドウ キジュン キョウカイ"</f>
        <v>オカヤマケン ロウドウ キジュン キョウカイ</v>
      </c>
      <c r="F1062" t="str">
        <f>""</f>
        <v/>
      </c>
      <c r="G1062" t="str">
        <f>"頻度不明"</f>
        <v>頻度不明</v>
      </c>
      <c r="H1062" t="str">
        <f>"2002222282023"</f>
        <v>2002222282023</v>
      </c>
      <c r="I1062" t="str">
        <f>HYPERLINK("#", "https://opac.libnet.pref.okayama.jp/licsxp-opac/WOpacMsgNewListToTifTilDetailAction.do?tilcod=2002222282023")</f>
        <v>https://opac.libnet.pref.okayama.jp/licsxp-opac/WOpacMsgNewListToTifTilDetailAction.do?tilcod=2002222282023</v>
      </c>
    </row>
    <row r="1063" spans="1:9" x14ac:dyDescent="0.4">
      <c r="A1063" t="str">
        <f>"おかやま；岡山県青年会会報"</f>
        <v>おかやま；岡山県青年会会報</v>
      </c>
      <c r="B1063" s="1" t="str">
        <f t="shared" si="61"/>
        <v>おかやま；岡山県青年会会報</v>
      </c>
      <c r="C1063" t="str">
        <f>"オカヤマ＊オカヤマケン セイネンカイ カイホウ"</f>
        <v>オカヤマ＊オカヤマケン セイネンカイ カイホウ</v>
      </c>
      <c r="D1063" t="str">
        <f>"岡山県青年会"</f>
        <v>岡山県青年会</v>
      </c>
      <c r="E1063" t="str">
        <f>"オカヤマケン セイネンカイ"</f>
        <v>オカヤマケン セイネンカイ</v>
      </c>
      <c r="F1063" t="str">
        <f>"東京"</f>
        <v>東京</v>
      </c>
      <c r="G1063" t="str">
        <f>"年刊"</f>
        <v>年刊</v>
      </c>
      <c r="H1063" t="str">
        <f>"2002222301686"</f>
        <v>2002222301686</v>
      </c>
      <c r="I1063" t="str">
        <f>HYPERLINK("#", "https://opac.libnet.pref.okayama.jp/licsxp-opac/WOpacMsgNewListToTifTilDetailAction.do?tilcod=2002222301686")</f>
        <v>https://opac.libnet.pref.okayama.jp/licsxp-opac/WOpacMsgNewListToTifTilDetailAction.do?tilcod=2002222301686</v>
      </c>
    </row>
    <row r="1064" spans="1:9" x14ac:dyDescent="0.4">
      <c r="A1064" t="str">
        <f>"おかやま；国鉄労組岡山支部機関紙"</f>
        <v>おかやま；国鉄労組岡山支部機関紙</v>
      </c>
      <c r="B1064" s="1" t="str">
        <f t="shared" si="61"/>
        <v>おかやま；国鉄労組岡山支部機関紙</v>
      </c>
      <c r="C1064" t="str">
        <f>"オカヤマ＊コクテツ　ロウソ　オカヤマシブ　キカンシ"</f>
        <v>オカヤマ＊コクテツ　ロウソ　オカヤマシブ　キカンシ</v>
      </c>
      <c r="D1064" t="str">
        <f>"国鉄労組岡山支部"</f>
        <v>国鉄労組岡山支部</v>
      </c>
      <c r="E1064" t="str">
        <f>"コクテツロウソオカヤマシブ"</f>
        <v>コクテツロウソオカヤマシブ</v>
      </c>
      <c r="F1064" t="str">
        <f>"〔岡山〕"</f>
        <v>〔岡山〕</v>
      </c>
      <c r="G1064" t="str">
        <f>"頻度不明"</f>
        <v>頻度不明</v>
      </c>
      <c r="H1064" t="str">
        <f>"2002222301511"</f>
        <v>2002222301511</v>
      </c>
      <c r="I1064" t="str">
        <f>HYPERLINK("#", "https://opac.libnet.pref.okayama.jp/licsxp-opac/WOpacMsgNewListToTifTilDetailAction.do?tilcod=2002222301511")</f>
        <v>https://opac.libnet.pref.okayama.jp/licsxp-opac/WOpacMsgNewListToTifTilDetailAction.do?tilcod=2002222301511</v>
      </c>
    </row>
    <row r="1065" spans="1:9" x14ac:dyDescent="0.4">
      <c r="A1065" t="str">
        <f>"〔岡山〕福利広報"</f>
        <v>〔岡山〕福利広報</v>
      </c>
      <c r="B1065" s="1" t="str">
        <f t="shared" si="61"/>
        <v>〔岡山〕福利広報</v>
      </c>
      <c r="C1065" t="str">
        <f>"オカヤマ＊フクリ　コウホウ"</f>
        <v>オカヤマ＊フクリ　コウホウ</v>
      </c>
      <c r="D1065" t="str">
        <f>"公立学校共済組合岡山支部"</f>
        <v>公立学校共済組合岡山支部</v>
      </c>
      <c r="E1065" t="str">
        <f>"コウリツ ガッコウ キョウサイ クミアイ オカヤマ シブ"</f>
        <v>コウリツ ガッコウ キョウサイ クミアイ オカヤマ シブ</v>
      </c>
      <c r="F1065" t="str">
        <f>"岡山"</f>
        <v>岡山</v>
      </c>
      <c r="G1065" t="str">
        <f>"頻度不明"</f>
        <v>頻度不明</v>
      </c>
      <c r="H1065" t="str">
        <f>"2002222280844"</f>
        <v>2002222280844</v>
      </c>
      <c r="I1065" t="str">
        <f>HYPERLINK("#", "https://opac.libnet.pref.okayama.jp/licsxp-opac/WOpacMsgNewListToTifTilDetailAction.do?tilcod=2002222280844")</f>
        <v>https://opac.libnet.pref.okayama.jp/licsxp-opac/WOpacMsgNewListToTifTilDetailAction.do?tilcod=2002222280844</v>
      </c>
    </row>
    <row r="1066" spans="1:9" x14ac:dyDescent="0.4">
      <c r="A1066" t="str">
        <f>"岡山学こと始め；岡山市デジタルミュージアム開設準備室研究レポート"</f>
        <v>岡山学こと始め；岡山市デジタルミュージアム開設準備室研究レポート</v>
      </c>
      <c r="B1066" s="1" t="str">
        <f t="shared" si="61"/>
        <v>岡山学こと始め；岡山市デジタルミュージアム開設準備室研究レポート</v>
      </c>
      <c r="C1066" t="str">
        <f>"オカヤマガク　コトハジメ＊オカヤマシ　デジタル　ミュージアム　カイセツ　ジュンビシツ　ケンキュウ　レポート"</f>
        <v>オカヤマガク　コトハジメ＊オカヤマシ　デジタル　ミュージアム　カイセツ　ジュンビシツ　ケンキュウ　レポート</v>
      </c>
      <c r="D1066" t="str">
        <f>"岡山市デジタルミュージアム開設準備室"</f>
        <v>岡山市デジタルミュージアム開設準備室</v>
      </c>
      <c r="E1066" t="str">
        <f>"オカヤマシデジタルミュージアムカイセツジュンビシツ"</f>
        <v>オカヤマシデジタルミュージアムカイセツジュンビシツ</v>
      </c>
      <c r="F1066" t="str">
        <f>"岡山"</f>
        <v>岡山</v>
      </c>
      <c r="G1066" t="str">
        <f>"年２回刊"</f>
        <v>年２回刊</v>
      </c>
      <c r="H1066" t="str">
        <f>"2002222285731"</f>
        <v>2002222285731</v>
      </c>
      <c r="I1066" t="str">
        <f>HYPERLINK("#", "https://opac.libnet.pref.okayama.jp/licsxp-opac/WOpacMsgNewListToTifTilDetailAction.do?tilcod=2002222285731")</f>
        <v>https://opac.libnet.pref.okayama.jp/licsxp-opac/WOpacMsgNewListToTifTilDetailAction.do?tilcod=2002222285731</v>
      </c>
    </row>
    <row r="1067" spans="1:9" x14ac:dyDescent="0.4">
      <c r="A1067" t="str">
        <f>"岡山県"</f>
        <v>岡山県</v>
      </c>
      <c r="B1067" s="1" t="str">
        <f t="shared" si="61"/>
        <v>岡山県</v>
      </c>
      <c r="C1067" t="str">
        <f>"オカヤマケン"</f>
        <v>オカヤマケン</v>
      </c>
      <c r="D1067" t="str">
        <f>"岡山県植民協会・岡山県社"</f>
        <v>岡山県植民協会・岡山県社</v>
      </c>
      <c r="E1067" t="str">
        <f>"オカヤマケンショクミンキョウカイオカヤマケンシャ"</f>
        <v>オカヤマケンショクミンキョウカイオカヤマケンシャ</v>
      </c>
      <c r="F1067" t="str">
        <f>"岡山"</f>
        <v>岡山</v>
      </c>
      <c r="G1067" t="str">
        <f>"頻度不明"</f>
        <v>頻度不明</v>
      </c>
      <c r="H1067" t="str">
        <f>"2002222286181"</f>
        <v>2002222286181</v>
      </c>
      <c r="I1067" t="str">
        <f>HYPERLINK("#", "https://opac.libnet.pref.okayama.jp/licsxp-opac/WOpacMsgNewListToTifTilDetailAction.do?tilcod=2002222286181")</f>
        <v>https://opac.libnet.pref.okayama.jp/licsxp-opac/WOpacMsgNewListToTifTilDetailAction.do?tilcod=2002222286181</v>
      </c>
    </row>
    <row r="1068" spans="1:9" x14ac:dyDescent="0.4">
      <c r="A1068" t="str">
        <f>"オカヤマケン"</f>
        <v>オカヤマケン</v>
      </c>
      <c r="B1068" s="1" t="str">
        <f t="shared" si="61"/>
        <v>オカヤマケン</v>
      </c>
      <c r="C1068" t="str">
        <f>"オカヤマケン"</f>
        <v>オカヤマケン</v>
      </c>
      <c r="D1068" t="str">
        <f>"岡山県人社"</f>
        <v>岡山県人社</v>
      </c>
      <c r="E1068" t="str">
        <f>"オカヤマ ケンジンシャ"</f>
        <v>オカヤマ ケンジンシャ</v>
      </c>
      <c r="F1068" t="str">
        <f>""</f>
        <v/>
      </c>
      <c r="G1068" t="str">
        <f>"頻度不明"</f>
        <v>頻度不明</v>
      </c>
      <c r="H1068" t="str">
        <f>"2002222286211"</f>
        <v>2002222286211</v>
      </c>
      <c r="I1068" t="str">
        <f>HYPERLINK("#", "https://opac.libnet.pref.okayama.jp/licsxp-opac/WOpacMsgNewListToTifTilDetailAction.do?tilcod=2002222286211")</f>
        <v>https://opac.libnet.pref.okayama.jp/licsxp-opac/WOpacMsgNewListToTifTilDetailAction.do?tilcod=2002222286211</v>
      </c>
    </row>
    <row r="1069" spans="1:9" x14ac:dyDescent="0.4">
      <c r="A1069" t="str">
        <f>"おかやまけん"</f>
        <v>おかやまけん</v>
      </c>
      <c r="B1069" s="1" t="str">
        <f t="shared" si="61"/>
        <v>おかやまけん</v>
      </c>
      <c r="C1069" t="str">
        <f>"オカヤマケン"</f>
        <v>オカヤマケン</v>
      </c>
      <c r="D1069" t="str">
        <f>"手づくり社"</f>
        <v>手づくり社</v>
      </c>
      <c r="E1069" t="str">
        <f>"テズクリシャ"</f>
        <v>テズクリシャ</v>
      </c>
      <c r="F1069" t="str">
        <f>"美作町（英田郡）"</f>
        <v>美作町（英田郡）</v>
      </c>
      <c r="G1069" t="str">
        <f>"月刊"</f>
        <v>月刊</v>
      </c>
      <c r="H1069" t="str">
        <f>"2002222286201"</f>
        <v>2002222286201</v>
      </c>
      <c r="I1069" t="str">
        <f>HYPERLINK("#", "https://opac.libnet.pref.okayama.jp/licsxp-opac/WOpacMsgNewListToTifTilDetailAction.do?tilcod=2002222286201")</f>
        <v>https://opac.libnet.pref.okayama.jp/licsxp-opac/WOpacMsgNewListToTifTilDetailAction.do?tilcod=2002222286201</v>
      </c>
    </row>
    <row r="1070" spans="1:9" x14ac:dyDescent="0.4">
      <c r="A1070" t="str">
        <f>"[岡山県赤磐郡軽部校学友会]学友会誌"</f>
        <v>[岡山県赤磐郡軽部校学友会]学友会誌</v>
      </c>
      <c r="B1070" s="1" t="str">
        <f t="shared" si="61"/>
        <v>[岡山県赤磐郡軽部校学友会]学友会誌</v>
      </c>
      <c r="C1070" t="str">
        <f>"オカヤマケン アカイワグン カルベコウ ガクユウカイ ガクユウ カイシ"</f>
        <v>オカヤマケン アカイワグン カルベコウ ガクユウカイ ガクユウ カイシ</v>
      </c>
      <c r="D1070" t="str">
        <f>"軽部校学友会"</f>
        <v>軽部校学友会</v>
      </c>
      <c r="E1070" t="str">
        <f>"カルベコウ ガクユウカイ"</f>
        <v>カルベコウ ガクユウカイ</v>
      </c>
      <c r="F1070" t="str">
        <f>"軽部村（赤磐郡）"</f>
        <v>軽部村（赤磐郡）</v>
      </c>
      <c r="G1070" t="str">
        <f t="shared" ref="G1070:G1076" si="64">"頻度不明"</f>
        <v>頻度不明</v>
      </c>
      <c r="H1070" t="str">
        <f>"2002222323646"</f>
        <v>2002222323646</v>
      </c>
      <c r="I1070" t="str">
        <f>HYPERLINK("#", "https://opac.libnet.pref.okayama.jp/licsxp-opac/WOpacMsgNewListToTifTilDetailAction.do?tilcod=2002222323646")</f>
        <v>https://opac.libnet.pref.okayama.jp/licsxp-opac/WOpacMsgNewListToTifTilDetailAction.do?tilcod=2002222323646</v>
      </c>
    </row>
    <row r="1071" spans="1:9" x14ac:dyDescent="0.4">
      <c r="A1071" t="str">
        <f>"岡山県浅口郡農会報"</f>
        <v>岡山県浅口郡農会報</v>
      </c>
      <c r="B1071" s="1" t="str">
        <f t="shared" si="61"/>
        <v>岡山県浅口郡農会報</v>
      </c>
      <c r="C1071" t="str">
        <f>"オカヤマケン　アサクチグン　ノウカイホウ"</f>
        <v>オカヤマケン　アサクチグン　ノウカイホウ</v>
      </c>
      <c r="D1071" t="str">
        <f>"浅口郡農会"</f>
        <v>浅口郡農会</v>
      </c>
      <c r="E1071" t="str">
        <f>"アサクチグンノウカイ"</f>
        <v>アサクチグンノウカイ</v>
      </c>
      <c r="F1071" t="str">
        <f>""</f>
        <v/>
      </c>
      <c r="G1071" t="str">
        <f t="shared" si="64"/>
        <v>頻度不明</v>
      </c>
      <c r="H1071" t="str">
        <f>"2002222286221"</f>
        <v>2002222286221</v>
      </c>
      <c r="I1071" t="str">
        <f>HYPERLINK("#", "https://opac.libnet.pref.okayama.jp/licsxp-opac/WOpacMsgNewListToTifTilDetailAction.do?tilcod=2002222286221")</f>
        <v>https://opac.libnet.pref.okayama.jp/licsxp-opac/WOpacMsgNewListToTifTilDetailAction.do?tilcod=2002222286221</v>
      </c>
    </row>
    <row r="1072" spans="1:9" x14ac:dyDescent="0.4">
      <c r="A1072" t="str">
        <f>"[岡山県味野高等女学校]玉の光"</f>
        <v>[岡山県味野高等女学校]玉の光</v>
      </c>
      <c r="B1072" s="1" t="str">
        <f t="shared" si="61"/>
        <v>[岡山県味野高等女学校]玉の光</v>
      </c>
      <c r="C1072" t="str">
        <f>"オカヤマケン アジノ コウトウ ジョガッコウ＊タマ ノ ヒカリ"</f>
        <v>オカヤマケン アジノ コウトウ ジョガッコウ＊タマ ノ ヒカリ</v>
      </c>
      <c r="D1072" t="str">
        <f>"岡山県味野高等女学校"</f>
        <v>岡山県味野高等女学校</v>
      </c>
      <c r="E1072" t="str">
        <f>"オカヤマケン アジノ コウトウ ジョガッコウ"</f>
        <v>オカヤマケン アジノ コウトウ ジョガッコウ</v>
      </c>
      <c r="F1072" t="str">
        <f>""</f>
        <v/>
      </c>
      <c r="G1072" t="str">
        <f t="shared" si="64"/>
        <v>頻度不明</v>
      </c>
      <c r="H1072" t="str">
        <f>"2002222281124"</f>
        <v>2002222281124</v>
      </c>
      <c r="I1072" t="str">
        <f>HYPERLINK("#", "https://opac.libnet.pref.okayama.jp/licsxp-opac/WOpacMsgNewListToTifTilDetailAction.do?tilcod=2002222281124")</f>
        <v>https://opac.libnet.pref.okayama.jp/licsxp-opac/WOpacMsgNewListToTifTilDetailAction.do?tilcod=2002222281124</v>
      </c>
    </row>
    <row r="1073" spans="1:9" x14ac:dyDescent="0.4">
      <c r="A1073" t="str">
        <f>"〔岡山県天城中学校校友会〕会誌"</f>
        <v>〔岡山県天城中学校校友会〕会誌</v>
      </c>
      <c r="B1073" s="1" t="str">
        <f t="shared" si="61"/>
        <v>〔岡山県天城中学校校友会〕会誌</v>
      </c>
      <c r="C1073" t="str">
        <f>"オカヤマケン　アマキ　チュウガッコウ　コウユウカイ　カイシ"</f>
        <v>オカヤマケン　アマキ　チュウガッコウ　コウユウカイ　カイシ</v>
      </c>
      <c r="D1073" t="str">
        <f>"岡山県天城中学校校友会"</f>
        <v>岡山県天城中学校校友会</v>
      </c>
      <c r="E1073" t="str">
        <f>"オカヤマケンアマキチュウガッコウコウユウカイ"</f>
        <v>オカヤマケンアマキチュウガッコウコウユウカイ</v>
      </c>
      <c r="F1073" t="str">
        <f>"藤戸町（児島郡）"</f>
        <v>藤戸町（児島郡）</v>
      </c>
      <c r="G1073" t="str">
        <f t="shared" si="64"/>
        <v>頻度不明</v>
      </c>
      <c r="H1073" t="str">
        <f>"2002222301360"</f>
        <v>2002222301360</v>
      </c>
      <c r="I1073" t="str">
        <f>HYPERLINK("#", "https://opac.libnet.pref.okayama.jp/licsxp-opac/WOpacMsgNewListToTifTilDetailAction.do?tilcod=2002222301360")</f>
        <v>https://opac.libnet.pref.okayama.jp/licsxp-opac/WOpacMsgNewListToTifTilDetailAction.do?tilcod=2002222301360</v>
      </c>
    </row>
    <row r="1074" spans="1:9" x14ac:dyDescent="0.4">
      <c r="A1074" t="str">
        <f>"〔岡山県天城中学校校友会〕会報"</f>
        <v>〔岡山県天城中学校校友会〕会報</v>
      </c>
      <c r="B1074" s="1" t="str">
        <f t="shared" si="61"/>
        <v>〔岡山県天城中学校校友会〕会報</v>
      </c>
      <c r="C1074" t="str">
        <f>"オカヤマケン　アマキ　チュウガッコウ　コウユウカイ　カイホウ"</f>
        <v>オカヤマケン　アマキ　チュウガッコウ　コウユウカイ　カイホウ</v>
      </c>
      <c r="D1074" t="str">
        <f>"岡山県天城中学校校友会"</f>
        <v>岡山県天城中学校校友会</v>
      </c>
      <c r="E1074" t="str">
        <f>"オカヤマケンアマキチュウガッコウコウユウカイ"</f>
        <v>オカヤマケンアマキチュウガッコウコウユウカイ</v>
      </c>
      <c r="F1074" t="str">
        <f>"藤戸町（児島郡）"</f>
        <v>藤戸町（児島郡）</v>
      </c>
      <c r="G1074" t="str">
        <f t="shared" si="64"/>
        <v>頻度不明</v>
      </c>
      <c r="H1074" t="str">
        <f>"2002222323527"</f>
        <v>2002222323527</v>
      </c>
      <c r="I1074" t="str">
        <f>HYPERLINK("#", "https://opac.libnet.pref.okayama.jp/licsxp-opac/WOpacMsgNewListToTifTilDetailAction.do?tilcod=2002222323527")</f>
        <v>https://opac.libnet.pref.okayama.jp/licsxp-opac/WOpacMsgNewListToTifTilDetailAction.do?tilcod=2002222323527</v>
      </c>
    </row>
    <row r="1075" spans="1:9" x14ac:dyDescent="0.4">
      <c r="A1075" t="str">
        <f>"〔岡山県アマチュアレスリング協会〕会報"</f>
        <v>〔岡山県アマチュアレスリング協会〕会報</v>
      </c>
      <c r="B1075" s="1" t="str">
        <f t="shared" si="61"/>
        <v>〔岡山県アマチュアレスリング協会〕会報</v>
      </c>
      <c r="C1075" t="str">
        <f>"オカヤマケン　アマチュア　レスリング　キョウカイ　カイホウ"</f>
        <v>オカヤマケン　アマチュア　レスリング　キョウカイ　カイホウ</v>
      </c>
      <c r="D1075" t="str">
        <f>"岡山県アマチュアレスリング協会"</f>
        <v>岡山県アマチュアレスリング協会</v>
      </c>
      <c r="E1075" t="str">
        <f>"オカヤマケンアマチュアレスリングキョウカイ"</f>
        <v>オカヤマケンアマチュアレスリングキョウカイ</v>
      </c>
      <c r="F1075" t="str">
        <f>""</f>
        <v/>
      </c>
      <c r="G1075" t="str">
        <f t="shared" si="64"/>
        <v>頻度不明</v>
      </c>
      <c r="H1075" t="str">
        <f>"2002222286231"</f>
        <v>2002222286231</v>
      </c>
      <c r="I1075" t="str">
        <f>HYPERLINK("#", "https://opac.libnet.pref.okayama.jp/licsxp-opac/WOpacMsgNewListToTifTilDetailAction.do?tilcod=2002222286231")</f>
        <v>https://opac.libnet.pref.okayama.jp/licsxp-opac/WOpacMsgNewListToTifTilDetailAction.do?tilcod=2002222286231</v>
      </c>
    </row>
    <row r="1076" spans="1:9" x14ac:dyDescent="0.4">
      <c r="A1076" t="str">
        <f>"岡山県医師会女医部会報"</f>
        <v>岡山県医師会女医部会報</v>
      </c>
      <c r="B1076" s="1" t="str">
        <f t="shared" si="61"/>
        <v>岡山県医師会女医部会報</v>
      </c>
      <c r="C1076" t="str">
        <f>"オカヤマケン イシカイ ジョイ ブカイホウ"</f>
        <v>オカヤマケン イシカイ ジョイ ブカイホウ</v>
      </c>
      <c r="D1076" t="str">
        <f>"岡山県医師会"</f>
        <v>岡山県医師会</v>
      </c>
      <c r="E1076" t="str">
        <f>"オカヤマケン イシカイ"</f>
        <v>オカヤマケン イシカイ</v>
      </c>
      <c r="F1076" t="str">
        <f t="shared" ref="F1076:F1082" si="65">"岡山"</f>
        <v>岡山</v>
      </c>
      <c r="G1076" t="str">
        <f t="shared" si="64"/>
        <v>頻度不明</v>
      </c>
      <c r="H1076" t="str">
        <f>"2002222313086"</f>
        <v>2002222313086</v>
      </c>
      <c r="I1076" t="str">
        <f>HYPERLINK("#", "https://opac.libnet.pref.okayama.jp/licsxp-opac/WOpacMsgNewListToTifTilDetailAction.do?tilcod=2002222313086")</f>
        <v>https://opac.libnet.pref.okayama.jp/licsxp-opac/WOpacMsgNewListToTifTilDetailAction.do?tilcod=2002222313086</v>
      </c>
    </row>
    <row r="1077" spans="1:9" x14ac:dyDescent="0.4">
      <c r="A1077" t="str">
        <f>"岡山県医師会だより"</f>
        <v>岡山県医師会だより</v>
      </c>
      <c r="B1077" s="1" t="str">
        <f t="shared" si="61"/>
        <v>岡山県医師会だより</v>
      </c>
      <c r="C1077" t="str">
        <f>"オカヤマケン　イシカイ　ダヨリ"</f>
        <v>オカヤマケン　イシカイ　ダヨリ</v>
      </c>
      <c r="D1077" t="str">
        <f>"岡山県医師会"</f>
        <v>岡山県医師会</v>
      </c>
      <c r="E1077" t="str">
        <f>"オカヤマケン イシカイ"</f>
        <v>オカヤマケン イシカイ</v>
      </c>
      <c r="F1077" t="str">
        <f t="shared" si="65"/>
        <v>岡山</v>
      </c>
      <c r="G1077" t="str">
        <f>"隔月刊"</f>
        <v>隔月刊</v>
      </c>
      <c r="H1077" t="str">
        <f>"2002222311646"</f>
        <v>2002222311646</v>
      </c>
      <c r="I1077" t="str">
        <f>HYPERLINK("#", "https://opac.libnet.pref.okayama.jp/licsxp-opac/WOpacMsgNewListToTifTilDetailAction.do?tilcod=2002222311646")</f>
        <v>https://opac.libnet.pref.okayama.jp/licsxp-opac/WOpacMsgNewListToTifTilDetailAction.do?tilcod=2002222311646</v>
      </c>
    </row>
    <row r="1078" spans="1:9" x14ac:dyDescent="0.4">
      <c r="A1078" t="str">
        <f>"岡山県医師会報"</f>
        <v>岡山県医師会報</v>
      </c>
      <c r="B1078" s="1" t="str">
        <f t="shared" si="61"/>
        <v>岡山県医師会報</v>
      </c>
      <c r="C1078" t="str">
        <f>"オカヤマケン　イシカイホウ"</f>
        <v>オカヤマケン　イシカイホウ</v>
      </c>
      <c r="D1078" t="str">
        <f>"岡山県医師会"</f>
        <v>岡山県医師会</v>
      </c>
      <c r="E1078" t="str">
        <f>"オカヤマケン イシカイ"</f>
        <v>オカヤマケン イシカイ</v>
      </c>
      <c r="F1078" t="str">
        <f t="shared" si="65"/>
        <v>岡山</v>
      </c>
      <c r="G1078" t="str">
        <f>"月２回刊"</f>
        <v>月２回刊</v>
      </c>
      <c r="H1078" t="str">
        <f>"2002222291961"</f>
        <v>2002222291961</v>
      </c>
      <c r="I1078" t="str">
        <f>HYPERLINK("#", "https://opac.libnet.pref.okayama.jp/licsxp-opac/WOpacMsgNewListToTifTilDetailAction.do?tilcod=2002222291961")</f>
        <v>https://opac.libnet.pref.okayama.jp/licsxp-opac/WOpacMsgNewListToTifTilDetailAction.do?tilcod=2002222291961</v>
      </c>
    </row>
    <row r="1079" spans="1:9" x14ac:dyDescent="0.4">
      <c r="A1079" t="str">
        <f>"岡山県遺跡保護調査団調査団ニュース"</f>
        <v>岡山県遺跡保護調査団調査団ニュース</v>
      </c>
      <c r="B1079" s="1" t="str">
        <f t="shared" si="61"/>
        <v>岡山県遺跡保護調査団調査団ニュース</v>
      </c>
      <c r="C1079" t="str">
        <f>"オカヤマケン イセキ ホゴ チョウサダン ニュース"</f>
        <v>オカヤマケン イセキ ホゴ チョウサダン ニュース</v>
      </c>
      <c r="D1079" t="str">
        <f>"岡山県遺跡保護調査団"</f>
        <v>岡山県遺跡保護調査団</v>
      </c>
      <c r="E1079" t="str">
        <f>"オカヤマケン イセキ ホゴ チョウサダン"</f>
        <v>オカヤマケン イセキ ホゴ チョウサダン</v>
      </c>
      <c r="F1079" t="str">
        <f t="shared" si="65"/>
        <v>岡山</v>
      </c>
      <c r="G1079" t="str">
        <f>"頻度不明"</f>
        <v>頻度不明</v>
      </c>
      <c r="H1079" t="str">
        <f>"2002222333428"</f>
        <v>2002222333428</v>
      </c>
      <c r="I1079" t="str">
        <f>HYPERLINK("#", "https://opac.libnet.pref.okayama.jp/licsxp-opac/WOpacMsgNewListToTifTilDetailAction.do?tilcod=2002222333428")</f>
        <v>https://opac.libnet.pref.okayama.jp/licsxp-opac/WOpacMsgNewListToTifTilDetailAction.do?tilcod=2002222333428</v>
      </c>
    </row>
    <row r="1080" spans="1:9" x14ac:dyDescent="0.4">
      <c r="A1080" t="str">
        <f>"岡山県衛生ニュース"</f>
        <v>岡山県衛生ニュース</v>
      </c>
      <c r="B1080" s="1" t="str">
        <f t="shared" si="61"/>
        <v>岡山県衛生ニュース</v>
      </c>
      <c r="C1080" t="str">
        <f>"オカヤマケン　エイセイ　ニュース"</f>
        <v>オカヤマケン　エイセイ　ニュース</v>
      </c>
      <c r="D1080" t="str">
        <f>"岡山県衛生部"</f>
        <v>岡山県衛生部</v>
      </c>
      <c r="E1080" t="str">
        <f>"オカヤマケン エイセイブ"</f>
        <v>オカヤマケン エイセイブ</v>
      </c>
      <c r="F1080" t="str">
        <f t="shared" si="65"/>
        <v>岡山</v>
      </c>
      <c r="G1080" t="str">
        <f>"頻度不明"</f>
        <v>頻度不明</v>
      </c>
      <c r="H1080" t="str">
        <f>"2002222280434"</f>
        <v>2002222280434</v>
      </c>
      <c r="I1080" t="str">
        <f>HYPERLINK("#", "https://opac.libnet.pref.okayama.jp/licsxp-opac/WOpacMsgNewListToTifTilDetailAction.do?tilcod=2002222280434")</f>
        <v>https://opac.libnet.pref.okayama.jp/licsxp-opac/WOpacMsgNewListToTifTilDetailAction.do?tilcod=2002222280434</v>
      </c>
    </row>
    <row r="1081" spans="1:9" x14ac:dyDescent="0.4">
      <c r="A1081" t="str">
        <f>"[岡山県岡山女子高等学校JRC機関誌]　山桜"</f>
        <v>[岡山県岡山女子高等学校JRC機関誌]　山桜</v>
      </c>
      <c r="B1081" s="1" t="str">
        <f t="shared" si="61"/>
        <v>[岡山県岡山女子高等学校JRC機関誌]　山桜</v>
      </c>
      <c r="C1081" t="str">
        <f>"オカヤマケン オカヤマ ジョシ コウトウ ガッコウ ジェイ アール シー キカンシ ヤマザクラ"</f>
        <v>オカヤマケン オカヤマ ジョシ コウトウ ガッコウ ジェイ アール シー キカンシ ヤマザクラ</v>
      </c>
      <c r="D1081" t="str">
        <f>"岡山県岡山女子高等学校JRC（青少年赤十字団）"</f>
        <v>岡山県岡山女子高等学校JRC（青少年赤十字団）</v>
      </c>
      <c r="E1081" t="str">
        <f>"オカヤマケン オカヤマ ジョシ コウトウ ガッコウ ジェイ アール シー セイショウネン セキジュウジダン"</f>
        <v>オカヤマケン オカヤマ ジョシ コウトウ ガッコウ ジェイ アール シー セイショウネン セキジュウジダン</v>
      </c>
      <c r="F1081" t="str">
        <f t="shared" si="65"/>
        <v>岡山</v>
      </c>
      <c r="G1081" t="str">
        <f>"頻度不明"</f>
        <v>頻度不明</v>
      </c>
      <c r="H1081" t="str">
        <f>"2002222328524"</f>
        <v>2002222328524</v>
      </c>
      <c r="I1081" t="str">
        <f>HYPERLINK("#", "https://opac.libnet.pref.okayama.jp/licsxp-opac/WOpacMsgNewListToTifTilDetailAction.do?tilcod=2002222328524")</f>
        <v>https://opac.libnet.pref.okayama.jp/licsxp-opac/WOpacMsgNewListToTifTilDetailAction.do?tilcod=2002222328524</v>
      </c>
    </row>
    <row r="1082" spans="1:9" x14ac:dyDescent="0.4">
      <c r="A1082" t="str">
        <f>"岡山県海外移住組合時報"</f>
        <v>岡山県海外移住組合時報</v>
      </c>
      <c r="B1082" s="1" t="str">
        <f t="shared" si="61"/>
        <v>岡山県海外移住組合時報</v>
      </c>
      <c r="C1082" t="str">
        <f>"オカヤマケン カイガイ イジュウ クミアイ ジホウ"</f>
        <v>オカヤマケン カイガイ イジュウ クミアイ ジホウ</v>
      </c>
      <c r="D1082" t="str">
        <f>"岡山県海外移住組合"</f>
        <v>岡山県海外移住組合</v>
      </c>
      <c r="E1082" t="str">
        <f>"オカヤマケン カイガイ イジュウ クミアイ"</f>
        <v>オカヤマケン カイガイ イジュウ クミアイ</v>
      </c>
      <c r="F1082" t="str">
        <f t="shared" si="65"/>
        <v>岡山</v>
      </c>
      <c r="G1082" t="str">
        <f>"頻度不明"</f>
        <v>頻度不明</v>
      </c>
      <c r="H1082" t="str">
        <f>"2002222334855"</f>
        <v>2002222334855</v>
      </c>
      <c r="I1082" t="str">
        <f>HYPERLINK("#", "https://opac.libnet.pref.okayama.jp/licsxp-opac/WOpacMsgNewListToTifTilDetailAction.do?tilcod=2002222334855")</f>
        <v>https://opac.libnet.pref.okayama.jp/licsxp-opac/WOpacMsgNewListToTifTilDetailAction.do?tilcod=2002222334855</v>
      </c>
    </row>
    <row r="1083" spans="1:9" x14ac:dyDescent="0.4">
      <c r="A1083" t="str">
        <f>"岡山県各種学校振興会時報"</f>
        <v>岡山県各種学校振興会時報</v>
      </c>
      <c r="B1083" s="1" t="str">
        <f t="shared" si="61"/>
        <v>岡山県各種学校振興会時報</v>
      </c>
      <c r="C1083" t="str">
        <f>"オカヤマケン　カクシュガッコウ　シンコウカイ　ジホウ"</f>
        <v>オカヤマケン　カクシュガッコウ　シンコウカイ　ジホウ</v>
      </c>
      <c r="D1083" t="str">
        <f>"岡山県各種学校振興会"</f>
        <v>岡山県各種学校振興会</v>
      </c>
      <c r="E1083" t="str">
        <f>"オカヤマケンカクシュガッコウシンコウカイ"</f>
        <v>オカヤマケンカクシュガッコウシンコウカイ</v>
      </c>
      <c r="F1083" t="str">
        <f>""</f>
        <v/>
      </c>
      <c r="G1083" t="str">
        <f>"頻度不明"</f>
        <v>頻度不明</v>
      </c>
      <c r="H1083" t="str">
        <f>"2002222286241"</f>
        <v>2002222286241</v>
      </c>
      <c r="I1083" t="str">
        <f>HYPERLINK("#", "https://opac.libnet.pref.okayama.jp/licsxp-opac/WOpacMsgNewListToTifTilDetailAction.do?tilcod=2002222286241")</f>
        <v>https://opac.libnet.pref.okayama.jp/licsxp-opac/WOpacMsgNewListToTifTilDetailAction.do?tilcod=2002222286241</v>
      </c>
    </row>
    <row r="1084" spans="1:9" x14ac:dyDescent="0.4">
      <c r="A1084" t="str">
        <f>"[岡山県笠岡高等女学校]千鳥"</f>
        <v>[岡山県笠岡高等女学校]千鳥</v>
      </c>
      <c r="B1084" s="1" t="str">
        <f t="shared" si="61"/>
        <v>[岡山県笠岡高等女学校]千鳥</v>
      </c>
      <c r="C1084" t="str">
        <f>"オカヤマケン カサオカ コウトウ ジョガッコウ チドリ"</f>
        <v>オカヤマケン カサオカ コウトウ ジョガッコウ チドリ</v>
      </c>
      <c r="D1084" t="str">
        <f>"岡山県笠岡高等女学校千鳥会"</f>
        <v>岡山県笠岡高等女学校千鳥会</v>
      </c>
      <c r="E1084" t="str">
        <f>"オカヤマケン カサオカ コウトウ ジョガッコウ チドリカイ"</f>
        <v>オカヤマケン カサオカ コウトウ ジョガッコウ チドリカイ</v>
      </c>
      <c r="F1084" t="str">
        <f>"笠岡"</f>
        <v>笠岡</v>
      </c>
      <c r="G1084" t="str">
        <f>"不定期刊"</f>
        <v>不定期刊</v>
      </c>
      <c r="H1084" t="str">
        <f>"2002222327606"</f>
        <v>2002222327606</v>
      </c>
      <c r="I1084" t="str">
        <f>HYPERLINK("#", "https://opac.libnet.pref.okayama.jp/licsxp-opac/WOpacMsgNewListToTifTilDetailAction.do?tilcod=2002222327606")</f>
        <v>https://opac.libnet.pref.okayama.jp/licsxp-opac/WOpacMsgNewListToTifTilDetailAction.do?tilcod=2002222327606</v>
      </c>
    </row>
    <row r="1085" spans="1:9" x14ac:dyDescent="0.4">
      <c r="A1085" t="str">
        <f>"岡山県歌人会会報"</f>
        <v>岡山県歌人会会報</v>
      </c>
      <c r="B1085" s="1" t="str">
        <f t="shared" si="61"/>
        <v>岡山県歌人会会報</v>
      </c>
      <c r="C1085" t="str">
        <f>"オカヤマケン　カジンカイ　カイホウ"</f>
        <v>オカヤマケン　カジンカイ　カイホウ</v>
      </c>
      <c r="D1085" t="str">
        <f>"岡山県歌人会事務局"</f>
        <v>岡山県歌人会事務局</v>
      </c>
      <c r="E1085" t="str">
        <f>"オカヤマケンカジンカイジムキョク"</f>
        <v>オカヤマケンカジンカイジムキョク</v>
      </c>
      <c r="F1085" t="str">
        <f>"岡山"</f>
        <v>岡山</v>
      </c>
      <c r="G1085" t="str">
        <f>"不定期刊"</f>
        <v>不定期刊</v>
      </c>
      <c r="H1085" t="str">
        <f>"2002222291971"</f>
        <v>2002222291971</v>
      </c>
      <c r="I1085" t="str">
        <f>HYPERLINK("#", "https://opac.libnet.pref.okayama.jp/licsxp-opac/WOpacMsgNewListToTifTilDetailAction.do?tilcod=2002222291971")</f>
        <v>https://opac.libnet.pref.okayama.jp/licsxp-opac/WOpacMsgNewListToTifTilDetailAction.do?tilcod=2002222291971</v>
      </c>
    </row>
    <row r="1086" spans="1:9" x14ac:dyDescent="0.4">
      <c r="A1086" t="str">
        <f>"[岡山県学校教育相談研究会]会報"</f>
        <v>[岡山県学校教育相談研究会]会報</v>
      </c>
      <c r="B1086" s="1" t="str">
        <f t="shared" si="61"/>
        <v>[岡山県学校教育相談研究会]会報</v>
      </c>
      <c r="C1086" t="str">
        <f>"オカヤマケン ガッコウ キョウイク ソウダン ケンキュウカイ カイホウ"</f>
        <v>オカヤマケン ガッコウ キョウイク ソウダン ケンキュウカイ カイホウ</v>
      </c>
      <c r="D1086" t="str">
        <f>"岡山県学校教育相談研究会"</f>
        <v>岡山県学校教育相談研究会</v>
      </c>
      <c r="E1086" t="str">
        <f>"オカヤマケン ガッコウ キョウイク ソウダン ケンキュウカイ"</f>
        <v>オカヤマケン ガッコウ キョウイク ソウダン ケンキュウカイ</v>
      </c>
      <c r="F1086" t="str">
        <f>"岡山"</f>
        <v>岡山</v>
      </c>
      <c r="G1086" t="str">
        <f>"頻度不明"</f>
        <v>頻度不明</v>
      </c>
      <c r="H1086" t="str">
        <f>"2002222334831"</f>
        <v>2002222334831</v>
      </c>
      <c r="I1086" t="str">
        <f>HYPERLINK("#", "https://opac.libnet.pref.okayama.jp/licsxp-opac/WOpacMsgNewListToTifTilDetailAction.do?tilcod=2002222334831")</f>
        <v>https://opac.libnet.pref.okayama.jp/licsxp-opac/WOpacMsgNewListToTifTilDetailAction.do?tilcod=2002222334831</v>
      </c>
    </row>
    <row r="1087" spans="1:9" x14ac:dyDescent="0.4">
      <c r="A1087" t="str">
        <f>"〔岡山県金川中学校〕秀芳"</f>
        <v>〔岡山県金川中学校〕秀芳</v>
      </c>
      <c r="B1087" s="1" t="str">
        <f t="shared" si="61"/>
        <v>〔岡山県金川中学校〕秀芳</v>
      </c>
      <c r="C1087" t="str">
        <f>"オカヤマケン　カナガワ　チュウガッコウ　シュウホウ"</f>
        <v>オカヤマケン　カナガワ　チュウガッコウ　シュウホウ</v>
      </c>
      <c r="D1087" t="str">
        <f>"岡山県金川中学校自敬会"</f>
        <v>岡山県金川中学校自敬会</v>
      </c>
      <c r="E1087" t="str">
        <f>"オカヤマケンカナガワチュウガッコウジケイカイ"</f>
        <v>オカヤマケンカナガワチュウガッコウジケイカイ</v>
      </c>
      <c r="F1087" t="str">
        <f>"金川町（御津郡）"</f>
        <v>金川町（御津郡）</v>
      </c>
      <c r="G1087" t="str">
        <f>"不定期刊"</f>
        <v>不定期刊</v>
      </c>
      <c r="H1087" t="str">
        <f>"2002222301536"</f>
        <v>2002222301536</v>
      </c>
      <c r="I1087" t="str">
        <f>HYPERLINK("#", "https://opac.libnet.pref.okayama.jp/licsxp-opac/WOpacMsgNewListToTifTilDetailAction.do?tilcod=2002222301536")</f>
        <v>https://opac.libnet.pref.okayama.jp/licsxp-opac/WOpacMsgNewListToTifTilDetailAction.do?tilcod=2002222301536</v>
      </c>
    </row>
    <row r="1088" spans="1:9" x14ac:dyDescent="0.4">
      <c r="A1088" t="str">
        <f>"〔岡山県加茂高等学校〕加茂高報"</f>
        <v>〔岡山県加茂高等学校〕加茂高報</v>
      </c>
      <c r="B1088" s="1" t="str">
        <f t="shared" si="61"/>
        <v>〔岡山県加茂高等学校〕加茂高報</v>
      </c>
      <c r="C1088" t="str">
        <f>"オカヤマケン　カモ　コウトウ　ガッコウ＊カモ　コウ　ホウ"</f>
        <v>オカヤマケン　カモ　コウトウ　ガッコウ＊カモ　コウ　ホウ</v>
      </c>
      <c r="D1088" t="str">
        <f>"岡山県加茂高等学校"</f>
        <v>岡山県加茂高等学校</v>
      </c>
      <c r="E1088" t="str">
        <f>"オカヤマケンカモコウトウガッコウ"</f>
        <v>オカヤマケンカモコウトウガッコウ</v>
      </c>
      <c r="F1088" t="str">
        <f>"加茂町（苫田郡）"</f>
        <v>加茂町（苫田郡）</v>
      </c>
      <c r="G1088" t="str">
        <f>"頻度不明"</f>
        <v>頻度不明</v>
      </c>
      <c r="H1088" t="str">
        <f>"2002222301894"</f>
        <v>2002222301894</v>
      </c>
      <c r="I1088" t="str">
        <f>HYPERLINK("#", "https://opac.libnet.pref.okayama.jp/licsxp-opac/WOpacMsgNewListToTifTilDetailAction.do?tilcod=2002222301894")</f>
        <v>https://opac.libnet.pref.okayama.jp/licsxp-opac/WOpacMsgNewListToTifTilDetailAction.do?tilcod=2002222301894</v>
      </c>
    </row>
    <row r="1089" spans="1:9" x14ac:dyDescent="0.4">
      <c r="A1089" t="str">
        <f>"岡山県漢文学会報"</f>
        <v>岡山県漢文学会報</v>
      </c>
      <c r="B1089" s="1" t="str">
        <f t="shared" si="61"/>
        <v>岡山県漢文学会報</v>
      </c>
      <c r="C1089" t="str">
        <f>"オカヤマケン　カンブン　ガッカイホウ"</f>
        <v>オカヤマケン　カンブン　ガッカイホウ</v>
      </c>
      <c r="D1089" t="str">
        <f>"岡山県漢文学会"</f>
        <v>岡山県漢文学会</v>
      </c>
      <c r="E1089" t="str">
        <f>"オカヤマケンカンブンガッカイ"</f>
        <v>オカヤマケンカンブンガッカイ</v>
      </c>
      <c r="F1089" t="str">
        <f>"岡山"</f>
        <v>岡山</v>
      </c>
      <c r="G1089" t="str">
        <f>"年刊"</f>
        <v>年刊</v>
      </c>
      <c r="H1089" t="str">
        <f>"2002222293381"</f>
        <v>2002222293381</v>
      </c>
      <c r="I1089" t="str">
        <f>HYPERLINK("#", "https://opac.libnet.pref.okayama.jp/licsxp-opac/WOpacMsgNewListToTifTilDetailAction.do?tilcod=2002222293381")</f>
        <v>https://opac.libnet.pref.okayama.jp/licsxp-opac/WOpacMsgNewListToTifTilDetailAction.do?tilcod=2002222293381</v>
      </c>
    </row>
    <row r="1090" spans="1:9" x14ac:dyDescent="0.4">
      <c r="A1090" t="str">
        <f>"岡山県機械金属工業技術研修協会研究会資料"</f>
        <v>岡山県機械金属工業技術研修協会研究会資料</v>
      </c>
      <c r="B1090" s="1" t="str">
        <f t="shared" si="61"/>
        <v>岡山県機械金属工業技術研修協会研究会資料</v>
      </c>
      <c r="C1090" t="str">
        <f>"オカヤマケン キカイ キンゾク コウギョウ ギジュツ ケンシュウ キョウカイ ケンキュウカイ シリョウ"</f>
        <v>オカヤマケン キカイ キンゾク コウギョウ ギジュツ ケンシュウ キョウカイ ケンキュウカイ シリョウ</v>
      </c>
      <c r="D1090" t="str">
        <f>"岡山県機械金属工業技術研修協会"</f>
        <v>岡山県機械金属工業技術研修協会</v>
      </c>
      <c r="E1090" t="str">
        <f>"オカヤマケン キカイ キンゾク コウギョウ ギジュツ ケンシュウ キョウカイ "</f>
        <v xml:space="preserve">オカヤマケン キカイ キンゾク コウギョウ ギジュツ ケンシュウ キョウカイ </v>
      </c>
      <c r="F1090" t="str">
        <f>"岡山"</f>
        <v>岡山</v>
      </c>
      <c r="G1090" t="str">
        <f>"不定期刊"</f>
        <v>不定期刊</v>
      </c>
      <c r="H1090" t="str">
        <f>"2002222336774"</f>
        <v>2002222336774</v>
      </c>
      <c r="I1090" t="str">
        <f>HYPERLINK("#", "https://opac.libnet.pref.okayama.jp/licsxp-opac/WOpacMsgNewListToTifTilDetailAction.do?tilcod=2002222336774")</f>
        <v>https://opac.libnet.pref.okayama.jp/licsxp-opac/WOpacMsgNewListToTifTilDetailAction.do?tilcod=2002222336774</v>
      </c>
    </row>
    <row r="1091" spans="1:9" x14ac:dyDescent="0.4">
      <c r="A1091" t="str">
        <f>"岡山県技術士会会報"</f>
        <v>岡山県技術士会会報</v>
      </c>
      <c r="B1091" s="1" t="str">
        <f t="shared" si="61"/>
        <v>岡山県技術士会会報</v>
      </c>
      <c r="C1091" t="str">
        <f>"オカヤマケン　ギジュツシカイ　カイホウ"</f>
        <v>オカヤマケン　ギジュツシカイ　カイホウ</v>
      </c>
      <c r="D1091" t="str">
        <f>"岡山県技術士会"</f>
        <v>岡山県技術士会</v>
      </c>
      <c r="E1091" t="str">
        <f>"オカヤマケンギジュツシカイ"</f>
        <v>オカヤマケンギジュツシカイ</v>
      </c>
      <c r="F1091" t="str">
        <f>"岡山"</f>
        <v>岡山</v>
      </c>
      <c r="G1091" t="str">
        <f>"年刊"</f>
        <v>年刊</v>
      </c>
      <c r="H1091" t="str">
        <f>"2002222300421"</f>
        <v>2002222300421</v>
      </c>
      <c r="I1091" t="str">
        <f>HYPERLINK("#", "https://opac.libnet.pref.okayama.jp/licsxp-opac/WOpacMsgNewListToTifTilDetailAction.do?tilcod=2002222300421")</f>
        <v>https://opac.libnet.pref.okayama.jp/licsxp-opac/WOpacMsgNewListToTifTilDetailAction.do?tilcod=2002222300421</v>
      </c>
    </row>
    <row r="1092" spans="1:9" x14ac:dyDescent="0.4">
      <c r="A1092" t="str">
        <f>"岡山県気象月報"</f>
        <v>岡山県気象月報</v>
      </c>
      <c r="B1092" s="1" t="str">
        <f t="shared" ref="B1092:B1155" si="66">HYPERLINK("#", A1092)</f>
        <v>岡山県気象月報</v>
      </c>
      <c r="C1092" t="str">
        <f>"オカヤマケン　キショウ　ゲッポウ"</f>
        <v>オカヤマケン　キショウ　ゲッポウ</v>
      </c>
      <c r="D1092" t="str">
        <f>"岡山地方気象台"</f>
        <v>岡山地方気象台</v>
      </c>
      <c r="E1092" t="str">
        <f>"オカヤマチホウキショウダイ"</f>
        <v>オカヤマチホウキショウダイ</v>
      </c>
      <c r="F1092" t="str">
        <f>"岡山市"</f>
        <v>岡山市</v>
      </c>
      <c r="G1092" t="str">
        <f>"月刊"</f>
        <v>月刊</v>
      </c>
      <c r="H1092" t="str">
        <f>"2002222291061"</f>
        <v>2002222291061</v>
      </c>
      <c r="I1092" t="str">
        <f>HYPERLINK("#", "https://opac.libnet.pref.okayama.jp/licsxp-opac/WOpacMsgNewListToTifTilDetailAction.do?tilcod=2002222291061")</f>
        <v>https://opac.libnet.pref.okayama.jp/licsxp-opac/WOpacMsgNewListToTifTilDetailAction.do?tilcod=2002222291061</v>
      </c>
    </row>
    <row r="1093" spans="1:9" x14ac:dyDescent="0.4">
      <c r="A1093" t="str">
        <f>"[岡山県吉備郡高松中学校]学校要覧"</f>
        <v>[岡山県吉備郡高松中学校]学校要覧</v>
      </c>
      <c r="B1093" s="1" t="str">
        <f t="shared" si="66"/>
        <v>[岡山県吉備郡高松中学校]学校要覧</v>
      </c>
      <c r="C1093" t="str">
        <f>"オカヤマケン キビグン タカマツ チュウガッコウ ガッコウ ヨウラン"</f>
        <v>オカヤマケン キビグン タカマツ チュウガッコウ ガッコウ ヨウラン</v>
      </c>
      <c r="D1093" t="str">
        <f>"吉備郡高松中学校"</f>
        <v>吉備郡高松中学校</v>
      </c>
      <c r="E1093" t="str">
        <f>"キビグン タカマツ チュウガッコウ"</f>
        <v>キビグン タカマツ チュウガッコウ</v>
      </c>
      <c r="F1093" t="str">
        <f>"[出版地不明]"</f>
        <v>[出版地不明]</v>
      </c>
      <c r="G1093" t="str">
        <f>"年刊"</f>
        <v>年刊</v>
      </c>
      <c r="H1093" t="str">
        <f>"2002222332548"</f>
        <v>2002222332548</v>
      </c>
      <c r="I1093" t="str">
        <f>HYPERLINK("#", "https://opac.libnet.pref.okayama.jp/licsxp-opac/WOpacMsgNewListToTifTilDetailAction.do?tilcod=2002222332548")</f>
        <v>https://opac.libnet.pref.okayama.jp/licsxp-opac/WOpacMsgNewListToTifTilDetailAction.do?tilcod=2002222332548</v>
      </c>
    </row>
    <row r="1094" spans="1:9" x14ac:dyDescent="0.4">
      <c r="A1094" t="str">
        <f>"〔岡山県教育研修所・岡山県理科教育研究センター〕所報"</f>
        <v>〔岡山県教育研修所・岡山県理科教育研究センター〕所報</v>
      </c>
      <c r="B1094" s="1" t="str">
        <f t="shared" si="66"/>
        <v>〔岡山県教育研修所・岡山県理科教育研究センター〕所報</v>
      </c>
      <c r="C1094" t="str">
        <f>"オカヤマケン　キョウイク　ケンシュウジョ　オカヤマケン　リカ　キョウイク　ケンキュウ　センター＊ショホウ"</f>
        <v>オカヤマケン　キョウイク　ケンシュウジョ　オカヤマケン　リカ　キョウイク　ケンキュウ　センター＊ショホウ</v>
      </c>
      <c r="D1094" t="str">
        <f>"岡山県教育研修所・岡山県理科教育センター"</f>
        <v>岡山県教育研修所・岡山県理科教育センター</v>
      </c>
      <c r="E1094" t="str">
        <f>"オカヤマケンキョウイクケンシュウジョオカヤマケンリカキョウイクセンター"</f>
        <v>オカヤマケンキョウイクケンシュウジョオカヤマケンリカキョウイクセンター</v>
      </c>
      <c r="F1094" t="str">
        <f t="shared" ref="F1094:F1100" si="67">"岡山"</f>
        <v>岡山</v>
      </c>
      <c r="G1094" t="str">
        <f>"頻度不明"</f>
        <v>頻度不明</v>
      </c>
      <c r="H1094" t="str">
        <f>"2002222280424"</f>
        <v>2002222280424</v>
      </c>
      <c r="I1094" t="str">
        <f>HYPERLINK("#", "https://opac.libnet.pref.okayama.jp/licsxp-opac/WOpacMsgNewListToTifTilDetailAction.do?tilcod=2002222280424")</f>
        <v>https://opac.libnet.pref.okayama.jp/licsxp-opac/WOpacMsgNewListToTifTilDetailAction.do?tilcod=2002222280424</v>
      </c>
    </row>
    <row r="1095" spans="1:9" x14ac:dyDescent="0.4">
      <c r="A1095" t="str">
        <f>"〔岡山県教育研修所〕所報"</f>
        <v>〔岡山県教育研修所〕所報</v>
      </c>
      <c r="B1095" s="1" t="str">
        <f t="shared" si="66"/>
        <v>〔岡山県教育研修所〕所報</v>
      </c>
      <c r="C1095" t="str">
        <f>"オカヤマケン　キョウイク　ケンシュウジョ　ショホウ"</f>
        <v>オカヤマケン　キョウイク　ケンシュウジョ　ショホウ</v>
      </c>
      <c r="D1095" t="str">
        <f>"岡山県教育研修所"</f>
        <v>岡山県教育研修所</v>
      </c>
      <c r="E1095" t="str">
        <f>"オカヤマケン キョウイク ケンシュウジョ"</f>
        <v>オカヤマケン キョウイク ケンシュウジョ</v>
      </c>
      <c r="F1095" t="str">
        <f t="shared" si="67"/>
        <v>岡山</v>
      </c>
      <c r="G1095" t="str">
        <f>"頻度不明"</f>
        <v>頻度不明</v>
      </c>
      <c r="H1095" t="str">
        <f>"2002222286261"</f>
        <v>2002222286261</v>
      </c>
      <c r="I1095" t="str">
        <f>HYPERLINK("#", "https://opac.libnet.pref.okayama.jp/licsxp-opac/WOpacMsgNewListToTifTilDetailAction.do?tilcod=2002222286261")</f>
        <v>https://opac.libnet.pref.okayama.jp/licsxp-opac/WOpacMsgNewListToTifTilDetailAction.do?tilcod=2002222286261</v>
      </c>
    </row>
    <row r="1096" spans="1:9" x14ac:dyDescent="0.4">
      <c r="A1096" t="str">
        <f>"岡山県教育研修所叢書"</f>
        <v>岡山県教育研修所叢書</v>
      </c>
      <c r="B1096" s="1" t="str">
        <f t="shared" si="66"/>
        <v>岡山県教育研修所叢書</v>
      </c>
      <c r="C1096" t="str">
        <f>"オカヤマケン　キョウイク　ケンシュウジョ　ソウショ"</f>
        <v>オカヤマケン　キョウイク　ケンシュウジョ　ソウショ</v>
      </c>
      <c r="D1096" t="str">
        <f>"岡山県教育研修所"</f>
        <v>岡山県教育研修所</v>
      </c>
      <c r="E1096" t="str">
        <f>"オカヤマケン キョウイク ケンシュウジョ"</f>
        <v>オカヤマケン キョウイク ケンシュウジョ</v>
      </c>
      <c r="F1096" t="str">
        <f t="shared" si="67"/>
        <v>岡山</v>
      </c>
      <c r="G1096" t="str">
        <f>"頻度不明"</f>
        <v>頻度不明</v>
      </c>
      <c r="H1096" t="str">
        <f>"2002222286271"</f>
        <v>2002222286271</v>
      </c>
      <c r="I1096" t="str">
        <f>HYPERLINK("#", "https://opac.libnet.pref.okayama.jp/licsxp-opac/WOpacMsgNewListToTifTilDetailAction.do?tilcod=2002222286271")</f>
        <v>https://opac.libnet.pref.okayama.jp/licsxp-opac/WOpacMsgNewListToTifTilDetailAction.do?tilcod=2002222286271</v>
      </c>
    </row>
    <row r="1097" spans="1:9" x14ac:dyDescent="0.4">
      <c r="A1097" t="str">
        <f>"〔岡山県教育研修所〕要覧"</f>
        <v>〔岡山県教育研修所〕要覧</v>
      </c>
      <c r="B1097" s="1" t="str">
        <f t="shared" si="66"/>
        <v>〔岡山県教育研修所〕要覧</v>
      </c>
      <c r="C1097" t="str">
        <f>"オカヤマケン　キョウイク　ケンシュウジョ　ヨウラン"</f>
        <v>オカヤマケン　キョウイク　ケンシュウジョ　ヨウラン</v>
      </c>
      <c r="D1097" t="str">
        <f>"岡山県教育研修所"</f>
        <v>岡山県教育研修所</v>
      </c>
      <c r="E1097" t="str">
        <f>"オカヤマケン キョウイク ケンシュウジョ"</f>
        <v>オカヤマケン キョウイク ケンシュウジョ</v>
      </c>
      <c r="F1097" t="str">
        <f t="shared" si="67"/>
        <v>岡山</v>
      </c>
      <c r="G1097" t="str">
        <f>"頻度不明"</f>
        <v>頻度不明</v>
      </c>
      <c r="H1097" t="str">
        <f>"2002222286281"</f>
        <v>2002222286281</v>
      </c>
      <c r="I1097" t="str">
        <f>HYPERLINK("#", "https://opac.libnet.pref.okayama.jp/licsxp-opac/WOpacMsgNewListToTifTilDetailAction.do?tilcod=2002222286281")</f>
        <v>https://opac.libnet.pref.okayama.jp/licsxp-opac/WOpacMsgNewListToTifTilDetailAction.do?tilcod=2002222286281</v>
      </c>
    </row>
    <row r="1098" spans="1:9" x14ac:dyDescent="0.4">
      <c r="A1098" t="str">
        <f>"岡山県教育センター研究報告書"</f>
        <v>岡山県教育センター研究報告書</v>
      </c>
      <c r="B1098" s="1" t="str">
        <f t="shared" si="66"/>
        <v>岡山県教育センター研究報告書</v>
      </c>
      <c r="C1098" t="str">
        <f>"オカヤマケン　キョウイク　センター　ケンキュウ　ホウコクショ"</f>
        <v>オカヤマケン　キョウイク　センター　ケンキュウ　ホウコクショ</v>
      </c>
      <c r="D1098" t="str">
        <f>"岡山県教育センター"</f>
        <v>岡山県教育センター</v>
      </c>
      <c r="E1098" t="str">
        <f>"オカヤマケンキョウイクセンター"</f>
        <v>オカヤマケンキョウイクセンター</v>
      </c>
      <c r="F1098" t="str">
        <f t="shared" si="67"/>
        <v>岡山</v>
      </c>
      <c r="G1098" t="str">
        <f>"不定期刊"</f>
        <v>不定期刊</v>
      </c>
      <c r="H1098" t="str">
        <f>"2002222282671"</f>
        <v>2002222282671</v>
      </c>
      <c r="I1098" t="str">
        <f>HYPERLINK("#", "https://opac.libnet.pref.okayama.jp/licsxp-opac/WOpacMsgNewListToTifTilDetailAction.do?tilcod=2002222282671")</f>
        <v>https://opac.libnet.pref.okayama.jp/licsxp-opac/WOpacMsgNewListToTifTilDetailAction.do?tilcod=2002222282671</v>
      </c>
    </row>
    <row r="1099" spans="1:9" x14ac:dyDescent="0.4">
      <c r="A1099" t="str">
        <f>"岡山県教育センター所報"</f>
        <v>岡山県教育センター所報</v>
      </c>
      <c r="B1099" s="1" t="str">
        <f t="shared" si="66"/>
        <v>岡山県教育センター所報</v>
      </c>
      <c r="C1099" t="str">
        <f>"オカヤマケン　キョウイク　センター　ショホウ"</f>
        <v>オカヤマケン　キョウイク　センター　ショホウ</v>
      </c>
      <c r="D1099" t="str">
        <f>"岡山県教育センター"</f>
        <v>岡山県教育センター</v>
      </c>
      <c r="E1099" t="str">
        <f>"オカヤマケンキョウイクセンター"</f>
        <v>オカヤマケンキョウイクセンター</v>
      </c>
      <c r="F1099" t="str">
        <f t="shared" si="67"/>
        <v>岡山</v>
      </c>
      <c r="G1099" t="str">
        <f>"年刊"</f>
        <v>年刊</v>
      </c>
      <c r="H1099" t="str">
        <f>"2002222291981"</f>
        <v>2002222291981</v>
      </c>
      <c r="I1099" t="str">
        <f>HYPERLINK("#", "https://opac.libnet.pref.okayama.jp/licsxp-opac/WOpacMsgNewListToTifTilDetailAction.do?tilcod=2002222291981")</f>
        <v>https://opac.libnet.pref.okayama.jp/licsxp-opac/WOpacMsgNewListToTifTilDetailAction.do?tilcod=2002222291981</v>
      </c>
    </row>
    <row r="1100" spans="1:9" x14ac:dyDescent="0.4">
      <c r="A1100" t="str">
        <f>"〔岡山県教育センター〕研究紀要"</f>
        <v>〔岡山県教育センター〕研究紀要</v>
      </c>
      <c r="B1100" s="1" t="str">
        <f t="shared" si="66"/>
        <v>〔岡山県教育センター〕研究紀要</v>
      </c>
      <c r="C1100" t="str">
        <f>"オカヤマケン　キョウイク　センター＊ケンキュウ　キヨウ"</f>
        <v>オカヤマケン　キョウイク　センター＊ケンキュウ　キヨウ</v>
      </c>
      <c r="D1100" t="str">
        <f>"岡山県教育センター"</f>
        <v>岡山県教育センター</v>
      </c>
      <c r="E1100" t="str">
        <f>"オカヤマケンキョウイクセンター"</f>
        <v>オカヤマケンキョウイクセンター</v>
      </c>
      <c r="F1100" t="str">
        <f t="shared" si="67"/>
        <v>岡山</v>
      </c>
      <c r="G1100" t="str">
        <f>"不定期刊"</f>
        <v>不定期刊</v>
      </c>
      <c r="H1100" t="str">
        <f>"2002222294681"</f>
        <v>2002222294681</v>
      </c>
      <c r="I1100" t="str">
        <f>HYPERLINK("#", "https://opac.libnet.pref.okayama.jp/licsxp-opac/WOpacMsgNewListToTifTilDetailAction.do?tilcod=2002222294681")</f>
        <v>https://opac.libnet.pref.okayama.jp/licsxp-opac/WOpacMsgNewListToTifTilDetailAction.do?tilcod=2002222294681</v>
      </c>
    </row>
    <row r="1101" spans="1:9" x14ac:dyDescent="0.4">
      <c r="A1101" t="str">
        <f>"岡山県教育調査月報"</f>
        <v>岡山県教育調査月報</v>
      </c>
      <c r="B1101" s="1" t="str">
        <f t="shared" si="66"/>
        <v>岡山県教育調査月報</v>
      </c>
      <c r="C1101" t="str">
        <f>"オカヤマケン キョウイク チョウサ ゲッポウ"</f>
        <v>オカヤマケン キョウイク チョウサ ゲッポウ</v>
      </c>
      <c r="D1101" t="str">
        <f>"[岡山県教育委員会事務局調査課]"</f>
        <v>[岡山県教育委員会事務局調査課]</v>
      </c>
      <c r="E1101" t="str">
        <f>"オカヤマケン キョウイク イインカイ ジムキョク チョウサカ"</f>
        <v>オカヤマケン キョウイク イインカイ ジムキョク チョウサカ</v>
      </c>
      <c r="F1101" t="str">
        <f>""</f>
        <v/>
      </c>
      <c r="G1101" t="str">
        <f>"月刊"</f>
        <v>月刊</v>
      </c>
      <c r="H1101" t="str">
        <f>"2002222333147"</f>
        <v>2002222333147</v>
      </c>
      <c r="I1101" t="str">
        <f>HYPERLINK("#", "https://opac.libnet.pref.okayama.jp/licsxp-opac/WOpacMsgNewListToTifTilDetailAction.do?tilcod=2002222333147")</f>
        <v>https://opac.libnet.pref.okayama.jp/licsxp-opac/WOpacMsgNewListToTifTilDetailAction.do?tilcod=2002222333147</v>
      </c>
    </row>
    <row r="1102" spans="1:9" x14ac:dyDescent="0.4">
      <c r="A1102" t="str">
        <f>"岡山県教育会誌"</f>
        <v>岡山県教育会誌</v>
      </c>
      <c r="B1102" s="1" t="str">
        <f t="shared" si="66"/>
        <v>岡山県教育会誌</v>
      </c>
      <c r="C1102" t="str">
        <f>"オカヤマケン　キョウイクカイシ"</f>
        <v>オカヤマケン　キョウイクカイシ</v>
      </c>
      <c r="D1102" t="str">
        <f>"私立岡山県教育会"</f>
        <v>私立岡山県教育会</v>
      </c>
      <c r="E1102" t="str">
        <f>"シリツ オカヤマケン キョウイクカイ"</f>
        <v>シリツ オカヤマケン キョウイクカイ</v>
      </c>
      <c r="F1102" t="str">
        <f>""</f>
        <v/>
      </c>
      <c r="G1102" t="str">
        <f>"頻度不明"</f>
        <v>頻度不明</v>
      </c>
      <c r="H1102" t="str">
        <f>"2002222286251"</f>
        <v>2002222286251</v>
      </c>
      <c r="I1102" t="str">
        <f>HYPERLINK("#", "https://opac.libnet.pref.okayama.jp/licsxp-opac/WOpacMsgNewListToTifTilDetailAction.do?tilcod=2002222286251")</f>
        <v>https://opac.libnet.pref.okayama.jp/licsxp-opac/WOpacMsgNewListToTifTilDetailAction.do?tilcod=2002222286251</v>
      </c>
    </row>
    <row r="1103" spans="1:9" x14ac:dyDescent="0.4">
      <c r="A1103" t="str">
        <f>"岡山県教振だより"</f>
        <v>岡山県教振だより</v>
      </c>
      <c r="B1103" s="1" t="str">
        <f t="shared" si="66"/>
        <v>岡山県教振だより</v>
      </c>
      <c r="C1103" t="str">
        <f>"オカヤマケン　キョウシン　ダヨリ　　"</f>
        <v>オカヤマケン　キョウシン　ダヨリ　　</v>
      </c>
      <c r="D1103" t="str">
        <f>"岡山県教育振興会"</f>
        <v>岡山県教育振興会</v>
      </c>
      <c r="E1103" t="str">
        <f>"オカヤマケン キョウイク シンコウカイ"</f>
        <v>オカヤマケン キョウイク シンコウカイ</v>
      </c>
      <c r="F1103" t="str">
        <f>"岡山"</f>
        <v>岡山</v>
      </c>
      <c r="G1103" t="str">
        <f>"不定期刊"</f>
        <v>不定期刊</v>
      </c>
      <c r="H1103" t="str">
        <f>"2002222300184"</f>
        <v>2002222300184</v>
      </c>
      <c r="I1103" t="str">
        <f>HYPERLINK("#", "https://opac.libnet.pref.okayama.jp/licsxp-opac/WOpacMsgNewListToTifTilDetailAction.do?tilcod=2002222300184")</f>
        <v>https://opac.libnet.pref.okayama.jp/licsxp-opac/WOpacMsgNewListToTifTilDetailAction.do?tilcod=2002222300184</v>
      </c>
    </row>
    <row r="1104" spans="1:9" x14ac:dyDescent="0.4">
      <c r="A1104" t="str">
        <f>"岡山県共生高等学校学校案内"</f>
        <v>岡山県共生高等学校学校案内</v>
      </c>
      <c r="B1104" s="1" t="str">
        <f t="shared" si="66"/>
        <v>岡山県共生高等学校学校案内</v>
      </c>
      <c r="C1104" t="str">
        <f>"オカヤマケン　キョウセイ　コウトウ　ガッコウ　ガッコウ　アンナイ"</f>
        <v>オカヤマケン　キョウセイ　コウトウ　ガッコウ　ガッコウ　アンナイ</v>
      </c>
      <c r="D1104" t="str">
        <f>"岡山県共生高等学校"</f>
        <v>岡山県共生高等学校</v>
      </c>
      <c r="E1104" t="str">
        <f>"オカヤマケン キョウセイ コウトウ ガッコウ"</f>
        <v>オカヤマケン キョウセイ コウトウ ガッコウ</v>
      </c>
      <c r="F1104" t="str">
        <f>"新見"</f>
        <v>新見</v>
      </c>
      <c r="G1104" t="str">
        <f>"年刊"</f>
        <v>年刊</v>
      </c>
      <c r="H1104" t="str">
        <f>"2002222301233"</f>
        <v>2002222301233</v>
      </c>
      <c r="I1104" t="str">
        <f>HYPERLINK("#", "https://opac.libnet.pref.okayama.jp/licsxp-opac/WOpacMsgNewListToTifTilDetailAction.do?tilcod=2002222301233")</f>
        <v>https://opac.libnet.pref.okayama.jp/licsxp-opac/WOpacMsgNewListToTifTilDetailAction.do?tilcod=2002222301233</v>
      </c>
    </row>
    <row r="1105" spans="1:9" x14ac:dyDescent="0.4">
      <c r="A1105" t="str">
        <f>"〔岡山県共生高等学校〕学園新聞"</f>
        <v>〔岡山県共生高等学校〕学園新聞</v>
      </c>
      <c r="B1105" s="1" t="str">
        <f t="shared" si="66"/>
        <v>〔岡山県共生高等学校〕学園新聞</v>
      </c>
      <c r="C1105" t="str">
        <f>"オカヤマケン　キョウセイ　コウトウ　ガッコウ＊ガクエン　シンブン"</f>
        <v>オカヤマケン　キョウセイ　コウトウ　ガッコウ＊ガクエン　シンブン</v>
      </c>
      <c r="D1105" t="str">
        <f>"岡山県共生高等学校"</f>
        <v>岡山県共生高等学校</v>
      </c>
      <c r="E1105" t="str">
        <f>"オカヤマケン キョウセイ コウトウ ガッコウ"</f>
        <v>オカヤマケン キョウセイ コウトウ ガッコウ</v>
      </c>
      <c r="F1105" t="str">
        <f>"新見"</f>
        <v>新見</v>
      </c>
      <c r="G1105" t="str">
        <f>"頻度不明"</f>
        <v>頻度不明</v>
      </c>
      <c r="H1105" t="str">
        <f>"2002222301971"</f>
        <v>2002222301971</v>
      </c>
      <c r="I1105" t="str">
        <f>HYPERLINK("#", "https://opac.libnet.pref.okayama.jp/licsxp-opac/WOpacMsgNewListToTifTilDetailAction.do?tilcod=2002222301971")</f>
        <v>https://opac.libnet.pref.okayama.jp/licsxp-opac/WOpacMsgNewListToTifTilDetailAction.do?tilcod=2002222301971</v>
      </c>
    </row>
    <row r="1106" spans="1:9" x14ac:dyDescent="0.4">
      <c r="A1106" t="str">
        <f>"[岡山県郷土文化財団]会員だより"</f>
        <v>[岡山県郷土文化財団]会員だより</v>
      </c>
      <c r="B1106" s="1" t="str">
        <f t="shared" si="66"/>
        <v>[岡山県郷土文化財団]会員だより</v>
      </c>
      <c r="C1106" t="str">
        <f>"オカヤマケン キョウド ブンカ ザイダン カイイン ダヨリ"</f>
        <v>オカヤマケン キョウド ブンカ ザイダン カイイン ダヨリ</v>
      </c>
      <c r="D1106" t="str">
        <f>"岡山県郷土文化財団"</f>
        <v>岡山県郷土文化財団</v>
      </c>
      <c r="E1106" t="str">
        <f>"オカヤマケン キョウド ブンカ ザイダン"</f>
        <v>オカヤマケン キョウド ブンカ ザイダン</v>
      </c>
      <c r="F1106" t="str">
        <f>""</f>
        <v/>
      </c>
      <c r="G1106" t="str">
        <f>"季刊"</f>
        <v>季刊</v>
      </c>
      <c r="H1106" t="str">
        <f>"2002222286301"</f>
        <v>2002222286301</v>
      </c>
      <c r="I1106" t="str">
        <f>HYPERLINK("#", "https://opac.libnet.pref.okayama.jp/licsxp-opac/WOpacMsgNewListToTifTilDetailAction.do?tilcod=2002222286301")</f>
        <v>https://opac.libnet.pref.okayama.jp/licsxp-opac/WOpacMsgNewListToTifTilDetailAction.do?tilcod=2002222286301</v>
      </c>
    </row>
    <row r="1107" spans="1:9" x14ac:dyDescent="0.4">
      <c r="A1107" t="str">
        <f>"岡山県協和会報"</f>
        <v>岡山県協和会報</v>
      </c>
      <c r="B1107" s="1" t="str">
        <f t="shared" si="66"/>
        <v>岡山県協和会報</v>
      </c>
      <c r="C1107" t="str">
        <f>"オカヤマケン　キョウワカイホウ"</f>
        <v>オカヤマケン　キョウワカイホウ</v>
      </c>
      <c r="D1107" t="str">
        <f>"岡山県協和会"</f>
        <v>岡山県協和会</v>
      </c>
      <c r="E1107" t="str">
        <f>"オカヤマケンキョウワカイ"</f>
        <v>オカヤマケンキョウワカイ</v>
      </c>
      <c r="F1107" t="str">
        <f>"岡山"</f>
        <v>岡山</v>
      </c>
      <c r="G1107" t="str">
        <f>"月刊"</f>
        <v>月刊</v>
      </c>
      <c r="H1107" t="str">
        <f>"2002222286311"</f>
        <v>2002222286311</v>
      </c>
      <c r="I1107" t="str">
        <f>HYPERLINK("#", "https://opac.libnet.pref.okayama.jp/licsxp-opac/WOpacMsgNewListToTifTilDetailAction.do?tilcod=2002222286311")</f>
        <v>https://opac.libnet.pref.okayama.jp/licsxp-opac/WOpacMsgNewListToTifTilDetailAction.do?tilcod=2002222286311</v>
      </c>
    </row>
    <row r="1108" spans="1:9" x14ac:dyDescent="0.4">
      <c r="A1108" t="str">
        <f>"岡山県金融広報だより"</f>
        <v>岡山県金融広報だより</v>
      </c>
      <c r="B1108" s="1" t="str">
        <f t="shared" si="66"/>
        <v>岡山県金融広報だより</v>
      </c>
      <c r="C1108" t="str">
        <f>"オカヤマケン　キンユウ　コウホウ　ダヨリ"</f>
        <v>オカヤマケン　キンユウ　コウホウ　ダヨリ</v>
      </c>
      <c r="D1108" t="str">
        <f>"岡山県金融広報委員会事務局"</f>
        <v>岡山県金融広報委員会事務局</v>
      </c>
      <c r="E1108" t="str">
        <f>"オカヤマケンキンユウコウホウイインカイジムキョク"</f>
        <v>オカヤマケンキンユウコウホウイインカイジムキョク</v>
      </c>
      <c r="F1108" t="str">
        <f>"岡山"</f>
        <v>岡山</v>
      </c>
      <c r="G1108" t="str">
        <f>"不定期刊"</f>
        <v>不定期刊</v>
      </c>
      <c r="H1108" t="str">
        <f>"2002222281904"</f>
        <v>2002222281904</v>
      </c>
      <c r="I1108" t="str">
        <f>HYPERLINK("#", "https://opac.libnet.pref.okayama.jp/licsxp-opac/WOpacMsgNewListToTifTilDetailAction.do?tilcod=2002222281904")</f>
        <v>https://opac.libnet.pref.okayama.jp/licsxp-opac/WOpacMsgNewListToTifTilDetailAction.do?tilcod=2002222281904</v>
      </c>
    </row>
    <row r="1109" spans="1:9" x14ac:dyDescent="0.4">
      <c r="A1109" t="str">
        <f>"岡山県果物同業組合組合報"</f>
        <v>岡山県果物同業組合組合報</v>
      </c>
      <c r="B1109" s="1" t="str">
        <f t="shared" si="66"/>
        <v>岡山県果物同業組合組合報</v>
      </c>
      <c r="C1109" t="str">
        <f>"オカヤマケン　クダモノ　ドウギョウ　クミアイ　クミアイホウ"</f>
        <v>オカヤマケン　クダモノ　ドウギョウ　クミアイ　クミアイホウ</v>
      </c>
      <c r="D1109" t="str">
        <f>"岡山県果物同業組合"</f>
        <v>岡山県果物同業組合</v>
      </c>
      <c r="E1109" t="str">
        <f>"オカヤマケン クダモノ ドウギョウ クミアイ"</f>
        <v>オカヤマケン クダモノ ドウギョウ クミアイ</v>
      </c>
      <c r="F1109" t="str">
        <f>""</f>
        <v/>
      </c>
      <c r="G1109" t="str">
        <f>"頻度不明"</f>
        <v>頻度不明</v>
      </c>
      <c r="H1109" t="str">
        <f>"2002222286321"</f>
        <v>2002222286321</v>
      </c>
      <c r="I1109" t="str">
        <f>HYPERLINK("#", "https://opac.libnet.pref.okayama.jp/licsxp-opac/WOpacMsgNewListToTifTilDetailAction.do?tilcod=2002222286321")</f>
        <v>https://opac.libnet.pref.okayama.jp/licsxp-opac/WOpacMsgNewListToTifTilDetailAction.do?tilcod=2002222286321</v>
      </c>
    </row>
    <row r="1110" spans="1:9" x14ac:dyDescent="0.4">
      <c r="A1110" t="str">
        <f>"岡山県組合金融統計資料"</f>
        <v>岡山県組合金融統計資料</v>
      </c>
      <c r="B1110" s="1" t="str">
        <f t="shared" si="66"/>
        <v>岡山県組合金融統計資料</v>
      </c>
      <c r="C1110" t="str">
        <f>"オカヤマケン　クミアイ　キンユウ　トウケイ　シリョウ"</f>
        <v>オカヤマケン　クミアイ　キンユウ　トウケイ　シリョウ</v>
      </c>
      <c r="D1110" t="str">
        <f>"岡山県信用農業協同組合連合会"</f>
        <v>岡山県信用農業協同組合連合会</v>
      </c>
      <c r="E1110" t="str">
        <f>"オカヤマケン シンヨウ ノウギョウ キョウドウ クミアイ レンゴウカイ"</f>
        <v>オカヤマケン シンヨウ ノウギョウ キョウドウ クミアイ レンゴウカイ</v>
      </c>
      <c r="F1110" t="str">
        <f>"岡山市"</f>
        <v>岡山市</v>
      </c>
      <c r="G1110" t="str">
        <f>"年刊"</f>
        <v>年刊</v>
      </c>
      <c r="H1110" t="str">
        <f>"2002222280931"</f>
        <v>2002222280931</v>
      </c>
      <c r="I1110" t="str">
        <f>HYPERLINK("#", "https://opac.libnet.pref.okayama.jp/licsxp-opac/WOpacMsgNewListToTifTilDetailAction.do?tilcod=2002222280931")</f>
        <v>https://opac.libnet.pref.okayama.jp/licsxp-opac/WOpacMsgNewListToTifTilDetailAction.do?tilcod=2002222280931</v>
      </c>
    </row>
    <row r="1111" spans="1:9" x14ac:dyDescent="0.4">
      <c r="A1111" t="str">
        <f>"[岡山県久米郡旭町立旭中学校]学校要覧"</f>
        <v>[岡山県久米郡旭町立旭中学校]学校要覧</v>
      </c>
      <c r="B1111" s="1" t="str">
        <f t="shared" si="66"/>
        <v>[岡山県久米郡旭町立旭中学校]学校要覧</v>
      </c>
      <c r="C1111" t="str">
        <f>"オカヤマケン クメグン アサヒチョウリツ アサヒ チュウガッコウ ガッコウ ヨウラン"</f>
        <v>オカヤマケン クメグン アサヒチョウリツ アサヒ チュウガッコウ ガッコウ ヨウラン</v>
      </c>
      <c r="D1111" t="str">
        <f>"岡山県久米郡旭町立旭中学校"</f>
        <v>岡山県久米郡旭町立旭中学校</v>
      </c>
      <c r="E1111" t="str">
        <f>"オカヤマケン クメグン アサヒチョウリツ アサヒチュウガッコウ"</f>
        <v>オカヤマケン クメグン アサヒチョウリツ アサヒチュウガッコウ</v>
      </c>
      <c r="F1111" t="str">
        <f>"[出版地不明]"</f>
        <v>[出版地不明]</v>
      </c>
      <c r="G1111" t="str">
        <f>"年刊"</f>
        <v>年刊</v>
      </c>
      <c r="H1111" t="str">
        <f>"2002222338891"</f>
        <v>2002222338891</v>
      </c>
      <c r="I1111" t="str">
        <f>HYPERLINK("#", "https://opac.libnet.pref.okayama.jp/licsxp-opac/WOpacMsgNewListToTifTilDetailAction.do?tilcod=2002222338891")</f>
        <v>https://opac.libnet.pref.okayama.jp/licsxp-opac/WOpacMsgNewListToTifTilDetailAction.do?tilcod=2002222338891</v>
      </c>
    </row>
    <row r="1112" spans="1:9" x14ac:dyDescent="0.4">
      <c r="A1112" t="str">
        <f>"〔岡山県倉敷工業学校〕学友会誌"</f>
        <v>〔岡山県倉敷工業学校〕学友会誌</v>
      </c>
      <c r="B1112" s="1" t="str">
        <f t="shared" si="66"/>
        <v>〔岡山県倉敷工業学校〕学友会誌</v>
      </c>
      <c r="C1112" t="str">
        <f>"オカヤマケン　クラシキ　コウギョウ　ガッコウ　ガクユウ　カイシ"</f>
        <v>オカヤマケン　クラシキ　コウギョウ　ガッコウ　ガクユウ　カイシ</v>
      </c>
      <c r="D1112" t="str">
        <f>"岡山県倉敷工業学校"</f>
        <v>岡山県倉敷工業学校</v>
      </c>
      <c r="E1112" t="str">
        <f>"オカヤマケンクラシキコウギョウガッコウ"</f>
        <v>オカヤマケンクラシキコウギョウガッコウ</v>
      </c>
      <c r="F1112" t="str">
        <f t="shared" ref="F1112:F1118" si="68">"倉敷"</f>
        <v>倉敷</v>
      </c>
      <c r="G1112" t="str">
        <f>"頻度不明"</f>
        <v>頻度不明</v>
      </c>
      <c r="H1112" t="str">
        <f>"2002222301514"</f>
        <v>2002222301514</v>
      </c>
      <c r="I1112" t="str">
        <f>HYPERLINK("#", "https://opac.libnet.pref.okayama.jp/licsxp-opac/WOpacMsgNewListToTifTilDetailAction.do?tilcod=2002222301514")</f>
        <v>https://opac.libnet.pref.okayama.jp/licsxp-opac/WOpacMsgNewListToTifTilDetailAction.do?tilcod=2002222301514</v>
      </c>
    </row>
    <row r="1113" spans="1:9" x14ac:dyDescent="0.4">
      <c r="A1113" t="str">
        <f>"〔岡山県倉敷工業学校〕報国団誌"</f>
        <v>〔岡山県倉敷工業学校〕報国団誌</v>
      </c>
      <c r="B1113" s="1" t="str">
        <f t="shared" si="66"/>
        <v>〔岡山県倉敷工業学校〕報国団誌</v>
      </c>
      <c r="C1113" t="str">
        <f>"オカヤマケン　クラシキ　コウギョウ　ガッコウ＊ホウコクダンシ"</f>
        <v>オカヤマケン　クラシキ　コウギョウ　ガッコウ＊ホウコクダンシ</v>
      </c>
      <c r="D1113" t="str">
        <f>"岡山県倉敷工業学校"</f>
        <v>岡山県倉敷工業学校</v>
      </c>
      <c r="E1113" t="str">
        <f>"オカヤマケンクラシキコウギョウガッコウ"</f>
        <v>オカヤマケンクラシキコウギョウガッコウ</v>
      </c>
      <c r="F1113" t="str">
        <f t="shared" si="68"/>
        <v>倉敷</v>
      </c>
      <c r="G1113" t="str">
        <f>"頻度不明"</f>
        <v>頻度不明</v>
      </c>
      <c r="H1113" t="str">
        <f>"2002222301830"</f>
        <v>2002222301830</v>
      </c>
      <c r="I1113" t="str">
        <f>HYPERLINK("#", "https://opac.libnet.pref.okayama.jp/licsxp-opac/WOpacMsgNewListToTifTilDetailAction.do?tilcod=2002222301830")</f>
        <v>https://opac.libnet.pref.okayama.jp/licsxp-opac/WOpacMsgNewListToTifTilDetailAction.do?tilcod=2002222301830</v>
      </c>
    </row>
    <row r="1114" spans="1:9" x14ac:dyDescent="0.4">
      <c r="A1114" t="str">
        <f>"〔岡山県倉敷高等女学校〕同窓会誌"</f>
        <v>〔岡山県倉敷高等女学校〕同窓会誌</v>
      </c>
      <c r="B1114" s="1" t="str">
        <f t="shared" si="66"/>
        <v>〔岡山県倉敷高等女学校〕同窓会誌</v>
      </c>
      <c r="C1114" t="str">
        <f>"オカヤマケン　クラシキ　コウトウ　ジョガッコウ＊ドウソウ　カイシ"</f>
        <v>オカヤマケン　クラシキ　コウトウ　ジョガッコウ＊ドウソウ　カイシ</v>
      </c>
      <c r="D1114" t="str">
        <f>"倉敷高等女学校精思同窓会"</f>
        <v>倉敷高等女学校精思同窓会</v>
      </c>
      <c r="E1114" t="str">
        <f>"クラシキコウトウジョガッコウセイシドウソウカイ"</f>
        <v>クラシキコウトウジョガッコウセイシドウソウカイ</v>
      </c>
      <c r="F1114" t="str">
        <f t="shared" si="68"/>
        <v>倉敷</v>
      </c>
      <c r="G1114" t="str">
        <f>"年刊"</f>
        <v>年刊</v>
      </c>
      <c r="H1114" t="str">
        <f>"2002222280814"</f>
        <v>2002222280814</v>
      </c>
      <c r="I1114" t="str">
        <f>HYPERLINK("#", "https://opac.libnet.pref.okayama.jp/licsxp-opac/WOpacMsgNewListToTifTilDetailAction.do?tilcod=2002222280814")</f>
        <v>https://opac.libnet.pref.okayama.jp/licsxp-opac/WOpacMsgNewListToTifTilDetailAction.do?tilcod=2002222280814</v>
      </c>
    </row>
    <row r="1115" spans="1:9" x14ac:dyDescent="0.4">
      <c r="A1115" t="str">
        <f>"岡山県倉敷商業学校同窓会報"</f>
        <v>岡山県倉敷商業学校同窓会報</v>
      </c>
      <c r="B1115" s="1" t="str">
        <f t="shared" si="66"/>
        <v>岡山県倉敷商業学校同窓会報</v>
      </c>
      <c r="C1115" t="str">
        <f>"オカヤマケン クラシキ ショウギョウ ガッコウ ドウソウ カイホウ"</f>
        <v>オカヤマケン クラシキ ショウギョウ ガッコウ ドウソウ カイホウ</v>
      </c>
      <c r="D1115" t="str">
        <f>"岡山県倉敷商業学校同窓会事務所"</f>
        <v>岡山県倉敷商業学校同窓会事務所</v>
      </c>
      <c r="E1115" t="str">
        <f>"オカヤマケン クラシキ ショウギョウ ガッコウ ドウソウカイ ジムショ"</f>
        <v>オカヤマケン クラシキ ショウギョウ ガッコウ ドウソウカイ ジムショ</v>
      </c>
      <c r="F1115" t="str">
        <f t="shared" si="68"/>
        <v>倉敷</v>
      </c>
      <c r="G1115" t="str">
        <f>"頻度不明"</f>
        <v>頻度不明</v>
      </c>
      <c r="H1115" t="str">
        <f>"2002222301741"</f>
        <v>2002222301741</v>
      </c>
      <c r="I1115" t="str">
        <f>HYPERLINK("#", "https://opac.libnet.pref.okayama.jp/licsxp-opac/WOpacMsgNewListToTifTilDetailAction.do?tilcod=2002222301741")</f>
        <v>https://opac.libnet.pref.okayama.jp/licsxp-opac/WOpacMsgNewListToTifTilDetailAction.do?tilcod=2002222301741</v>
      </c>
    </row>
    <row r="1116" spans="1:9" x14ac:dyDescent="0.4">
      <c r="A1116" t="str">
        <f>"岡山県倉敷市立真備陵南高等学校学校案内"</f>
        <v>岡山県倉敷市立真備陵南高等学校学校案内</v>
      </c>
      <c r="B1116" s="1" t="str">
        <f t="shared" si="66"/>
        <v>岡山県倉敷市立真備陵南高等学校学校案内</v>
      </c>
      <c r="C1116" t="str">
        <f>"オカヤマケン　クラシキシリツ　マビ　リョウナン　コウトウ　ガッコウ　ガッコウ　アンナイ"</f>
        <v>オカヤマケン　クラシキシリツ　マビ　リョウナン　コウトウ　ガッコウ　ガッコウ　アンナイ</v>
      </c>
      <c r="D1116" t="str">
        <f>"岡山県倉敷市立真備陵南高等学校"</f>
        <v>岡山県倉敷市立真備陵南高等学校</v>
      </c>
      <c r="E1116" t="str">
        <f>"オカヤマケン クラシキシリツ マビ リョウナン コウトウ ガッコウ"</f>
        <v>オカヤマケン クラシキシリツ マビ リョウナン コウトウ ガッコウ</v>
      </c>
      <c r="F1116" t="str">
        <f t="shared" si="68"/>
        <v>倉敷</v>
      </c>
      <c r="G1116" t="str">
        <f>"年刊"</f>
        <v>年刊</v>
      </c>
      <c r="H1116" t="str">
        <f>"2002222301804"</f>
        <v>2002222301804</v>
      </c>
      <c r="I1116" t="str">
        <f>HYPERLINK("#", "https://opac.libnet.pref.okayama.jp/licsxp-opac/WOpacMsgNewListToTifTilDetailAction.do?tilcod=2002222301804")</f>
        <v>https://opac.libnet.pref.okayama.jp/licsxp-opac/WOpacMsgNewListToTifTilDetailAction.do?tilcod=2002222301804</v>
      </c>
    </row>
    <row r="1117" spans="1:9" x14ac:dyDescent="0.4">
      <c r="A1117" t="str">
        <f>"岡山県倉敷市立真備陵南高等学校学校要覧"</f>
        <v>岡山県倉敷市立真備陵南高等学校学校要覧</v>
      </c>
      <c r="B1117" s="1" t="str">
        <f t="shared" si="66"/>
        <v>岡山県倉敷市立真備陵南高等学校学校要覧</v>
      </c>
      <c r="C1117" t="str">
        <f>"オカヤマケン　クラシキシリツ　マビ　リョウナン　コウトウ　ガッコウ　ガッコウ　ヨウラン"</f>
        <v>オカヤマケン　クラシキシリツ　マビ　リョウナン　コウトウ　ガッコウ　ガッコウ　ヨウラン</v>
      </c>
      <c r="D1117" t="str">
        <f>"岡山県倉敷市立真備陵南高等学校"</f>
        <v>岡山県倉敷市立真備陵南高等学校</v>
      </c>
      <c r="E1117" t="str">
        <f>"オカヤマケン クラシキシリツ マビ リョウナン コウトウ ガッコウ"</f>
        <v>オカヤマケン クラシキシリツ マビ リョウナン コウトウ ガッコウ</v>
      </c>
      <c r="F1117" t="str">
        <f t="shared" si="68"/>
        <v>倉敷</v>
      </c>
      <c r="G1117" t="str">
        <f>"年刊"</f>
        <v>年刊</v>
      </c>
      <c r="H1117" t="str">
        <f>"2002222301806"</f>
        <v>2002222301806</v>
      </c>
      <c r="I1117" t="str">
        <f>HYPERLINK("#", "https://opac.libnet.pref.okayama.jp/licsxp-opac/WOpacMsgNewListToTifTilDetailAction.do?tilcod=2002222301806")</f>
        <v>https://opac.libnet.pref.okayama.jp/licsxp-opac/WOpacMsgNewListToTifTilDetailAction.do?tilcod=2002222301806</v>
      </c>
    </row>
    <row r="1118" spans="1:9" x14ac:dyDescent="0.4">
      <c r="A1118" t="str">
        <f>"〔岡山県倉敷市立真備陵南高等学校〕若竹"</f>
        <v>〔岡山県倉敷市立真備陵南高等学校〕若竹</v>
      </c>
      <c r="B1118" s="1" t="str">
        <f t="shared" si="66"/>
        <v>〔岡山県倉敷市立真備陵南高等学校〕若竹</v>
      </c>
      <c r="C1118" t="str">
        <f>"オカヤマケン　クラシキシリツ　マビ　リョウナン　コウトウ　ガッコウ＊ワカタケ"</f>
        <v>オカヤマケン　クラシキシリツ　マビ　リョウナン　コウトウ　ガッコウ＊ワカタケ</v>
      </c>
      <c r="D1118" t="str">
        <f>"岡山県倉敷市立真備陵南高等学校"</f>
        <v>岡山県倉敷市立真備陵南高等学校</v>
      </c>
      <c r="E1118" t="str">
        <f>"オカヤマケン クラシキシリツ マビ リョウナン コウトウ ガッコウ"</f>
        <v>オカヤマケン クラシキシリツ マビ リョウナン コウトウ ガッコウ</v>
      </c>
      <c r="F1118" t="str">
        <f t="shared" si="68"/>
        <v>倉敷</v>
      </c>
      <c r="G1118" t="str">
        <f>"年刊"</f>
        <v>年刊</v>
      </c>
      <c r="H1118" t="str">
        <f>"2002222301113"</f>
        <v>2002222301113</v>
      </c>
      <c r="I1118" t="str">
        <f>HYPERLINK("#", "https://opac.libnet.pref.okayama.jp/licsxp-opac/WOpacMsgNewListToTifTilDetailAction.do?tilcod=2002222301113")</f>
        <v>https://opac.libnet.pref.okayama.jp/licsxp-opac/WOpacMsgNewListToTifTilDetailAction.do?tilcod=2002222301113</v>
      </c>
    </row>
    <row r="1119" spans="1:9" x14ac:dyDescent="0.4">
      <c r="A1119" t="str">
        <f>"岡山県経済団体連絡協議会会報"</f>
        <v>岡山県経済団体連絡協議会会報</v>
      </c>
      <c r="B1119" s="1" t="str">
        <f t="shared" si="66"/>
        <v>岡山県経済団体連絡協議会会報</v>
      </c>
      <c r="C1119" t="str">
        <f>"オカヤマケン　ケイザイ　ダンタイ　レンラク　キョウギカイ　カイホウ"</f>
        <v>オカヤマケン　ケイザイ　ダンタイ　レンラク　キョウギカイ　カイホウ</v>
      </c>
      <c r="D1119" t="str">
        <f>"岡山県経済団体連絡協議会"</f>
        <v>岡山県経済団体連絡協議会</v>
      </c>
      <c r="E1119" t="str">
        <f>"オカヤマケンケイザイダンタイレンラクキョウギカイ"</f>
        <v>オカヤマケンケイザイダンタイレンラクキョウギカイ</v>
      </c>
      <c r="F1119" t="str">
        <f>"岡山"</f>
        <v>岡山</v>
      </c>
      <c r="G1119" t="str">
        <f>"年刊"</f>
        <v>年刊</v>
      </c>
      <c r="H1119" t="str">
        <f>"2002222294701"</f>
        <v>2002222294701</v>
      </c>
      <c r="I1119" t="str">
        <f>HYPERLINK("#", "https://opac.libnet.pref.okayama.jp/licsxp-opac/WOpacMsgNewListToTifTilDetailAction.do?tilcod=2002222294701")</f>
        <v>https://opac.libnet.pref.okayama.jp/licsxp-opac/WOpacMsgNewListToTifTilDetailAction.do?tilcod=2002222294701</v>
      </c>
    </row>
    <row r="1120" spans="1:9" x14ac:dyDescent="0.4">
      <c r="A1120" t="str">
        <f>"岡山県経済の動き"</f>
        <v>岡山県経済の動き</v>
      </c>
      <c r="B1120" s="1" t="str">
        <f t="shared" si="66"/>
        <v>岡山県経済の動き</v>
      </c>
      <c r="C1120" t="str">
        <f>"オカヤマケン　ケイザイ　ノ　ウゴキ"</f>
        <v>オカヤマケン　ケイザイ　ノ　ウゴキ</v>
      </c>
      <c r="D1120" t="str">
        <f>"岡山経済調査協議会"</f>
        <v>岡山経済調査協議会</v>
      </c>
      <c r="E1120" t="str">
        <f>"オカヤマケイザイチョウサキョウギカイ"</f>
        <v>オカヤマケイザイチョウサキョウギカイ</v>
      </c>
      <c r="F1120" t="str">
        <f>""</f>
        <v/>
      </c>
      <c r="G1120" t="str">
        <f>"月刊"</f>
        <v>月刊</v>
      </c>
      <c r="H1120" t="str">
        <f>"2002222286331"</f>
        <v>2002222286331</v>
      </c>
      <c r="I1120" t="str">
        <f>HYPERLINK("#", "https://opac.libnet.pref.okayama.jp/licsxp-opac/WOpacMsgNewListToTifTilDetailAction.do?tilcod=2002222286331")</f>
        <v>https://opac.libnet.pref.okayama.jp/licsxp-opac/WOpacMsgNewListToTifTilDetailAction.do?tilcod=2002222286331</v>
      </c>
    </row>
    <row r="1121" spans="1:9" x14ac:dyDescent="0.4">
      <c r="A1121" t="str">
        <f>"岡山県警察時報"</f>
        <v>岡山県警察時報</v>
      </c>
      <c r="B1121" s="1" t="str">
        <f t="shared" si="66"/>
        <v>岡山県警察時報</v>
      </c>
      <c r="C1121" t="str">
        <f>"オカヤマケン　ケイサツ　ジホウ"</f>
        <v>オカヤマケン　ケイサツ　ジホウ</v>
      </c>
      <c r="D1121" t="str">
        <f>"警察協会岡山支部"</f>
        <v>警察協会岡山支部</v>
      </c>
      <c r="E1121" t="str">
        <f>"ケイサツキョウカイオカヤマシブ"</f>
        <v>ケイサツキョウカイオカヤマシブ</v>
      </c>
      <c r="F1121" t="str">
        <f>"岡山"</f>
        <v>岡山</v>
      </c>
      <c r="G1121" t="str">
        <f>"頻度不明"</f>
        <v>頻度不明</v>
      </c>
      <c r="H1121" t="str">
        <f>"2002222286341"</f>
        <v>2002222286341</v>
      </c>
      <c r="I1121" t="str">
        <f>HYPERLINK("#", "https://opac.libnet.pref.okayama.jp/licsxp-opac/WOpacMsgNewListToTifTilDetailAction.do?tilcod=2002222286341")</f>
        <v>https://opac.libnet.pref.okayama.jp/licsxp-opac/WOpacMsgNewListToTifTilDetailAction.do?tilcod=2002222286341</v>
      </c>
    </row>
    <row r="1122" spans="1:9" x14ac:dyDescent="0.4">
      <c r="A1122" t="str">
        <f>"岡山県警友"</f>
        <v>岡山県警友</v>
      </c>
      <c r="B1122" s="1" t="str">
        <f t="shared" si="66"/>
        <v>岡山県警友</v>
      </c>
      <c r="C1122" t="str">
        <f>"オカヤマケン　ケイユウ"</f>
        <v>オカヤマケン　ケイユウ</v>
      </c>
      <c r="D1122" t="str">
        <f>"岡山県警友会"</f>
        <v>岡山県警友会</v>
      </c>
      <c r="E1122" t="str">
        <f>"オカヤマケン ケイユウカイ"</f>
        <v>オカヤマケン ケイユウカイ</v>
      </c>
      <c r="F1122" t="str">
        <f>""</f>
        <v/>
      </c>
      <c r="G1122" t="str">
        <f>"隔月刊"</f>
        <v>隔月刊</v>
      </c>
      <c r="H1122" t="str">
        <f>"2002222286351"</f>
        <v>2002222286351</v>
      </c>
      <c r="I1122" t="str">
        <f>HYPERLINK("#", "https://opac.libnet.pref.okayama.jp/licsxp-opac/WOpacMsgNewListToTifTilDetailAction.do?tilcod=2002222286351")</f>
        <v>https://opac.libnet.pref.okayama.jp/licsxp-opac/WOpacMsgNewListToTifTilDetailAction.do?tilcod=2002222286351</v>
      </c>
    </row>
    <row r="1123" spans="1:9" x14ac:dyDescent="0.4">
      <c r="A1123" t="str">
        <f>"岡山県健康の森学園支援学校学校要覧"</f>
        <v>岡山県健康の森学園支援学校学校要覧</v>
      </c>
      <c r="B1123" s="1" t="str">
        <f t="shared" si="66"/>
        <v>岡山県健康の森学園支援学校学校要覧</v>
      </c>
      <c r="C1123" t="str">
        <f>"オカヤマケン ケンコウ ノ モリ ガクエン シエン ガッコウ ガッコウ ヨウラン"</f>
        <v>オカヤマケン ケンコウ ノ モリ ガクエン シエン ガッコウ ガッコウ ヨウラン</v>
      </c>
      <c r="D1123" t="str">
        <f>"岡山県健康の森学園支援学校"</f>
        <v>岡山県健康の森学園支援学校</v>
      </c>
      <c r="E1123" t="str">
        <f>"オカヤマケン ケンコウ ノ モリ ガクエン シエン ガッコウ"</f>
        <v>オカヤマケン ケンコウ ノ モリ ガクエン シエン ガッコウ</v>
      </c>
      <c r="F1123" t="str">
        <f>"新見"</f>
        <v>新見</v>
      </c>
      <c r="G1123" t="str">
        <f>"年刊"</f>
        <v>年刊</v>
      </c>
      <c r="H1123" t="str">
        <f>"2002222311946"</f>
        <v>2002222311946</v>
      </c>
      <c r="I1123" t="str">
        <f>HYPERLINK("#", "https://opac.libnet.pref.okayama.jp/licsxp-opac/WOpacMsgNewListToTifTilDetailAction.do?tilcod=2002222311946")</f>
        <v>https://opac.libnet.pref.okayama.jp/licsxp-opac/WOpacMsgNewListToTifTilDetailAction.do?tilcod=2002222311946</v>
      </c>
    </row>
    <row r="1124" spans="1:9" x14ac:dyDescent="0.4">
      <c r="A1124" t="str">
        <f>"岡山県健康の森学園支援学校学校案内"</f>
        <v>岡山県健康の森学園支援学校学校案内</v>
      </c>
      <c r="B1124" s="1" t="str">
        <f t="shared" si="66"/>
        <v>岡山県健康の森学園支援学校学校案内</v>
      </c>
      <c r="C1124" t="str">
        <f>"オカヤマケン　ケンコウ　ノ　モリ　ガクエン　シエンガッコウ　ガッコウ　アンナイ"</f>
        <v>オカヤマケン　ケンコウ　ノ　モリ　ガクエン　シエンガッコウ　ガッコウ　アンナイ</v>
      </c>
      <c r="D1124" t="str">
        <f>"岡山県健康の森学園支援学校"</f>
        <v>岡山県健康の森学園支援学校</v>
      </c>
      <c r="E1124" t="str">
        <f>"オカヤマケン ケンコウ ノ モリ ガクエン シエン ガッコウ"</f>
        <v>オカヤマケン ケンコウ ノ モリ ガクエン シエン ガッコウ</v>
      </c>
      <c r="F1124" t="str">
        <f>"新見"</f>
        <v>新見</v>
      </c>
      <c r="G1124" t="str">
        <f>"年刊"</f>
        <v>年刊</v>
      </c>
      <c r="H1124" t="str">
        <f>"2002222315786"</f>
        <v>2002222315786</v>
      </c>
      <c r="I1124" t="str">
        <f>HYPERLINK("#", "https://opac.libnet.pref.okayama.jp/licsxp-opac/WOpacMsgNewListToTifTilDetailAction.do?tilcod=2002222315786")</f>
        <v>https://opac.libnet.pref.okayama.jp/licsxp-opac/WOpacMsgNewListToTifTilDetailAction.do?tilcod=2002222315786</v>
      </c>
    </row>
    <row r="1125" spans="1:9" x14ac:dyDescent="0.4">
      <c r="A1125" t="str">
        <f>"岡山県健康の森学園養護学校学校案内"</f>
        <v>岡山県健康の森学園養護学校学校案内</v>
      </c>
      <c r="B1125" s="1" t="str">
        <f t="shared" si="66"/>
        <v>岡山県健康の森学園養護学校学校案内</v>
      </c>
      <c r="C1125" t="str">
        <f>"オカヤマケン　ケンコウ　ノ　モリ　ガクエン　ヨウゴガッコウ　ガッコウ　アンナイ"</f>
        <v>オカヤマケン　ケンコウ　ノ　モリ　ガクエン　ヨウゴガッコウ　ガッコウ　アンナイ</v>
      </c>
      <c r="D1125" t="str">
        <f>"岡山県健康の森学園養護学校"</f>
        <v>岡山県健康の森学園養護学校</v>
      </c>
      <c r="E1125" t="str">
        <f>"オカヤマケンケンコウノモリガクエンヨウゴガッコウ"</f>
        <v>オカヤマケンケンコウノモリガクエンヨウゴガッコウ</v>
      </c>
      <c r="F1125" t="str">
        <f>"新見"</f>
        <v>新見</v>
      </c>
      <c r="G1125" t="str">
        <f>"年刊"</f>
        <v>年刊</v>
      </c>
      <c r="H1125" t="str">
        <f>"2002222301294"</f>
        <v>2002222301294</v>
      </c>
      <c r="I1125" t="str">
        <f>HYPERLINK("#", "https://opac.libnet.pref.okayama.jp/licsxp-opac/WOpacMsgNewListToTifTilDetailAction.do?tilcod=2002222301294")</f>
        <v>https://opac.libnet.pref.okayama.jp/licsxp-opac/WOpacMsgNewListToTifTilDetailAction.do?tilcod=2002222301294</v>
      </c>
    </row>
    <row r="1126" spans="1:9" x14ac:dyDescent="0.4">
      <c r="A1126" t="str">
        <f>"岡山県健康の森学園養護学校学校要覧"</f>
        <v>岡山県健康の森学園養護学校学校要覧</v>
      </c>
      <c r="B1126" s="1" t="str">
        <f t="shared" si="66"/>
        <v>岡山県健康の森学園養護学校学校要覧</v>
      </c>
      <c r="C1126" t="str">
        <f>"オカヤマケン　ケンコウ　ノ　モリ　ガクエン　ヨウゴガッコウ　ガッコウ　ヨウラン"</f>
        <v>オカヤマケン　ケンコウ　ノ　モリ　ガクエン　ヨウゴガッコウ　ガッコウ　ヨウラン</v>
      </c>
      <c r="D1126" t="str">
        <f>"岡山県健康の森学園養護学校"</f>
        <v>岡山県健康の森学園養護学校</v>
      </c>
      <c r="E1126" t="str">
        <f>"オカヤマケンケンコウノモリガクエンヨウゴガッコウ"</f>
        <v>オカヤマケンケンコウノモリガクエンヨウゴガッコウ</v>
      </c>
      <c r="F1126" t="str">
        <f>"新見"</f>
        <v>新見</v>
      </c>
      <c r="G1126" t="str">
        <f>"年刊"</f>
        <v>年刊</v>
      </c>
      <c r="H1126" t="str">
        <f>"2002222300719"</f>
        <v>2002222300719</v>
      </c>
      <c r="I1126" t="str">
        <f>HYPERLINK("#", "https://opac.libnet.pref.okayama.jp/licsxp-opac/WOpacMsgNewListToTifTilDetailAction.do?tilcod=2002222300719")</f>
        <v>https://opac.libnet.pref.okayama.jp/licsxp-opac/WOpacMsgNewListToTifTilDetailAction.do?tilcod=2002222300719</v>
      </c>
    </row>
    <row r="1127" spans="1:9" x14ac:dyDescent="0.4">
      <c r="A1127" t="str">
        <f>"岡山県健康保険時報"</f>
        <v>岡山県健康保険時報</v>
      </c>
      <c r="B1127" s="1" t="str">
        <f t="shared" si="66"/>
        <v>岡山県健康保険時報</v>
      </c>
      <c r="C1127" t="str">
        <f>"オカヤマケン　ケンコウ　ホケン　ジホウ"</f>
        <v>オカヤマケン　ケンコウ　ホケン　ジホウ</v>
      </c>
      <c r="D1127" t="str">
        <f>"岡山県警察部健康保険課"</f>
        <v>岡山県警察部健康保険課</v>
      </c>
      <c r="E1127" t="str">
        <f>"オカヤマケンケイサツブケンコウホケンカ"</f>
        <v>オカヤマケンケイサツブケンコウホケンカ</v>
      </c>
      <c r="F1127" t="str">
        <f>"岡山"</f>
        <v>岡山</v>
      </c>
      <c r="G1127" t="str">
        <f>"月刊"</f>
        <v>月刊</v>
      </c>
      <c r="H1127" t="str">
        <f>"2002222301744"</f>
        <v>2002222301744</v>
      </c>
      <c r="I1127" t="str">
        <f>HYPERLINK("#", "https://opac.libnet.pref.okayama.jp/licsxp-opac/WOpacMsgNewListToTifTilDetailAction.do?tilcod=2002222301744")</f>
        <v>https://opac.libnet.pref.okayama.jp/licsxp-opac/WOpacMsgNewListToTifTilDetailAction.do?tilcod=2002222301744</v>
      </c>
    </row>
    <row r="1128" spans="1:9" x14ac:dyDescent="0.4">
      <c r="A1128" t="str">
        <f>"岡山県建設業協会会報"</f>
        <v>岡山県建設業協会会報</v>
      </c>
      <c r="B1128" s="1" t="str">
        <f t="shared" si="66"/>
        <v>岡山県建設業協会会報</v>
      </c>
      <c r="C1128" t="str">
        <f>"オカヤマケン　ケンセツギョウ　キョウカイ　カイホウ"</f>
        <v>オカヤマケン　ケンセツギョウ　キョウカイ　カイホウ</v>
      </c>
      <c r="D1128" t="str">
        <f>"岡山県建設業協会"</f>
        <v>岡山県建設業協会</v>
      </c>
      <c r="E1128" t="str">
        <f>"オカヤマケンケンセツギョウキョウカイ"</f>
        <v>オカヤマケンケンセツギョウキョウカイ</v>
      </c>
      <c r="F1128" t="str">
        <f>"岡山"</f>
        <v>岡山</v>
      </c>
      <c r="G1128" t="str">
        <f>"月刊"</f>
        <v>月刊</v>
      </c>
      <c r="H1128" t="str">
        <f>"2002222291991"</f>
        <v>2002222291991</v>
      </c>
      <c r="I1128" t="str">
        <f>HYPERLINK("#", "https://opac.libnet.pref.okayama.jp/licsxp-opac/WOpacMsgNewListToTifTilDetailAction.do?tilcod=2002222291991")</f>
        <v>https://opac.libnet.pref.okayama.jp/licsxp-opac/WOpacMsgNewListToTifTilDetailAction.do?tilcod=2002222291991</v>
      </c>
    </row>
    <row r="1129" spans="1:9" x14ac:dyDescent="0.4">
      <c r="A1129" t="str">
        <f>"〔岡山県工業学校学友会〕啓成"</f>
        <v>〔岡山県工業学校学友会〕啓成</v>
      </c>
      <c r="B1129" s="1" t="str">
        <f t="shared" si="66"/>
        <v>〔岡山県工業学校学友会〕啓成</v>
      </c>
      <c r="C1129" t="str">
        <f>"オカヤマケン　コウギョウ　ガッコウ　ガクユウカイ＊ケイセイ"</f>
        <v>オカヤマケン　コウギョウ　ガッコウ　ガクユウカイ＊ケイセイ</v>
      </c>
      <c r="D1129" t="str">
        <f>"岡山県工業学校学友会"</f>
        <v>岡山県工業学校学友会</v>
      </c>
      <c r="E1129" t="str">
        <f>"オカヤマケンコウギョウガッコウガクユウカイ"</f>
        <v>オカヤマケンコウギョウガッコウガクユウカイ</v>
      </c>
      <c r="F1129" t="str">
        <f>"岡山"</f>
        <v>岡山</v>
      </c>
      <c r="G1129" t="str">
        <f>"年刊"</f>
        <v>年刊</v>
      </c>
      <c r="H1129" t="str">
        <f>"2002222300773"</f>
        <v>2002222300773</v>
      </c>
      <c r="I1129" t="str">
        <f>HYPERLINK("#", "https://opac.libnet.pref.okayama.jp/licsxp-opac/WOpacMsgNewListToTifTilDetailAction.do?tilcod=2002222300773")</f>
        <v>https://opac.libnet.pref.okayama.jp/licsxp-opac/WOpacMsgNewListToTifTilDetailAction.do?tilcod=2002222300773</v>
      </c>
    </row>
    <row r="1130" spans="1:9" x14ac:dyDescent="0.4">
      <c r="A1130" t="str">
        <f>"岡山県工業技術センター報告"</f>
        <v>岡山県工業技術センター報告</v>
      </c>
      <c r="B1130" s="1" t="str">
        <f t="shared" si="66"/>
        <v>岡山県工業技術センター報告</v>
      </c>
      <c r="C1130" t="str">
        <f>"オカヤマケン　コウギョウ　ギジュツ　センター　ホウコク"</f>
        <v>オカヤマケン　コウギョウ　ギジュツ　センター　ホウコク</v>
      </c>
      <c r="D1130" t="str">
        <f>"岡山県工業技術センター"</f>
        <v>岡山県工業技術センター</v>
      </c>
      <c r="E1130" t="str">
        <f>"オカヤマケン コウギョウ ギジュツ センター"</f>
        <v>オカヤマケン コウギョウ ギジュツ センター</v>
      </c>
      <c r="F1130" t="str">
        <f>"岡山"</f>
        <v>岡山</v>
      </c>
      <c r="G1130" t="str">
        <f>"年刊"</f>
        <v>年刊</v>
      </c>
      <c r="H1130" t="str">
        <f>"2002222294081"</f>
        <v>2002222294081</v>
      </c>
      <c r="I1130" t="str">
        <f>HYPERLINK("#", "https://opac.libnet.pref.okayama.jp/licsxp-opac/WOpacMsgNewListToTifTilDetailAction.do?tilcod=2002222294081")</f>
        <v>https://opac.libnet.pref.okayama.jp/licsxp-opac/WOpacMsgNewListToTifTilDetailAction.do?tilcod=2002222294081</v>
      </c>
    </row>
    <row r="1131" spans="1:9" x14ac:dyDescent="0.4">
      <c r="A1131" t="str">
        <f>"岡山県工業試験場報告"</f>
        <v>岡山県工業試験場報告</v>
      </c>
      <c r="B1131" s="1" t="str">
        <f t="shared" si="66"/>
        <v>岡山県工業試験場報告</v>
      </c>
      <c r="C1131" t="str">
        <f>"オカヤマケン　コウギョウ　シケンジョウ　ホウコク"</f>
        <v>オカヤマケン　コウギョウ　シケンジョウ　ホウコク</v>
      </c>
      <c r="D1131" t="str">
        <f>"岡山県工業試験場"</f>
        <v>岡山県工業試験場</v>
      </c>
      <c r="E1131" t="str">
        <f>"オカヤマケン コウギョウ シケンジョウ"</f>
        <v>オカヤマケン コウギョウ シケンジョウ</v>
      </c>
      <c r="F1131" t="str">
        <f>""</f>
        <v/>
      </c>
      <c r="G1131" t="str">
        <f>"頻度不明"</f>
        <v>頻度不明</v>
      </c>
      <c r="H1131" t="str">
        <f>"2002222286361"</f>
        <v>2002222286361</v>
      </c>
      <c r="I1131" t="str">
        <f>HYPERLINK("#", "https://opac.libnet.pref.okayama.jp/licsxp-opac/WOpacMsgNewListToTifTilDetailAction.do?tilcod=2002222286361")</f>
        <v>https://opac.libnet.pref.okayama.jp/licsxp-opac/WOpacMsgNewListToTifTilDetailAction.do?tilcod=2002222286361</v>
      </c>
    </row>
    <row r="1132" spans="1:9" x14ac:dyDescent="0.4">
      <c r="A1132" t="str">
        <f>"岡山県工業都市建設新聞"</f>
        <v>岡山県工業都市建設新聞</v>
      </c>
      <c r="B1132" s="1" t="str">
        <f t="shared" si="66"/>
        <v>岡山県工業都市建設新聞</v>
      </c>
      <c r="C1132" t="str">
        <f>"オカヤマケン　コウギョウ　トシ　ケンセツ　シンブン"</f>
        <v>オカヤマケン　コウギョウ　トシ　ケンセツ　シンブン</v>
      </c>
      <c r="D1132" t="str">
        <f>"戸川白華"</f>
        <v>戸川白華</v>
      </c>
      <c r="E1132" t="str">
        <f>"トガワビャッカ"</f>
        <v>トガワビャッカ</v>
      </c>
      <c r="F1132" t="str">
        <f>"〔倉敷〕"</f>
        <v>〔倉敷〕</v>
      </c>
      <c r="G1132" t="str">
        <f>"旬刊"</f>
        <v>旬刊</v>
      </c>
      <c r="H1132" t="str">
        <f>"2002222300805"</f>
        <v>2002222300805</v>
      </c>
      <c r="I1132" t="str">
        <f>HYPERLINK("#", "https://opac.libnet.pref.okayama.jp/licsxp-opac/WOpacMsgNewListToTifTilDetailAction.do?tilcod=2002222300805")</f>
        <v>https://opac.libnet.pref.okayama.jp/licsxp-opac/WOpacMsgNewListToTifTilDetailAction.do?tilcod=2002222300805</v>
      </c>
    </row>
    <row r="1133" spans="1:9" x14ac:dyDescent="0.4">
      <c r="A1133" t="str">
        <f>"岡山県鉱工業生産・出荷・在庫指数（速報）"</f>
        <v>岡山県鉱工業生産・出荷・在庫指数（速報）</v>
      </c>
      <c r="B1133" s="1" t="str">
        <f t="shared" si="66"/>
        <v>岡山県鉱工業生産・出荷・在庫指数（速報）</v>
      </c>
      <c r="C1133" t="str">
        <f>"オカヤマケン　コウコウギョウ　セイサン　シュッカ　ザイコ　シスウ　ソクホウ"</f>
        <v>オカヤマケン　コウコウギョウ　セイサン　シュッカ　ザイコ　シスウ　ソクホウ</v>
      </c>
      <c r="D1133" t="str">
        <f>"岡山県総合政策局統計分析課"</f>
        <v>岡山県総合政策局統計分析課</v>
      </c>
      <c r="E1133" t="str">
        <f>"オカヤマケン ソウゴウ セイサクキョク トウケイ ブンセキカ"</f>
        <v>オカヤマケン ソウゴウ セイサクキョク トウケイ ブンセキカ</v>
      </c>
      <c r="F1133" t="str">
        <f>"岡山"</f>
        <v>岡山</v>
      </c>
      <c r="G1133" t="str">
        <f>"月刊"</f>
        <v>月刊</v>
      </c>
      <c r="H1133" t="str">
        <f>"2002222291071"</f>
        <v>2002222291071</v>
      </c>
      <c r="I1133" t="str">
        <f>HYPERLINK("#", "https://opac.libnet.pref.okayama.jp/licsxp-opac/WOpacMsgNewListToTifTilDetailAction.do?tilcod=2002222291071")</f>
        <v>https://opac.libnet.pref.okayama.jp/licsxp-opac/WOpacMsgNewListToTifTilDetailAction.do?tilcod=2002222291071</v>
      </c>
    </row>
    <row r="1134" spans="1:9" x14ac:dyDescent="0.4">
      <c r="A1134" t="str">
        <f>"岡山県鉱工業生産・出荷・在庫指数（年報速報）；鉱工業生産動向"</f>
        <v>岡山県鉱工業生産・出荷・在庫指数（年報速報）；鉱工業生産動向</v>
      </c>
      <c r="B1134" s="1" t="str">
        <f t="shared" si="66"/>
        <v>岡山県鉱工業生産・出荷・在庫指数（年報速報）；鉱工業生産動向</v>
      </c>
      <c r="C1134" t="str">
        <f>"オカヤマケン　コウコウギョウ　セイサン　シュッカ　ザイコ　シスウ　ネンポウ　ソクホウ＊コウコウギョウ　セイサン　ドウコウ"</f>
        <v>オカヤマケン　コウコウギョウ　セイサン　シュッカ　ザイコ　シスウ　ネンポウ　ソクホウ＊コウコウギョウ　セイサン　ドウコウ</v>
      </c>
      <c r="D1134" t="str">
        <f>"岡山県総合政策局統計分析課"</f>
        <v>岡山県総合政策局統計分析課</v>
      </c>
      <c r="E1134" t="str">
        <f>"オカヤマケン ソウゴウ セイサクキョク トウケイ ブンセキカ"</f>
        <v>オカヤマケン ソウゴウ セイサクキョク トウケイ ブンセキカ</v>
      </c>
      <c r="F1134" t="str">
        <f>"岡山"</f>
        <v>岡山</v>
      </c>
      <c r="G1134" t="str">
        <f>"年刊"</f>
        <v>年刊</v>
      </c>
      <c r="H1134" t="str">
        <f>"2002222282081"</f>
        <v>2002222282081</v>
      </c>
      <c r="I1134" t="str">
        <f>HYPERLINK("#", "https://opac.libnet.pref.okayama.jp/licsxp-opac/WOpacMsgNewListToTifTilDetailAction.do?tilcod=2002222282081")</f>
        <v>https://opac.libnet.pref.okayama.jp/licsxp-opac/WOpacMsgNewListToTifTilDetailAction.do?tilcod=2002222282081</v>
      </c>
    </row>
    <row r="1135" spans="1:9" x14ac:dyDescent="0.4">
      <c r="A1135" t="str">
        <f>"岡山県公衆衛生学会雑誌"</f>
        <v>岡山県公衆衛生学会雑誌</v>
      </c>
      <c r="B1135" s="1" t="str">
        <f t="shared" si="66"/>
        <v>岡山県公衆衛生学会雑誌</v>
      </c>
      <c r="C1135" t="str">
        <f>"オカヤマケン　コウシュウ　エイセイ　ガッカイ　ザッシ"</f>
        <v>オカヤマケン　コウシュウ　エイセイ　ガッカイ　ザッシ</v>
      </c>
      <c r="D1135" t="str">
        <f>"岡山県公衆衛生学会"</f>
        <v>岡山県公衆衛生学会</v>
      </c>
      <c r="E1135" t="str">
        <f>"オカヤマケンコウシュウエイセイガッカイ"</f>
        <v>オカヤマケンコウシュウエイセイガッカイ</v>
      </c>
      <c r="F1135" t="str">
        <f>"岡山"</f>
        <v>岡山</v>
      </c>
      <c r="G1135" t="str">
        <f>"年２回刊"</f>
        <v>年２回刊</v>
      </c>
      <c r="H1135" t="str">
        <f>"2002222286381"</f>
        <v>2002222286381</v>
      </c>
      <c r="I1135" t="str">
        <f>HYPERLINK("#", "https://opac.libnet.pref.okayama.jp/licsxp-opac/WOpacMsgNewListToTifTilDetailAction.do?tilcod=2002222286381")</f>
        <v>https://opac.libnet.pref.okayama.jp/licsxp-opac/WOpacMsgNewListToTifTilDetailAction.do?tilcod=2002222286381</v>
      </c>
    </row>
    <row r="1136" spans="1:9" x14ac:dyDescent="0.4">
      <c r="A1136" t="str">
        <f>"岡山県更女たより"</f>
        <v>岡山県更女たより</v>
      </c>
      <c r="B1136" s="1" t="str">
        <f t="shared" si="66"/>
        <v>岡山県更女たより</v>
      </c>
      <c r="C1136" t="str">
        <f>"オカヤマケン コウジョ タヨリ"</f>
        <v>オカヤマケン コウジョ タヨリ</v>
      </c>
      <c r="D1136" t="str">
        <f>"岡山県更生保護女性連盟"</f>
        <v>岡山県更生保護女性連盟</v>
      </c>
      <c r="E1136" t="str">
        <f>"オカヤマケン コウセイ ホゴ ジョセイ レンメイ"</f>
        <v>オカヤマケン コウセイ ホゴ ジョセイ レンメイ</v>
      </c>
      <c r="F1136" t="str">
        <f>"岡山"</f>
        <v>岡山</v>
      </c>
      <c r="G1136" t="str">
        <f>"年刊"</f>
        <v>年刊</v>
      </c>
      <c r="H1136" t="str">
        <f>"2002222334507"</f>
        <v>2002222334507</v>
      </c>
      <c r="I1136" t="str">
        <f>HYPERLINK("#", "https://opac.libnet.pref.okayama.jp/licsxp-opac/WOpacMsgNewListToTifTilDetailAction.do?tilcod=2002222334507")</f>
        <v>https://opac.libnet.pref.okayama.jp/licsxp-opac/WOpacMsgNewListToTifTilDetailAction.do?tilcod=2002222334507</v>
      </c>
    </row>
    <row r="1137" spans="1:9" x14ac:dyDescent="0.4">
      <c r="A1137" t="str">
        <f>"〔岡山県高等学校教育研究会事務部会〕会報"</f>
        <v>〔岡山県高等学校教育研究会事務部会〕会報</v>
      </c>
      <c r="B1137" s="1" t="str">
        <f t="shared" si="66"/>
        <v>〔岡山県高等学校教育研究会事務部会〕会報</v>
      </c>
      <c r="C1137" t="str">
        <f>"オカヤマケン　コウトウ　ガッコウ　キョウイク　ケンキュウカイ　ジム　ブカイ　カイホウ"</f>
        <v>オカヤマケン　コウトウ　ガッコウ　キョウイク　ケンキュウカイ　ジム　ブカイ　カイホウ</v>
      </c>
      <c r="D1137" t="str">
        <f>"岡山県高等学校教育研究会事務部会"</f>
        <v>岡山県高等学校教育研究会事務部会</v>
      </c>
      <c r="E1137" t="str">
        <f>"オカヤマケンコウトウガッコウキョウイクケンキュウカイジムブカイ"</f>
        <v>オカヤマケンコウトウガッコウキョウイクケンキュウカイジムブカイ</v>
      </c>
      <c r="F1137" t="str">
        <f>""</f>
        <v/>
      </c>
      <c r="G1137" t="str">
        <f>"頻度不明"</f>
        <v>頻度不明</v>
      </c>
      <c r="H1137" t="str">
        <f>"2002222286391"</f>
        <v>2002222286391</v>
      </c>
      <c r="I1137" t="str">
        <f>HYPERLINK("#", "https://opac.libnet.pref.okayama.jp/licsxp-opac/WOpacMsgNewListToTifTilDetailAction.do?tilcod=2002222286391")</f>
        <v>https://opac.libnet.pref.okayama.jp/licsxp-opac/WOpacMsgNewListToTifTilDetailAction.do?tilcod=2002222286391</v>
      </c>
    </row>
    <row r="1138" spans="1:9" x14ac:dyDescent="0.4">
      <c r="A1138" t="str">
        <f>"[岡山県高等学校JRC協議会]　躍動"</f>
        <v>[岡山県高等学校JRC協議会]　躍動</v>
      </c>
      <c r="B1138" s="1" t="str">
        <f t="shared" si="66"/>
        <v>[岡山県高等学校JRC協議会]　躍動</v>
      </c>
      <c r="C1138" t="str">
        <f>"オカヤマケン コウトウ ガッコウ ジェイアールシー キョウギカイ　ヤクドウ"</f>
        <v>オカヤマケン コウトウ ガッコウ ジェイアールシー キョウギカイ　ヤクドウ</v>
      </c>
      <c r="D1138" t="str">
        <f>"[岡山県高等学校JRC協議会]"</f>
        <v>[岡山県高等学校JRC協議会]</v>
      </c>
      <c r="E1138" t="str">
        <f>"オカヤマケン コウトウ ガッコウ ジェイアールシー キョウギカイ"</f>
        <v>オカヤマケン コウトウ ガッコウ ジェイアールシー キョウギカイ</v>
      </c>
      <c r="F1138" t="str">
        <f>""</f>
        <v/>
      </c>
      <c r="G1138" t="str">
        <f>"頻度不明"</f>
        <v>頻度不明</v>
      </c>
      <c r="H1138" t="str">
        <f>"2002222328531"</f>
        <v>2002222328531</v>
      </c>
      <c r="I1138" t="str">
        <f>HYPERLINK("#", "https://opac.libnet.pref.okayama.jp/licsxp-opac/WOpacMsgNewListToTifTilDetailAction.do?tilcod=2002222328531")</f>
        <v>https://opac.libnet.pref.okayama.jp/licsxp-opac/WOpacMsgNewListToTifTilDetailAction.do?tilcod=2002222328531</v>
      </c>
    </row>
    <row r="1139" spans="1:9" x14ac:dyDescent="0.4">
      <c r="A1139" t="str">
        <f>"〔岡山県高等学校体育連盟登山部〕会報"</f>
        <v>〔岡山県高等学校体育連盟登山部〕会報</v>
      </c>
      <c r="B1139" s="1" t="str">
        <f t="shared" si="66"/>
        <v>〔岡山県高等学校体育連盟登山部〕会報</v>
      </c>
      <c r="C1139" t="str">
        <f>"オカヤマケン　コウトウ　ガッコウ　タイイク　レンメイ　トザンブ＊カイホウ"</f>
        <v>オカヤマケン　コウトウ　ガッコウ　タイイク　レンメイ　トザンブ＊カイホウ</v>
      </c>
      <c r="D1139" t="str">
        <f>"岡山県高等学校体育連盟登山部"</f>
        <v>岡山県高等学校体育連盟登山部</v>
      </c>
      <c r="E1139" t="str">
        <f>"オカヤマケンコウトウガッコウタイイクレンメイトザンブ"</f>
        <v>オカヤマケンコウトウガッコウタイイクレンメイトザンブ</v>
      </c>
      <c r="F1139" t="str">
        <f>""</f>
        <v/>
      </c>
      <c r="G1139" t="str">
        <f>"頻度不明"</f>
        <v>頻度不明</v>
      </c>
      <c r="H1139" t="str">
        <f>"2002222286401"</f>
        <v>2002222286401</v>
      </c>
      <c r="I1139" t="str">
        <f>HYPERLINK("#", "https://opac.libnet.pref.okayama.jp/licsxp-opac/WOpacMsgNewListToTifTilDetailAction.do?tilcod=2002222286401")</f>
        <v>https://opac.libnet.pref.okayama.jp/licsxp-opac/WOpacMsgNewListToTifTilDetailAction.do?tilcod=2002222286401</v>
      </c>
    </row>
    <row r="1140" spans="1:9" x14ac:dyDescent="0.4">
      <c r="A1140" t="str">
        <f>"〔岡山県高等学校体育連盟登山部〕部報"</f>
        <v>〔岡山県高等学校体育連盟登山部〕部報</v>
      </c>
      <c r="B1140" s="1" t="str">
        <f t="shared" si="66"/>
        <v>〔岡山県高等学校体育連盟登山部〕部報</v>
      </c>
      <c r="C1140" t="str">
        <f>"オカヤマケン　コウトウ　ガッコウ　タイイク　レンメイ　トザンブ＊ブホウ"</f>
        <v>オカヤマケン　コウトウ　ガッコウ　タイイク　レンメイ　トザンブ＊ブホウ</v>
      </c>
      <c r="D1140" t="str">
        <f>"岡山県高等学校体育連盟登山部"</f>
        <v>岡山県高等学校体育連盟登山部</v>
      </c>
      <c r="E1140" t="str">
        <f>"オカヤマケンコウトウガッコウタイイクレンメイトザンブ"</f>
        <v>オカヤマケンコウトウガッコウタイイクレンメイトザンブ</v>
      </c>
      <c r="F1140" t="str">
        <f>""</f>
        <v/>
      </c>
      <c r="G1140" t="str">
        <f>"年刊"</f>
        <v>年刊</v>
      </c>
      <c r="H1140" t="str">
        <f>"2002222281264"</f>
        <v>2002222281264</v>
      </c>
      <c r="I1140" t="str">
        <f>HYPERLINK("#", "https://opac.libnet.pref.okayama.jp/licsxp-opac/WOpacMsgNewListToTifTilDetailAction.do?tilcod=2002222281264")</f>
        <v>https://opac.libnet.pref.okayama.jp/licsxp-opac/WOpacMsgNewListToTifTilDetailAction.do?tilcod=2002222281264</v>
      </c>
    </row>
    <row r="1141" spans="1:9" x14ac:dyDescent="0.4">
      <c r="A1141" t="str">
        <f>"〔岡山県高等学校教育研究会理科部会〕会誌"</f>
        <v>〔岡山県高等学校教育研究会理科部会〕会誌</v>
      </c>
      <c r="B1141" s="1" t="str">
        <f t="shared" si="66"/>
        <v>〔岡山県高等学校教育研究会理科部会〕会誌</v>
      </c>
      <c r="C1141" t="str">
        <f>"オカヤマケン　コウトウガッコウ　キョウイク　ケンキュウカイ　リカ　ブカイ　カイシ"</f>
        <v>オカヤマケン　コウトウガッコウ　キョウイク　ケンキュウカイ　リカ　ブカイ　カイシ</v>
      </c>
      <c r="D1141" t="str">
        <f>"岡山県高等学校教育研究会理科部会"</f>
        <v>岡山県高等学校教育研究会理科部会</v>
      </c>
      <c r="E1141" t="str">
        <f>"オカヤマケンコウトウガッコウキョウイクケンキュウカイリカブカイ"</f>
        <v>オカヤマケンコウトウガッコウキョウイクケンキュウカイリカブカイ</v>
      </c>
      <c r="F1141" t="str">
        <f>""</f>
        <v/>
      </c>
      <c r="G1141" t="str">
        <f>"年刊"</f>
        <v>年刊</v>
      </c>
      <c r="H1141" t="str">
        <f>"2002222301094"</f>
        <v>2002222301094</v>
      </c>
      <c r="I1141" t="str">
        <f>HYPERLINK("#", "https://opac.libnet.pref.okayama.jp/licsxp-opac/WOpacMsgNewListToTifTilDetailAction.do?tilcod=2002222301094")</f>
        <v>https://opac.libnet.pref.okayama.jp/licsxp-opac/WOpacMsgNewListToTifTilDetailAction.do?tilcod=2002222301094</v>
      </c>
    </row>
    <row r="1142" spans="1:9" x14ac:dyDescent="0.4">
      <c r="A1142" t="str">
        <f>"〔岡山県高等学校理科協議会〕会報"</f>
        <v>〔岡山県高等学校理科協議会〕会報</v>
      </c>
      <c r="B1142" s="1" t="str">
        <f t="shared" si="66"/>
        <v>〔岡山県高等学校理科協議会〕会報</v>
      </c>
      <c r="C1142" t="str">
        <f>"オカヤマケン　コウトウガッコウ　リカ　キョウギカイ　カイホウ"</f>
        <v>オカヤマケン　コウトウガッコウ　リカ　キョウギカイ　カイホウ</v>
      </c>
      <c r="D1142" t="str">
        <f>"岡山県高等学校理科協議会"</f>
        <v>岡山県高等学校理科協議会</v>
      </c>
      <c r="E1142" t="str">
        <f>"オカヤマケンコウトウガッコウリカキョウギカイ"</f>
        <v>オカヤマケンコウトウガッコウリカキョウギカイ</v>
      </c>
      <c r="F1142" t="str">
        <f>""</f>
        <v/>
      </c>
      <c r="G1142" t="str">
        <f>"頻度不明"</f>
        <v>頻度不明</v>
      </c>
      <c r="H1142" t="str">
        <f>"2002222286431"</f>
        <v>2002222286431</v>
      </c>
      <c r="I1142" t="str">
        <f>HYPERLINK("#", "https://opac.libnet.pref.okayama.jp/licsxp-opac/WOpacMsgNewListToTifTilDetailAction.do?tilcod=2002222286431")</f>
        <v>https://opac.libnet.pref.okayama.jp/licsxp-opac/WOpacMsgNewListToTifTilDetailAction.do?tilcod=2002222286431</v>
      </c>
    </row>
    <row r="1143" spans="1:9" x14ac:dyDescent="0.4">
      <c r="A1143" t="str">
        <f>"岡山県公報（本紙・号外）"</f>
        <v>岡山県公報（本紙・号外）</v>
      </c>
      <c r="B1143" s="1" t="str">
        <f t="shared" si="66"/>
        <v>岡山県公報（本紙・号外）</v>
      </c>
      <c r="C1143" t="str">
        <f>"オカヤマケン　コウホウ＊ホンシ　ゴウガイ"</f>
        <v>オカヤマケン　コウホウ＊ホンシ　ゴウガイ</v>
      </c>
      <c r="D1143" t="str">
        <f>"岡山県"</f>
        <v>岡山県</v>
      </c>
      <c r="E1143" t="str">
        <f>"オカヤマケン"</f>
        <v>オカヤマケン</v>
      </c>
      <c r="F1143" t="str">
        <f>"岡山"</f>
        <v>岡山</v>
      </c>
      <c r="G1143" t="str">
        <f>"頻度不明"</f>
        <v>頻度不明</v>
      </c>
      <c r="H1143" t="str">
        <f>"2002222277893"</f>
        <v>2002222277893</v>
      </c>
      <c r="I1143" t="str">
        <f>HYPERLINK("#", "https://opac.libnet.pref.okayama.jp/licsxp-opac/WOpacMsgNewListToTifTilDetailAction.do?tilcod=2002222277893")</f>
        <v>https://opac.libnet.pref.okayama.jp/licsxp-opac/WOpacMsgNewListToTifTilDetailAction.do?tilcod=2002222277893</v>
      </c>
    </row>
    <row r="1144" spans="1:9" x14ac:dyDescent="0.4">
      <c r="A1144" t="str">
        <f>"〔岡山県公立学校事務職員協会〕会報"</f>
        <v>〔岡山県公立学校事務職員協会〕会報</v>
      </c>
      <c r="B1144" s="1" t="str">
        <f t="shared" si="66"/>
        <v>〔岡山県公立学校事務職員協会〕会報</v>
      </c>
      <c r="C1144" t="str">
        <f>"オカヤマケン　コウリツ　ガッコウ　ジム　ショクイン　キョウカイ　カイホウ"</f>
        <v>オカヤマケン　コウリツ　ガッコウ　ジム　ショクイン　キョウカイ　カイホウ</v>
      </c>
      <c r="D1144" t="str">
        <f>"岡山県公立学校事務職員協会"</f>
        <v>岡山県公立学校事務職員協会</v>
      </c>
      <c r="E1144" t="str">
        <f>"オカヤマケンコウリツガッコウジムショクインキョウカイ"</f>
        <v>オカヤマケンコウリツガッコウジムショクインキョウカイ</v>
      </c>
      <c r="F1144" t="str">
        <f>""</f>
        <v/>
      </c>
      <c r="G1144" t="str">
        <f>"頻度不明"</f>
        <v>頻度不明</v>
      </c>
      <c r="H1144" t="str">
        <f>"2002222289793"</f>
        <v>2002222289793</v>
      </c>
      <c r="I1144" t="str">
        <f>HYPERLINK("#", "https://opac.libnet.pref.okayama.jp/licsxp-opac/WOpacMsgNewListToTifTilDetailAction.do?tilcod=2002222289793")</f>
        <v>https://opac.libnet.pref.okayama.jp/licsxp-opac/WOpacMsgNewListToTifTilDetailAction.do?tilcod=2002222289793</v>
      </c>
    </row>
    <row r="1145" spans="1:9" x14ac:dyDescent="0.4">
      <c r="A1145" t="str">
        <f>"〔岡山県公立高等学校事務職員協会〕協会だより"</f>
        <v>〔岡山県公立高等学校事務職員協会〕協会だより</v>
      </c>
      <c r="B1145" s="1" t="str">
        <f t="shared" si="66"/>
        <v>〔岡山県公立高等学校事務職員協会〕協会だより</v>
      </c>
      <c r="C1145" t="str">
        <f>"オカヤマケン　コウリツ　コウトウ　ガッコウ　ジム　ショクイン　キョウカイ　キョウカイ　ダヨリ"</f>
        <v>オカヤマケン　コウリツ　コウトウ　ガッコウ　ジム　ショクイン　キョウカイ　キョウカイ　ダヨリ</v>
      </c>
      <c r="D1145" t="str">
        <f>"岡山県公立学校事務職員協会"</f>
        <v>岡山県公立学校事務職員協会</v>
      </c>
      <c r="E1145" t="str">
        <f>"オカヤマケンコウリツガッコウジムショクインキョウカイ"</f>
        <v>オカヤマケンコウリツガッコウジムショクインキョウカイ</v>
      </c>
      <c r="F1145" t="str">
        <f>""</f>
        <v/>
      </c>
      <c r="G1145" t="str">
        <f>"頻度不明"</f>
        <v>頻度不明</v>
      </c>
      <c r="H1145" t="str">
        <f>"2002222286441"</f>
        <v>2002222286441</v>
      </c>
      <c r="I1145" t="str">
        <f>HYPERLINK("#", "https://opac.libnet.pref.okayama.jp/licsxp-opac/WOpacMsgNewListToTifTilDetailAction.do?tilcod=2002222286441")</f>
        <v>https://opac.libnet.pref.okayama.jp/licsxp-opac/WOpacMsgNewListToTifTilDetailAction.do?tilcod=2002222286441</v>
      </c>
    </row>
    <row r="1146" spans="1:9" x14ac:dyDescent="0.4">
      <c r="A1146" t="str">
        <f>"岡山県公立真備陵南高等学校学校案内"</f>
        <v>岡山県公立真備陵南高等学校学校案内</v>
      </c>
      <c r="B1146" s="1" t="str">
        <f t="shared" si="66"/>
        <v>岡山県公立真備陵南高等学校学校案内</v>
      </c>
      <c r="C1146" t="str">
        <f>"オカヤマケン　コウリツ　マビ　リョウナン　コウトウ　ガッコウ　ガッコウ　アンナイ"</f>
        <v>オカヤマケン　コウリツ　マビ　リョウナン　コウトウ　ガッコウ　ガッコウ　アンナイ</v>
      </c>
      <c r="D1146" t="str">
        <f>"岡山県公立真備陵南高等学校"</f>
        <v>岡山県公立真備陵南高等学校</v>
      </c>
      <c r="E1146" t="str">
        <f>"オカヤマケンコウリツマビリョウナンコウトウガッコウ"</f>
        <v>オカヤマケンコウリツマビリョウナンコウトウガッコウ</v>
      </c>
      <c r="F1146" t="str">
        <f>"倉敷"</f>
        <v>倉敷</v>
      </c>
      <c r="G1146" t="str">
        <f>"年刊"</f>
        <v>年刊</v>
      </c>
      <c r="H1146" t="str">
        <f>"2002222301260"</f>
        <v>2002222301260</v>
      </c>
      <c r="I1146" t="str">
        <f>HYPERLINK("#", "https://opac.libnet.pref.okayama.jp/licsxp-opac/WOpacMsgNewListToTifTilDetailAction.do?tilcod=2002222301260")</f>
        <v>https://opac.libnet.pref.okayama.jp/licsxp-opac/WOpacMsgNewListToTifTilDetailAction.do?tilcod=2002222301260</v>
      </c>
    </row>
    <row r="1147" spans="1:9" x14ac:dyDescent="0.4">
      <c r="A1147" t="str">
        <f>"岡山県公立真備陵南高等学校学校要覧；岡山県箭田高等学校学校要覧"</f>
        <v>岡山県公立真備陵南高等学校学校要覧；岡山県箭田高等学校学校要覧</v>
      </c>
      <c r="B1147" s="1" t="str">
        <f t="shared" si="66"/>
        <v>岡山県公立真備陵南高等学校学校要覧；岡山県箭田高等学校学校要覧</v>
      </c>
      <c r="C1147" t="str">
        <f>"オカヤマケン　コウリツ　マビ　リョウナン　コウトウ　ガッコウ　ガッコウ　ヨウラン＊オカヤマケン　センダ　コウトウ　ガッコウ　ガッコウ　ヨウラン"</f>
        <v>オカヤマケン　コウリツ　マビ　リョウナン　コウトウ　ガッコウ　ガッコウ　ヨウラン＊オカヤマケン　センダ　コウトウ　ガッコウ　ガッコウ　ヨウラン</v>
      </c>
      <c r="D1147" t="str">
        <f>"岡山県公立真備陵南高等学校"</f>
        <v>岡山県公立真備陵南高等学校</v>
      </c>
      <c r="E1147" t="str">
        <f>"オカヤマケンコウリツマビリョウナンコウトウガッコウ"</f>
        <v>オカヤマケンコウリツマビリョウナンコウトウガッコウ</v>
      </c>
      <c r="F1147" t="str">
        <f>"真備町（吉備郡）"</f>
        <v>真備町（吉備郡）</v>
      </c>
      <c r="G1147" t="str">
        <f>"年刊"</f>
        <v>年刊</v>
      </c>
      <c r="H1147" t="str">
        <f>"2002222300563"</f>
        <v>2002222300563</v>
      </c>
      <c r="I1147" t="str">
        <f>HYPERLINK("#", "https://opac.libnet.pref.okayama.jp/licsxp-opac/WOpacMsgNewListToTifTilDetailAction.do?tilcod=2002222300563")</f>
        <v>https://opac.libnet.pref.okayama.jp/licsxp-opac/WOpacMsgNewListToTifTilDetailAction.do?tilcod=2002222300563</v>
      </c>
    </row>
    <row r="1148" spans="1:9" x14ac:dyDescent="0.4">
      <c r="A1148" t="str">
        <f>"岡山県護国神社々報"</f>
        <v>岡山県護国神社々報</v>
      </c>
      <c r="B1148" s="1" t="str">
        <f t="shared" si="66"/>
        <v>岡山県護国神社々報</v>
      </c>
      <c r="C1148" t="str">
        <f>"オカヤマケン　ゴコク　ジンジャ　シャホウ"</f>
        <v>オカヤマケン　ゴコク　ジンジャ　シャホウ</v>
      </c>
      <c r="D1148" t="str">
        <f>"岡山県護国神社社務所"</f>
        <v>岡山県護国神社社務所</v>
      </c>
      <c r="E1148" t="str">
        <f>"オカヤマケンゴコクジンジャシャムショ"</f>
        <v>オカヤマケンゴコクジンジャシャムショ</v>
      </c>
      <c r="F1148" t="str">
        <f>"岡山"</f>
        <v>岡山</v>
      </c>
      <c r="G1148" t="str">
        <f>"年２回刊"</f>
        <v>年２回刊</v>
      </c>
      <c r="H1148" t="str">
        <f>"2002222292001"</f>
        <v>2002222292001</v>
      </c>
      <c r="I1148" t="str">
        <f>HYPERLINK("#", "https://opac.libnet.pref.okayama.jp/licsxp-opac/WOpacMsgNewListToTifTilDetailAction.do?tilcod=2002222292001")</f>
        <v>https://opac.libnet.pref.okayama.jp/licsxp-opac/WOpacMsgNewListToTifTilDetailAction.do?tilcod=2002222292001</v>
      </c>
    </row>
    <row r="1149" spans="1:9" x14ac:dyDescent="0.4">
      <c r="A1149" t="str">
        <f>"〔岡山県児島商船学校校友会〕校友会雑誌"</f>
        <v>〔岡山県児島商船学校校友会〕校友会雑誌</v>
      </c>
      <c r="B1149" s="1" t="str">
        <f t="shared" si="66"/>
        <v>〔岡山県児島商船学校校友会〕校友会雑誌</v>
      </c>
      <c r="C1149" t="str">
        <f>"オカヤマケン　コジマ　ショウセン　ガッコウ　コウユウカイ　コウユウ　カイザッシ"</f>
        <v>オカヤマケン　コジマ　ショウセン　ガッコウ　コウユウカイ　コウユウ　カイザッシ</v>
      </c>
      <c r="D1149" t="str">
        <f>"岡山県児島商船学校校友会"</f>
        <v>岡山県児島商船学校校友会</v>
      </c>
      <c r="E1149" t="str">
        <f>"オカヤマケンコジマショウセンガッコウコウユウカイ"</f>
        <v>オカヤマケンコジマショウセンガッコウコウユウカイ</v>
      </c>
      <c r="F1149" t="str">
        <f>"味野町〔児島郡〕"</f>
        <v>味野町〔児島郡〕</v>
      </c>
      <c r="G1149" t="str">
        <f>"頻度不明"</f>
        <v>頻度不明</v>
      </c>
      <c r="H1149" t="str">
        <f>"2002222300933"</f>
        <v>2002222300933</v>
      </c>
      <c r="I1149" t="str">
        <f>HYPERLINK("#", "https://opac.libnet.pref.okayama.jp/licsxp-opac/WOpacMsgNewListToTifTilDetailAction.do?tilcod=2002222300933")</f>
        <v>https://opac.libnet.pref.okayama.jp/licsxp-opac/WOpacMsgNewListToTifTilDetailAction.do?tilcod=2002222300933</v>
      </c>
    </row>
    <row r="1150" spans="1:9" x14ac:dyDescent="0.4">
      <c r="A1150" t="str">
        <f>"岡山県子ども文庫連絡会だより"</f>
        <v>岡山県子ども文庫連絡会だより</v>
      </c>
      <c r="B1150" s="1" t="str">
        <f t="shared" si="66"/>
        <v>岡山県子ども文庫連絡会だより</v>
      </c>
      <c r="C1150" t="str">
        <f>"オカヤマケン　コドモ　ブンコ　レンラクカイ　ダヨリ"</f>
        <v>オカヤマケン　コドモ　ブンコ　レンラクカイ　ダヨリ</v>
      </c>
      <c r="D1150" t="str">
        <f>"岡山県子ども文庫連絡会"</f>
        <v>岡山県子ども文庫連絡会</v>
      </c>
      <c r="E1150" t="str">
        <f>"オカヤマケン コドモ ブンコ レンラクカイ"</f>
        <v>オカヤマケン コドモ ブンコ レンラクカイ</v>
      </c>
      <c r="F1150" t="str">
        <f>""</f>
        <v/>
      </c>
      <c r="G1150" t="str">
        <f>"不定期刊"</f>
        <v>不定期刊</v>
      </c>
      <c r="H1150" t="str">
        <f>"2002222292011"</f>
        <v>2002222292011</v>
      </c>
      <c r="I1150" t="str">
        <f>HYPERLINK("#", "https://opac.libnet.pref.okayama.jp/licsxp-opac/WOpacMsgNewListToTifTilDetailAction.do?tilcod=2002222292011")</f>
        <v>https://opac.libnet.pref.okayama.jp/licsxp-opac/WOpacMsgNewListToTifTilDetailAction.do?tilcod=2002222292011</v>
      </c>
    </row>
    <row r="1151" spans="1:9" x14ac:dyDescent="0.4">
      <c r="A1151" t="str">
        <f>"岡山県雇用の窓"</f>
        <v>岡山県雇用の窓</v>
      </c>
      <c r="B1151" s="1" t="str">
        <f t="shared" si="66"/>
        <v>岡山県雇用の窓</v>
      </c>
      <c r="C1151" t="str">
        <f>"オカヤマケン　コヨウ　ノ　マド"</f>
        <v>オカヤマケン　コヨウ　ノ　マド</v>
      </c>
      <c r="D1151" t="str">
        <f>"岡山公共職業安定所"</f>
        <v>岡山公共職業安定所</v>
      </c>
      <c r="E1151" t="str">
        <f>"オカヤマ コウキョウ ショクギョウ アンテイショ"</f>
        <v>オカヤマ コウキョウ ショクギョウ アンテイショ</v>
      </c>
      <c r="F1151" t="str">
        <f>""</f>
        <v/>
      </c>
      <c r="G1151" t="str">
        <f>"頻度不明"</f>
        <v>頻度不明</v>
      </c>
      <c r="H1151" t="str">
        <f>"2002222286461"</f>
        <v>2002222286461</v>
      </c>
      <c r="I1151" t="str">
        <f>HYPERLINK("#", "https://opac.libnet.pref.okayama.jp/licsxp-opac/WOpacMsgNewListToTifTilDetailAction.do?tilcod=2002222286461")</f>
        <v>https://opac.libnet.pref.okayama.jp/licsxp-opac/WOpacMsgNewListToTifTilDetailAction.do?tilcod=2002222286461</v>
      </c>
    </row>
    <row r="1152" spans="1:9" x14ac:dyDescent="0.4">
      <c r="A1152" t="str">
        <f>"岡山県作陽高等学校学校案内"</f>
        <v>岡山県作陽高等学校学校案内</v>
      </c>
      <c r="B1152" s="1" t="str">
        <f t="shared" si="66"/>
        <v>岡山県作陽高等学校学校案内</v>
      </c>
      <c r="C1152" t="str">
        <f>"オカヤマケン　サクヨウ　コウトウ　ガッコウ　ガッコウ　アンナイ"</f>
        <v>オカヤマケン　サクヨウ　コウトウ　ガッコウ　ガッコウ　アンナイ</v>
      </c>
      <c r="D1152" t="str">
        <f>"岡山県作陽高等学校"</f>
        <v>岡山県作陽高等学校</v>
      </c>
      <c r="E1152" t="str">
        <f>"オカヤマケンサクヨウコウトウガッコウ"</f>
        <v>オカヤマケンサクヨウコウトウガッコウ</v>
      </c>
      <c r="F1152" t="str">
        <f>"津山"</f>
        <v>津山</v>
      </c>
      <c r="G1152" t="str">
        <f>"年刊"</f>
        <v>年刊</v>
      </c>
      <c r="H1152" t="str">
        <f>"2002222301237"</f>
        <v>2002222301237</v>
      </c>
      <c r="I1152" t="str">
        <f>HYPERLINK("#", "https://opac.libnet.pref.okayama.jp/licsxp-opac/WOpacMsgNewListToTifTilDetailAction.do?tilcod=2002222301237")</f>
        <v>https://opac.libnet.pref.okayama.jp/licsxp-opac/WOpacMsgNewListToTifTilDetailAction.do?tilcod=2002222301237</v>
      </c>
    </row>
    <row r="1153" spans="1:9" x14ac:dyDescent="0.4">
      <c r="A1153" t="str">
        <f>"岡山県作陽高等学校学校要覧"</f>
        <v>岡山県作陽高等学校学校要覧</v>
      </c>
      <c r="B1153" s="1" t="str">
        <f t="shared" si="66"/>
        <v>岡山県作陽高等学校学校要覧</v>
      </c>
      <c r="C1153" t="str">
        <f>"オカヤマケン　サクヨウ　コウトウ　ガッコウ　ガッコウ　ヨウラン"</f>
        <v>オカヤマケン　サクヨウ　コウトウ　ガッコウ　ガッコウ　ヨウラン</v>
      </c>
      <c r="D1153" t="str">
        <f>"岡山県作陽高等学校"</f>
        <v>岡山県作陽高等学校</v>
      </c>
      <c r="E1153" t="str">
        <f>"オカヤマケンサクヨウコウトウガッコウ"</f>
        <v>オカヤマケンサクヨウコウトウガッコウ</v>
      </c>
      <c r="F1153" t="str">
        <f>"津山"</f>
        <v>津山</v>
      </c>
      <c r="G1153" t="str">
        <f>"年刊"</f>
        <v>年刊</v>
      </c>
      <c r="H1153" t="str">
        <f>"2002222300588"</f>
        <v>2002222300588</v>
      </c>
      <c r="I1153" t="str">
        <f>HYPERLINK("#", "https://opac.libnet.pref.okayama.jp/licsxp-opac/WOpacMsgNewListToTifTilDetailAction.do?tilcod=2002222300588")</f>
        <v>https://opac.libnet.pref.okayama.jp/licsxp-opac/WOpacMsgNewListToTifTilDetailAction.do?tilcod=2002222300588</v>
      </c>
    </row>
    <row r="1154" spans="1:9" x14ac:dyDescent="0.4">
      <c r="A1154" t="str">
        <f>"[岡山県作陽高等学校JRC機関誌]　Young"</f>
        <v>[岡山県作陽高等学校JRC機関誌]　Young</v>
      </c>
      <c r="B1154" s="1" t="str">
        <f t="shared" si="66"/>
        <v>[岡山県作陽高等学校JRC機関誌]　Young</v>
      </c>
      <c r="C1154" t="str">
        <f>"オカヤマケン サクヨウ コウトウ ガッコウ ジェイ アール シー キカンシ ヤング"</f>
        <v>オカヤマケン サクヨウ コウトウ ガッコウ ジェイ アール シー キカンシ ヤング</v>
      </c>
      <c r="D1154" t="str">
        <f>"岡山県作陽高等学校JRC（青少年赤十字団）"</f>
        <v>岡山県作陽高等学校JRC（青少年赤十字団）</v>
      </c>
      <c r="E1154" t="str">
        <f>"オカヤマケン サクヨウ コウトウ ガッコウ ジェイ アール シー セイショウネン セキジュウジダン"</f>
        <v>オカヤマケン サクヨウ コウトウ ガッコウ ジェイ アール シー セイショウネン セキジュウジダン</v>
      </c>
      <c r="F1154" t="str">
        <f>"津山"</f>
        <v>津山</v>
      </c>
      <c r="G1154" t="str">
        <f>"頻度不明"</f>
        <v>頻度不明</v>
      </c>
      <c r="H1154" t="str">
        <f>"2002222328521"</f>
        <v>2002222328521</v>
      </c>
      <c r="I1154" t="str">
        <f>HYPERLINK("#", "https://opac.libnet.pref.okayama.jp/licsxp-opac/WOpacMsgNewListToTifTilDetailAction.do?tilcod=2002222328521")</f>
        <v>https://opac.libnet.pref.okayama.jp/licsxp-opac/WOpacMsgNewListToTifTilDetailAction.do?tilcod=2002222328521</v>
      </c>
    </row>
    <row r="1155" spans="1:9" x14ac:dyDescent="0.4">
      <c r="A1155" t="str">
        <f>"岡山県産業教育振興会会報"</f>
        <v>岡山県産業教育振興会会報</v>
      </c>
      <c r="B1155" s="1" t="str">
        <f t="shared" si="66"/>
        <v>岡山県産業教育振興会会報</v>
      </c>
      <c r="C1155" t="str">
        <f>"オカヤマケン　サンギョウ　キョウイク　シンコウカイ　カイホウ"</f>
        <v>オカヤマケン　サンギョウ　キョウイク　シンコウカイ　カイホウ</v>
      </c>
      <c r="D1155" t="str">
        <f>"岡山県産業教育振興会"</f>
        <v>岡山県産業教育振興会</v>
      </c>
      <c r="E1155" t="str">
        <f>"オカヤマケン サンギョウ キョウイク シンコウカイ"</f>
        <v>オカヤマケン サンギョウ キョウイク シンコウカイ</v>
      </c>
      <c r="F1155" t="str">
        <f>"岡山"</f>
        <v>岡山</v>
      </c>
      <c r="G1155" t="str">
        <f>"年２回刊"</f>
        <v>年２回刊</v>
      </c>
      <c r="H1155" t="str">
        <f>"2002222282711"</f>
        <v>2002222282711</v>
      </c>
      <c r="I1155" t="str">
        <f>HYPERLINK("#", "https://opac.libnet.pref.okayama.jp/licsxp-opac/WOpacMsgNewListToTifTilDetailAction.do?tilcod=2002222282711")</f>
        <v>https://opac.libnet.pref.okayama.jp/licsxp-opac/WOpacMsgNewListToTifTilDetailAction.do?tilcod=2002222282711</v>
      </c>
    </row>
    <row r="1156" spans="1:9" x14ac:dyDescent="0.4">
      <c r="A1156" t="str">
        <f>"岡山県産婦人科医会報"</f>
        <v>岡山県産婦人科医会報</v>
      </c>
      <c r="B1156" s="1" t="str">
        <f t="shared" ref="B1156:B1219" si="69">HYPERLINK("#", A1156)</f>
        <v>岡山県産婦人科医会報</v>
      </c>
      <c r="C1156" t="str">
        <f>"オカヤマケン　サンフジンカイ　カイホウ"</f>
        <v>オカヤマケン　サンフジンカイ　カイホウ</v>
      </c>
      <c r="D1156" t="str">
        <f>"日本母性保護医協会岡山県支部"</f>
        <v>日本母性保護医協会岡山県支部</v>
      </c>
      <c r="E1156" t="str">
        <f>"ニホンボセイホゴイキョウカイオカヤマケンシブ"</f>
        <v>ニホンボセイホゴイキョウカイオカヤマケンシブ</v>
      </c>
      <c r="F1156" t="str">
        <f>""</f>
        <v/>
      </c>
      <c r="G1156" t="str">
        <f>"頻度不明"</f>
        <v>頻度不明</v>
      </c>
      <c r="H1156" t="str">
        <f>"2002222286481"</f>
        <v>2002222286481</v>
      </c>
      <c r="I1156" t="str">
        <f>HYPERLINK("#", "https://opac.libnet.pref.okayama.jp/licsxp-opac/WOpacMsgNewListToTifTilDetailAction.do?tilcod=2002222286481")</f>
        <v>https://opac.libnet.pref.okayama.jp/licsxp-opac/WOpacMsgNewListToTifTilDetailAction.do?tilcod=2002222286481</v>
      </c>
    </row>
    <row r="1157" spans="1:9" x14ac:dyDescent="0.4">
      <c r="A1157" t="str">
        <f>"岡山県山林会報"</f>
        <v>岡山県山林会報</v>
      </c>
      <c r="B1157" s="1" t="str">
        <f t="shared" si="69"/>
        <v>岡山県山林会報</v>
      </c>
      <c r="C1157" t="str">
        <f>"オカヤマケン　サンリン　カイホウ"</f>
        <v>オカヤマケン　サンリン　カイホウ</v>
      </c>
      <c r="D1157" t="str">
        <f>"岡山県山林会"</f>
        <v>岡山県山林会</v>
      </c>
      <c r="E1157" t="str">
        <f>"オカヤマケン サンリンカイ"</f>
        <v>オカヤマケン サンリンカイ</v>
      </c>
      <c r="F1157" t="str">
        <f>""</f>
        <v/>
      </c>
      <c r="G1157" t="str">
        <f>"頻度不明"</f>
        <v>頻度不明</v>
      </c>
      <c r="H1157" t="str">
        <f>"2002222286491"</f>
        <v>2002222286491</v>
      </c>
      <c r="I1157" t="str">
        <f>HYPERLINK("#", "https://opac.libnet.pref.okayama.jp/licsxp-opac/WOpacMsgNewListToTifTilDetailAction.do?tilcod=2002222286491")</f>
        <v>https://opac.libnet.pref.okayama.jp/licsxp-opac/WOpacMsgNewListToTifTilDetailAction.do?tilcod=2002222286491</v>
      </c>
    </row>
    <row r="1158" spans="1:9" x14ac:dyDescent="0.4">
      <c r="A1158" t="str">
        <f>"岡山県山林時報"</f>
        <v>岡山県山林時報</v>
      </c>
      <c r="B1158" s="1" t="str">
        <f t="shared" si="69"/>
        <v>岡山県山林時報</v>
      </c>
      <c r="C1158" t="str">
        <f>"オカヤマケン サンリン ジホウ"</f>
        <v>オカヤマケン サンリン ジホウ</v>
      </c>
      <c r="D1158" t="str">
        <f>"岡山県山林会"</f>
        <v>岡山県山林会</v>
      </c>
      <c r="E1158" t="str">
        <f>"オカヤマケン サンリンカイ"</f>
        <v>オカヤマケン サンリンカイ</v>
      </c>
      <c r="F1158" t="str">
        <f>""</f>
        <v/>
      </c>
      <c r="G1158" t="str">
        <f>"頻度不明"</f>
        <v>頻度不明</v>
      </c>
      <c r="H1158" t="str">
        <f>"2002222325866"</f>
        <v>2002222325866</v>
      </c>
      <c r="I1158" t="str">
        <f>HYPERLINK("#", "https://opac.libnet.pref.okayama.jp/licsxp-opac/WOpacMsgNewListToTifTilDetailAction.do?tilcod=2002222325866")</f>
        <v>https://opac.libnet.pref.okayama.jp/licsxp-opac/WOpacMsgNewListToTifTilDetailAction.do?tilcod=2002222325866</v>
      </c>
    </row>
    <row r="1159" spans="1:9" x14ac:dyDescent="0.4">
      <c r="A1159" t="str">
        <f>"おかやま県歯連盟だより"</f>
        <v>おかやま県歯連盟だより</v>
      </c>
      <c r="B1159" s="1" t="str">
        <f t="shared" si="69"/>
        <v>おかやま県歯連盟だより</v>
      </c>
      <c r="C1159" t="str">
        <f>"オカヤマケン　シ　レンメイ　ダヨリ"</f>
        <v>オカヤマケン　シ　レンメイ　ダヨリ</v>
      </c>
      <c r="D1159" t="str">
        <f>"岡山県歯科医師連盟"</f>
        <v>岡山県歯科医師連盟</v>
      </c>
      <c r="E1159" t="str">
        <f>"オカヤマケンシカイシレンメイ"</f>
        <v>オカヤマケンシカイシレンメイ</v>
      </c>
      <c r="F1159" t="str">
        <f>"岡山"</f>
        <v>岡山</v>
      </c>
      <c r="G1159" t="str">
        <f>"季刊"</f>
        <v>季刊</v>
      </c>
      <c r="H1159" t="str">
        <f>"2002222285351"</f>
        <v>2002222285351</v>
      </c>
      <c r="I1159" t="str">
        <f>HYPERLINK("#", "https://opac.libnet.pref.okayama.jp/licsxp-opac/WOpacMsgNewListToTifTilDetailAction.do?tilcod=2002222285351")</f>
        <v>https://opac.libnet.pref.okayama.jp/licsxp-opac/WOpacMsgNewListToTifTilDetailAction.do?tilcod=2002222285351</v>
      </c>
    </row>
    <row r="1160" spans="1:9" x14ac:dyDescent="0.4">
      <c r="A1160" t="str">
        <f>"岡山県歯科医師会報"</f>
        <v>岡山県歯科医師会報</v>
      </c>
      <c r="B1160" s="1" t="str">
        <f t="shared" si="69"/>
        <v>岡山県歯科医師会報</v>
      </c>
      <c r="C1160" t="str">
        <f>"オカヤマケン　シカイシ　カイホウ"</f>
        <v>オカヤマケン　シカイシ　カイホウ</v>
      </c>
      <c r="D1160" t="str">
        <f>"岡山県歯科医師会"</f>
        <v>岡山県歯科医師会</v>
      </c>
      <c r="E1160" t="str">
        <f>"オカヤマケン シカ イシカイ"</f>
        <v>オカヤマケン シカ イシカイ</v>
      </c>
      <c r="F1160" t="str">
        <f>"岡山市"</f>
        <v>岡山市</v>
      </c>
      <c r="G1160" t="str">
        <f>"月刊"</f>
        <v>月刊</v>
      </c>
      <c r="H1160" t="str">
        <f>"2002222292031"</f>
        <v>2002222292031</v>
      </c>
      <c r="I1160" t="str">
        <f>HYPERLINK("#", "https://opac.libnet.pref.okayama.jp/licsxp-opac/WOpacMsgNewListToTifTilDetailAction.do?tilcod=2002222292031")</f>
        <v>https://opac.libnet.pref.okayama.jp/licsxp-opac/WOpacMsgNewListToTifTilDetailAction.do?tilcod=2002222292031</v>
      </c>
    </row>
    <row r="1161" spans="1:9" x14ac:dyDescent="0.4">
      <c r="A1161" t="str">
        <f>"岡山県私学紀要"</f>
        <v>岡山県私学紀要</v>
      </c>
      <c r="B1161" s="1" t="str">
        <f t="shared" si="69"/>
        <v>岡山県私学紀要</v>
      </c>
      <c r="C1161" t="str">
        <f>"オカヤマケン　シガク　キヨウ"</f>
        <v>オカヤマケン　シガク　キヨウ</v>
      </c>
      <c r="D1161" t="str">
        <f>"岡山県私学協会"</f>
        <v>岡山県私学協会</v>
      </c>
      <c r="E1161" t="str">
        <f>"オカヤマケン シガク キョウカイ"</f>
        <v>オカヤマケン シガク キョウカイ</v>
      </c>
      <c r="F1161" t="str">
        <f>"岡山"</f>
        <v>岡山</v>
      </c>
      <c r="G1161" t="str">
        <f>"年刊"</f>
        <v>年刊</v>
      </c>
      <c r="H1161" t="str">
        <f>"2002222294711"</f>
        <v>2002222294711</v>
      </c>
      <c r="I1161" t="str">
        <f>HYPERLINK("#", "https://opac.libnet.pref.okayama.jp/licsxp-opac/WOpacMsgNewListToTifTilDetailAction.do?tilcod=2002222294711")</f>
        <v>https://opac.libnet.pref.okayama.jp/licsxp-opac/WOpacMsgNewListToTifTilDetailAction.do?tilcod=2002222294711</v>
      </c>
    </row>
    <row r="1162" spans="1:9" x14ac:dyDescent="0.4">
      <c r="A1162" t="str">
        <f>"岡山県私学教育研修会研修集録"</f>
        <v>岡山県私学教育研修会研修集録</v>
      </c>
      <c r="B1162" s="1" t="str">
        <f t="shared" si="69"/>
        <v>岡山県私学教育研修会研修集録</v>
      </c>
      <c r="C1162" t="str">
        <f>"オカヤマケン　シガク　キョウイク　ケンシュウカイ　ケンシュウ　シュウロク"</f>
        <v>オカヤマケン　シガク　キョウイク　ケンシュウカイ　ケンシュウ　シュウロク</v>
      </c>
      <c r="D1162" t="str">
        <f>"岡山県私学協会"</f>
        <v>岡山県私学協会</v>
      </c>
      <c r="E1162" t="str">
        <f>"オカヤマケン シガク キョウカイ"</f>
        <v>オカヤマケン シガク キョウカイ</v>
      </c>
      <c r="F1162" t="str">
        <f>"岡山"</f>
        <v>岡山</v>
      </c>
      <c r="G1162" t="str">
        <f>"年刊"</f>
        <v>年刊</v>
      </c>
      <c r="H1162" t="str">
        <f>"2002222294721"</f>
        <v>2002222294721</v>
      </c>
      <c r="I1162" t="str">
        <f>HYPERLINK("#", "https://opac.libnet.pref.okayama.jp/licsxp-opac/WOpacMsgNewListToTifTilDetailAction.do?tilcod=2002222294721")</f>
        <v>https://opac.libnet.pref.okayama.jp/licsxp-opac/WOpacMsgNewListToTifTilDetailAction.do?tilcod=2002222294721</v>
      </c>
    </row>
    <row r="1163" spans="1:9" x14ac:dyDescent="0.4">
      <c r="A1163" t="str">
        <f>"岡山県私学教育研修会集録"</f>
        <v>岡山県私学教育研修会集録</v>
      </c>
      <c r="B1163" s="1" t="str">
        <f t="shared" si="69"/>
        <v>岡山県私学教育研修会集録</v>
      </c>
      <c r="C1163" t="str">
        <f>"オカヤマケン　シガク　キョウイク　ケンシュウカイ　シュウロク"</f>
        <v>オカヤマケン　シガク　キョウイク　ケンシュウカイ　シュウロク</v>
      </c>
      <c r="D1163" t="str">
        <f>"岡山県私学協会"</f>
        <v>岡山県私学協会</v>
      </c>
      <c r="E1163" t="str">
        <f>"オカヤマケン シガク キョウカイ"</f>
        <v>オカヤマケン シガク キョウカイ</v>
      </c>
      <c r="F1163" t="str">
        <f>""</f>
        <v/>
      </c>
      <c r="G1163" t="str">
        <f>"不定期刊"</f>
        <v>不定期刊</v>
      </c>
      <c r="H1163" t="str">
        <f>"2002222286501"</f>
        <v>2002222286501</v>
      </c>
      <c r="I1163" t="str">
        <f>HYPERLINK("#", "https://opac.libnet.pref.okayama.jp/licsxp-opac/WOpacMsgNewListToTifTilDetailAction.do?tilcod=2002222286501")</f>
        <v>https://opac.libnet.pref.okayama.jp/licsxp-opac/WOpacMsgNewListToTifTilDetailAction.do?tilcod=2002222286501</v>
      </c>
    </row>
    <row r="1164" spans="1:9" x14ac:dyDescent="0.4">
      <c r="A1164" t="str">
        <f>"岡山県自家用時報"</f>
        <v>岡山県自家用時報</v>
      </c>
      <c r="B1164" s="1" t="str">
        <f t="shared" si="69"/>
        <v>岡山県自家用時報</v>
      </c>
      <c r="C1164" t="str">
        <f>"オカヤマケン　ジカヨウ　ジホウ"</f>
        <v>オカヤマケン　ジカヨウ　ジホウ</v>
      </c>
      <c r="D1164" t="str">
        <f>"岡山県自家用自動車協会"</f>
        <v>岡山県自家用自動車協会</v>
      </c>
      <c r="E1164" t="str">
        <f>"オカヤマケンジカヨウジドウシャキョウカイ"</f>
        <v>オカヤマケンジカヨウジドウシャキョウカイ</v>
      </c>
      <c r="F1164" t="str">
        <f>"岡山"</f>
        <v>岡山</v>
      </c>
      <c r="G1164" t="str">
        <f>"月刊"</f>
        <v>月刊</v>
      </c>
      <c r="H1164" t="str">
        <f>"2002222300806"</f>
        <v>2002222300806</v>
      </c>
      <c r="I1164" t="str">
        <f>HYPERLINK("#", "https://opac.libnet.pref.okayama.jp/licsxp-opac/WOpacMsgNewListToTifTilDetailAction.do?tilcod=2002222300806")</f>
        <v>https://opac.libnet.pref.okayama.jp/licsxp-opac/WOpacMsgNewListToTifTilDetailAction.do?tilcod=2002222300806</v>
      </c>
    </row>
    <row r="1165" spans="1:9" x14ac:dyDescent="0.4">
      <c r="A1165" t="str">
        <f>"岡山県自主パトロール隊通信"</f>
        <v>岡山県自主パトロール隊通信</v>
      </c>
      <c r="B1165" s="1" t="str">
        <f t="shared" si="69"/>
        <v>岡山県自主パトロール隊通信</v>
      </c>
      <c r="C1165" t="str">
        <f>"オカヤマケン ジシュ パトロールタイ ツウシン"</f>
        <v>オカヤマケン ジシュ パトロールタイ ツウシン</v>
      </c>
      <c r="D1165" t="str">
        <f>"岡山県警察本部"</f>
        <v>岡山県警察本部</v>
      </c>
      <c r="E1165" t="str">
        <f>"オカヤマケン ケイサツ ホンブ"</f>
        <v>オカヤマケン ケイサツ ホンブ</v>
      </c>
      <c r="F1165" t="str">
        <f>"岡山"</f>
        <v>岡山</v>
      </c>
      <c r="G1165" t="str">
        <f>"月刊"</f>
        <v>月刊</v>
      </c>
      <c r="H1165" t="str">
        <f>"2002222300269"</f>
        <v>2002222300269</v>
      </c>
      <c r="I1165" t="str">
        <f>HYPERLINK("#", "https://opac.libnet.pref.okayama.jp/licsxp-opac/WOpacMsgNewListToTifTilDetailAction.do?tilcod=2002222300269")</f>
        <v>https://opac.libnet.pref.okayama.jp/licsxp-opac/WOpacMsgNewListToTifTilDetailAction.do?tilcod=2002222300269</v>
      </c>
    </row>
    <row r="1166" spans="1:9" x14ac:dyDescent="0.4">
      <c r="A1166" t="str">
        <f>"岡山県詩人協会だより"</f>
        <v>岡山県詩人協会だより</v>
      </c>
      <c r="B1166" s="1" t="str">
        <f t="shared" si="69"/>
        <v>岡山県詩人協会だより</v>
      </c>
      <c r="C1166" t="str">
        <f>"オカヤマケン シジン キョウカイ ダヨリ"</f>
        <v>オカヤマケン シジン キョウカイ ダヨリ</v>
      </c>
      <c r="D1166" t="str">
        <f>"岡山県詩人協会"</f>
        <v>岡山県詩人協会</v>
      </c>
      <c r="E1166" t="str">
        <f>"オカヤマケン シジン キョウカイ"</f>
        <v>オカヤマケン シジン キョウカイ</v>
      </c>
      <c r="F1166" t="str">
        <f>"倉敷"</f>
        <v>倉敷</v>
      </c>
      <c r="G1166" t="str">
        <f>"頻度不明"</f>
        <v>頻度不明</v>
      </c>
      <c r="H1166" t="str">
        <f>"2002222337126"</f>
        <v>2002222337126</v>
      </c>
      <c r="I1166" t="str">
        <f>HYPERLINK("#", "https://opac.libnet.pref.okayama.jp/licsxp-opac/WOpacMsgNewListToTifTilDetailAction.do?tilcod=2002222337126")</f>
        <v>https://opac.libnet.pref.okayama.jp/licsxp-opac/WOpacMsgNewListToTifTilDetailAction.do?tilcod=2002222337126</v>
      </c>
    </row>
    <row r="1167" spans="1:9" x14ac:dyDescent="0.4">
      <c r="A1167" t="str">
        <f>"岡山県自治新聞"</f>
        <v>岡山県自治新聞</v>
      </c>
      <c r="B1167" s="1" t="str">
        <f t="shared" si="69"/>
        <v>岡山県自治新聞</v>
      </c>
      <c r="C1167" t="str">
        <f>"オカヤマケン　ジチ　シンブン"</f>
        <v>オカヤマケン　ジチ　シンブン</v>
      </c>
      <c r="D1167" t="str">
        <f>"岡山県自治新聞社"</f>
        <v>岡山県自治新聞社</v>
      </c>
      <c r="E1167" t="str">
        <f>"オカヤマケン ジチ シンブンシャ"</f>
        <v>オカヤマケン ジチ シンブンシャ</v>
      </c>
      <c r="F1167" t="str">
        <f>"岡山"</f>
        <v>岡山</v>
      </c>
      <c r="G1167" t="str">
        <f>"月刊"</f>
        <v>月刊</v>
      </c>
      <c r="H1167" t="str">
        <f>"2002222300807"</f>
        <v>2002222300807</v>
      </c>
      <c r="I1167" t="str">
        <f>HYPERLINK("#", "https://opac.libnet.pref.okayama.jp/licsxp-opac/WOpacMsgNewListToTifTilDetailAction.do?tilcod=2002222300807")</f>
        <v>https://opac.libnet.pref.okayama.jp/licsxp-opac/WOpacMsgNewListToTifTilDetailAction.do?tilcod=2002222300807</v>
      </c>
    </row>
    <row r="1168" spans="1:9" x14ac:dyDescent="0.4">
      <c r="A1168" t="str">
        <f>"おかやまけん自治新聞"</f>
        <v>おかやまけん自治新聞</v>
      </c>
      <c r="B1168" s="1" t="str">
        <f t="shared" si="69"/>
        <v>おかやまけん自治新聞</v>
      </c>
      <c r="C1168" t="str">
        <f>"オカヤマケン　ジチ　シンブン"</f>
        <v>オカヤマケン　ジチ　シンブン</v>
      </c>
      <c r="D1168" t="str">
        <f>"岡山県町村議会議長会"</f>
        <v>岡山県町村議会議長会</v>
      </c>
      <c r="E1168" t="str">
        <f>"オカヤマケン チョウソン ギカイ ギチョウカイ"</f>
        <v>オカヤマケン チョウソン ギカイ ギチョウカイ</v>
      </c>
      <c r="F1168" t="str">
        <f>"岡山"</f>
        <v>岡山</v>
      </c>
      <c r="G1168" t="str">
        <f>"月刊"</f>
        <v>月刊</v>
      </c>
      <c r="H1168" t="str">
        <f>"2002222300808"</f>
        <v>2002222300808</v>
      </c>
      <c r="I1168" t="str">
        <f>HYPERLINK("#", "https://opac.libnet.pref.okayama.jp/licsxp-opac/WOpacMsgNewListToTifTilDetailAction.do?tilcod=2002222300808")</f>
        <v>https://opac.libnet.pref.okayama.jp/licsxp-opac/WOpacMsgNewListToTifTilDetailAction.do?tilcod=2002222300808</v>
      </c>
    </row>
    <row r="1169" spans="1:9" x14ac:dyDescent="0.4">
      <c r="A1169" t="str">
        <f>"〔岡山県後月郡高屋〕男子校友会誌"</f>
        <v>〔岡山県後月郡高屋〕男子校友会誌</v>
      </c>
      <c r="B1169" s="1" t="str">
        <f t="shared" si="69"/>
        <v>〔岡山県後月郡高屋〕男子校友会誌</v>
      </c>
      <c r="C1169" t="str">
        <f>"オカヤマケン　シツキグン　タカヤ＊ダンシ　コウユウカイシ"</f>
        <v>オカヤマケン　シツキグン　タカヤ＊ダンシ　コウユウカイシ</v>
      </c>
      <c r="D1169" t="str">
        <f>"高屋男子校友会"</f>
        <v>高屋男子校友会</v>
      </c>
      <c r="E1169" t="str">
        <f>"タカヤダンシコウユウカイ"</f>
        <v>タカヤダンシコウユウカイ</v>
      </c>
      <c r="F1169" t="str">
        <f>""</f>
        <v/>
      </c>
      <c r="G1169" t="str">
        <f>"頻度不明"</f>
        <v>頻度不明</v>
      </c>
      <c r="H1169" t="str">
        <f>"2002222286521"</f>
        <v>2002222286521</v>
      </c>
      <c r="I1169" t="str">
        <f>HYPERLINK("#", "https://opac.libnet.pref.okayama.jp/licsxp-opac/WOpacMsgNewListToTifTilDetailAction.do?tilcod=2002222286521")</f>
        <v>https://opac.libnet.pref.okayama.jp/licsxp-opac/WOpacMsgNewListToTifTilDetailAction.do?tilcod=2002222286521</v>
      </c>
    </row>
    <row r="1170" spans="1:9" x14ac:dyDescent="0.4">
      <c r="A1170" t="str">
        <f>"[岡山県実業補習学校教員養成所]同窓会誌"</f>
        <v>[岡山県実業補習学校教員養成所]同窓会誌</v>
      </c>
      <c r="B1170" s="1" t="str">
        <f t="shared" si="69"/>
        <v>[岡山県実業補習学校教員養成所]同窓会誌</v>
      </c>
      <c r="C1170" t="str">
        <f>"オカヤマケン ジツギョウ ホシュウ ガッコウ キョウイン ヨウセイジョ ドウソウカイシ"</f>
        <v>オカヤマケン ジツギョウ ホシュウ ガッコウ キョウイン ヨウセイジョ ドウソウカイシ</v>
      </c>
      <c r="D1170" t="str">
        <f>"岡山県実業補習学校教員養成所"</f>
        <v>岡山県実業補習学校教員養成所</v>
      </c>
      <c r="E1170" t="str">
        <f>"オカヤマケン ジツギョウ ホシュウ ガッコウ キョウイン ヨウセイジョ"</f>
        <v>オカヤマケン ジツギョウ ホシュウ ガッコウ キョウイン ヨウセイジョ</v>
      </c>
      <c r="F1170" t="str">
        <f>""</f>
        <v/>
      </c>
      <c r="G1170" t="str">
        <f>"頻度不明"</f>
        <v>頻度不明</v>
      </c>
      <c r="H1170" t="str">
        <f>"2002222331422"</f>
        <v>2002222331422</v>
      </c>
      <c r="I1170" t="str">
        <f>HYPERLINK("#", "https://opac.libnet.pref.okayama.jp/licsxp-opac/WOpacMsgNewListToTifTilDetailAction.do?tilcod=2002222331422")</f>
        <v>https://opac.libnet.pref.okayama.jp/licsxp-opac/WOpacMsgNewListToTifTilDetailAction.do?tilcod=2002222331422</v>
      </c>
    </row>
    <row r="1171" spans="1:9" x14ac:dyDescent="0.4">
      <c r="A1171" t="str">
        <f>"岡山県児童相談所紀要（岡山県中央児童相談所紀要）"</f>
        <v>岡山県児童相談所紀要（岡山県中央児童相談所紀要）</v>
      </c>
      <c r="B1171" s="1" t="str">
        <f t="shared" si="69"/>
        <v>岡山県児童相談所紀要（岡山県中央児童相談所紀要）</v>
      </c>
      <c r="C1171" t="str">
        <f>"オカヤマケン　ジドウ　ソウダンショ　キヨウ　オカヤマケン　チュウオウ　ジドウ　ソウダンショ　キヨウ"</f>
        <v>オカヤマケン　ジドウ　ソウダンショ　キヨウ　オカヤマケン　チュウオウ　ジドウ　ソウダンショ　キヨウ</v>
      </c>
      <c r="D1171" t="str">
        <f>"岡山県中央児童相談所"</f>
        <v>岡山県中央児童相談所</v>
      </c>
      <c r="E1171" t="str">
        <f>"オカヤマケン チュウオウ ジドウ ソウダンショ"</f>
        <v>オカヤマケン チュウオウ ジドウ ソウダンショ</v>
      </c>
      <c r="F1171" t="str">
        <f>"岡山"</f>
        <v>岡山</v>
      </c>
      <c r="G1171" t="str">
        <f>"年刊"</f>
        <v>年刊</v>
      </c>
      <c r="H1171" t="str">
        <f>"2002222289803"</f>
        <v>2002222289803</v>
      </c>
      <c r="I1171" t="str">
        <f>HYPERLINK("#", "https://opac.libnet.pref.okayama.jp/licsxp-opac/WOpacMsgNewListToTifTilDetailAction.do?tilcod=2002222289803")</f>
        <v>https://opac.libnet.pref.okayama.jp/licsxp-opac/WOpacMsgNewListToTifTilDetailAction.do?tilcod=2002222289803</v>
      </c>
    </row>
    <row r="1172" spans="1:9" x14ac:dyDescent="0.4">
      <c r="A1172" t="str">
        <f>"岡山県自動車協会会報"</f>
        <v>岡山県自動車協会会報</v>
      </c>
      <c r="B1172" s="1" t="str">
        <f t="shared" si="69"/>
        <v>岡山県自動車協会会報</v>
      </c>
      <c r="C1172" t="str">
        <f>"オカヤマケン　ジドウシャ　キョウカイ　カイホウ"</f>
        <v>オカヤマケン　ジドウシャ　キョウカイ　カイホウ</v>
      </c>
      <c r="D1172" t="str">
        <f>"岡山県自動車協会"</f>
        <v>岡山県自動車協会</v>
      </c>
      <c r="E1172" t="str">
        <f>"オカヤマケンジドウシャキョウカイ"</f>
        <v>オカヤマケンジドウシャキョウカイ</v>
      </c>
      <c r="F1172" t="str">
        <f>"岡山"</f>
        <v>岡山</v>
      </c>
      <c r="G1172" t="str">
        <f>"頻度不明"</f>
        <v>頻度不明</v>
      </c>
      <c r="H1172" t="str">
        <f>"2002222301361"</f>
        <v>2002222301361</v>
      </c>
      <c r="I1172" t="str">
        <f>HYPERLINK("#", "https://opac.libnet.pref.okayama.jp/licsxp-opac/WOpacMsgNewListToTifTilDetailAction.do?tilcod=2002222301361")</f>
        <v>https://opac.libnet.pref.okayama.jp/licsxp-opac/WOpacMsgNewListToTifTilDetailAction.do?tilcod=2002222301361</v>
      </c>
    </row>
    <row r="1173" spans="1:9" x14ac:dyDescent="0.4">
      <c r="A1173" t="str">
        <f>"[岡山県師範学校国漢研究会]会誌"</f>
        <v>[岡山県師範学校国漢研究会]会誌</v>
      </c>
      <c r="B1173" s="1" t="str">
        <f t="shared" si="69"/>
        <v>[岡山県師範学校国漢研究会]会誌</v>
      </c>
      <c r="C1173" t="str">
        <f>"オカヤマケン　シハン　ガッコウ　コッカン　ケンキュウカイ　カイシ"</f>
        <v>オカヤマケン　シハン　ガッコウ　コッカン　ケンキュウカイ　カイシ</v>
      </c>
      <c r="D1173" t="str">
        <f>"岡山県師範学校国漢研究会"</f>
        <v>岡山県師範学校国漢研究会</v>
      </c>
      <c r="E1173" t="str">
        <f>"オカヤマケン　シハン　ガッコウ　コッカン　ケンキュウカイ"</f>
        <v>オカヤマケン　シハン　ガッコウ　コッカン　ケンキュウカイ</v>
      </c>
      <c r="F1173" t="str">
        <f>"[岡山]"</f>
        <v>[岡山]</v>
      </c>
      <c r="G1173" t="str">
        <f>"頻度不明"</f>
        <v>頻度不明</v>
      </c>
      <c r="H1173" t="str">
        <f>"2002222325669"</f>
        <v>2002222325669</v>
      </c>
      <c r="I1173" t="str">
        <f>HYPERLINK("#", "https://opac.libnet.pref.okayama.jp/licsxp-opac/WOpacMsgNewListToTifTilDetailAction.do?tilcod=2002222325669")</f>
        <v>https://opac.libnet.pref.okayama.jp/licsxp-opac/WOpacMsgNewListToTifTilDetailAction.do?tilcod=2002222325669</v>
      </c>
    </row>
    <row r="1174" spans="1:9" x14ac:dyDescent="0.4">
      <c r="A1174" t="str">
        <f>"岡山県支部会報"</f>
        <v>岡山県支部会報</v>
      </c>
      <c r="B1174" s="1" t="str">
        <f t="shared" si="69"/>
        <v>岡山県支部会報</v>
      </c>
      <c r="C1174" t="str">
        <f>"オカヤマケン シブ カイホウ"</f>
        <v>オカヤマケン シブ カイホウ</v>
      </c>
      <c r="D1174" t="str">
        <f>"日本技術士会中国本部岡山県支部"</f>
        <v>日本技術士会中国本部岡山県支部</v>
      </c>
      <c r="E1174" t="str">
        <f>"ニホン ギジュツシカイ チュウゴク ホンブ オカヤマケン シブ"</f>
        <v>ニホン ギジュツシカイ チュウゴク ホンブ オカヤマケン シブ</v>
      </c>
      <c r="F1174" t="str">
        <f>"岡山"</f>
        <v>岡山</v>
      </c>
      <c r="G1174" t="str">
        <f>"年刊"</f>
        <v>年刊</v>
      </c>
      <c r="H1174" t="str">
        <f>"2002222318186"</f>
        <v>2002222318186</v>
      </c>
      <c r="I1174" t="str">
        <f>HYPERLINK("#", "https://opac.libnet.pref.okayama.jp/licsxp-opac/WOpacMsgNewListToTifTilDetailAction.do?tilcod=2002222318186")</f>
        <v>https://opac.libnet.pref.okayama.jp/licsxp-opac/WOpacMsgNewListToTifTilDetailAction.do?tilcod=2002222318186</v>
      </c>
    </row>
    <row r="1175" spans="1:9" x14ac:dyDescent="0.4">
      <c r="A1175" t="str">
        <f>"岡山県社会運動史研究会会報"</f>
        <v>岡山県社会運動史研究会会報</v>
      </c>
      <c r="B1175" s="1" t="str">
        <f t="shared" si="69"/>
        <v>岡山県社会運動史研究会会報</v>
      </c>
      <c r="C1175" t="str">
        <f>"オカヤマケン　シャカイウンドウシ　ケンキュウカイ　カイホウ"</f>
        <v>オカヤマケン　シャカイウンドウシ　ケンキュウカイ　カイホウ</v>
      </c>
      <c r="D1175" t="str">
        <f>"岡山県社会運動史研究会"</f>
        <v>岡山県社会運動史研究会</v>
      </c>
      <c r="E1175" t="str">
        <f>"オカヤマケンシャカイウンドウシケンキュウカイ"</f>
        <v>オカヤマケンシャカイウンドウシケンキュウカイ</v>
      </c>
      <c r="F1175" t="str">
        <f>"岡山"</f>
        <v>岡山</v>
      </c>
      <c r="G1175" t="str">
        <f>"その他"</f>
        <v>その他</v>
      </c>
      <c r="H1175" t="str">
        <f>"2002222283171"</f>
        <v>2002222283171</v>
      </c>
      <c r="I1175" t="str">
        <f>HYPERLINK("#", "https://opac.libnet.pref.okayama.jp/licsxp-opac/WOpacMsgNewListToTifTilDetailAction.do?tilcod=2002222283171")</f>
        <v>https://opac.libnet.pref.okayama.jp/licsxp-opac/WOpacMsgNewListToTifTilDetailAction.do?tilcod=2002222283171</v>
      </c>
    </row>
    <row r="1176" spans="1:9" x14ac:dyDescent="0.4">
      <c r="A1176" t="str">
        <f>"岡山県社会福祉"</f>
        <v>岡山県社会福祉</v>
      </c>
      <c r="B1176" s="1" t="str">
        <f t="shared" si="69"/>
        <v>岡山県社会福祉</v>
      </c>
      <c r="C1176" t="str">
        <f>"オカヤマケン　シャカイフクシ"</f>
        <v>オカヤマケン　シャカイフクシ</v>
      </c>
      <c r="D1176" t="str">
        <f>"岡山県社会福祉協議会"</f>
        <v>岡山県社会福祉協議会</v>
      </c>
      <c r="E1176" t="str">
        <f>"オカヤマケン シャカイ フクシ キョウギカイ"</f>
        <v>オカヤマケン シャカイ フクシ キョウギカイ</v>
      </c>
      <c r="F1176" t="str">
        <f>"岡山"</f>
        <v>岡山</v>
      </c>
      <c r="G1176" t="str">
        <f>"隔月刊"</f>
        <v>隔月刊</v>
      </c>
      <c r="H1176" t="str">
        <f>"2002222292041"</f>
        <v>2002222292041</v>
      </c>
      <c r="I1176" t="str">
        <f>HYPERLINK("#", "https://opac.libnet.pref.okayama.jp/licsxp-opac/WOpacMsgNewListToTifTilDetailAction.do?tilcod=2002222292041")</f>
        <v>https://opac.libnet.pref.okayama.jp/licsxp-opac/WOpacMsgNewListToTifTilDetailAction.do?tilcod=2002222292041</v>
      </c>
    </row>
    <row r="1177" spans="1:9" x14ac:dyDescent="0.4">
      <c r="A1177" t="str">
        <f>"岡山県写真ニュース"</f>
        <v>岡山県写真ニュース</v>
      </c>
      <c r="B1177" s="1" t="str">
        <f t="shared" si="69"/>
        <v>岡山県写真ニュース</v>
      </c>
      <c r="C1177" t="str">
        <f>"オカヤマケン　シャシン　ニュース"</f>
        <v>オカヤマケン　シャシン　ニュース</v>
      </c>
      <c r="D1177" t="str">
        <f>"岡山県広報課"</f>
        <v>岡山県広報課</v>
      </c>
      <c r="E1177" t="str">
        <f>"オカヤマケン コウホウカ"</f>
        <v>オカヤマケン コウホウカ</v>
      </c>
      <c r="F1177" t="str">
        <f>"岡山"</f>
        <v>岡山</v>
      </c>
      <c r="G1177" t="str">
        <f>"月刊"</f>
        <v>月刊</v>
      </c>
      <c r="H1177" t="str">
        <f>"2002222286531"</f>
        <v>2002222286531</v>
      </c>
      <c r="I1177" t="str">
        <f>HYPERLINK("#", "https://opac.libnet.pref.okayama.jp/licsxp-opac/WOpacMsgNewListToTifTilDetailAction.do?tilcod=2002222286531")</f>
        <v>https://opac.libnet.pref.okayama.jp/licsxp-opac/WOpacMsgNewListToTifTilDetailAction.do?tilcod=2002222286531</v>
      </c>
    </row>
    <row r="1178" spans="1:9" x14ac:dyDescent="0.4">
      <c r="A1178" t="str">
        <f>"〔岡山県獣医師会〕会報"</f>
        <v>〔岡山県獣医師会〕会報</v>
      </c>
      <c r="B1178" s="1" t="str">
        <f t="shared" si="69"/>
        <v>〔岡山県獣医師会〕会報</v>
      </c>
      <c r="C1178" t="str">
        <f>"オカヤマケン　ジュウイ　シ　カイ　カイホウ"</f>
        <v>オカヤマケン　ジュウイ　シ　カイ　カイホウ</v>
      </c>
      <c r="D1178" t="str">
        <f>"岡山県獣医師会"</f>
        <v>岡山県獣医師会</v>
      </c>
      <c r="E1178" t="str">
        <f>"オカヤマケンジュウイシカイ"</f>
        <v>オカヤマケンジュウイシカイ</v>
      </c>
      <c r="F1178" t="str">
        <f>""</f>
        <v/>
      </c>
      <c r="G1178" t="str">
        <f>"年刊"</f>
        <v>年刊</v>
      </c>
      <c r="H1178" t="str">
        <f>"2002222286541"</f>
        <v>2002222286541</v>
      </c>
      <c r="I1178" t="str">
        <f>HYPERLINK("#", "https://opac.libnet.pref.okayama.jp/licsxp-opac/WOpacMsgNewListToTifTilDetailAction.do?tilcod=2002222286541")</f>
        <v>https://opac.libnet.pref.okayama.jp/licsxp-opac/WOpacMsgNewListToTifTilDetailAction.do?tilcod=2002222286541</v>
      </c>
    </row>
    <row r="1179" spans="1:9" x14ac:dyDescent="0.4">
      <c r="A1179" t="str">
        <f>"岡山県種畜場事業報告"</f>
        <v>岡山県種畜場事業報告</v>
      </c>
      <c r="B1179" s="1" t="str">
        <f t="shared" si="69"/>
        <v>岡山県種畜場事業報告</v>
      </c>
      <c r="C1179" t="str">
        <f>"オカヤマケン シュチクジョウ ジギョウ ホウコク"</f>
        <v>オカヤマケン シュチクジョウ ジギョウ ホウコク</v>
      </c>
      <c r="D1179" t="str">
        <f>"岡山県種畜場"</f>
        <v>岡山県種畜場</v>
      </c>
      <c r="E1179" t="str">
        <f>"オカヤマケン シュチクジョウ"</f>
        <v>オカヤマケン シュチクジョウ</v>
      </c>
      <c r="F1179" t="str">
        <f>""</f>
        <v/>
      </c>
      <c r="G1179" t="str">
        <f>"頻度不明"</f>
        <v>頻度不明</v>
      </c>
      <c r="H1179" t="str">
        <f>"2002222286551"</f>
        <v>2002222286551</v>
      </c>
      <c r="I1179" t="str">
        <f>HYPERLINK("#", "https://opac.libnet.pref.okayama.jp/licsxp-opac/WOpacMsgNewListToTifTilDetailAction.do?tilcod=2002222286551")</f>
        <v>https://opac.libnet.pref.okayama.jp/licsxp-opac/WOpacMsgNewListToTifTilDetailAction.do?tilcod=2002222286551</v>
      </c>
    </row>
    <row r="1180" spans="1:9" x14ac:dyDescent="0.4">
      <c r="A1180" t="str">
        <f>"岡山県生涯学習センターだより"</f>
        <v>岡山県生涯学習センターだより</v>
      </c>
      <c r="B1180" s="1" t="str">
        <f t="shared" si="69"/>
        <v>岡山県生涯学習センターだより</v>
      </c>
      <c r="C1180" t="str">
        <f>"オカヤマケン　ショウガイ　ガクシュウ　センター　ダヨリ"</f>
        <v>オカヤマケン　ショウガイ　ガクシュウ　センター　ダヨリ</v>
      </c>
      <c r="D1180" t="str">
        <f>"岡山県生涯学習センター"</f>
        <v>岡山県生涯学習センター</v>
      </c>
      <c r="E1180" t="str">
        <f>"オカヤマケン ショウガイ ガクシュウ センター"</f>
        <v>オカヤマケン ショウガイ ガクシュウ センター</v>
      </c>
      <c r="F1180" t="str">
        <f>"岡山"</f>
        <v>岡山</v>
      </c>
      <c r="G1180" t="str">
        <f>"不定期刊"</f>
        <v>不定期刊</v>
      </c>
      <c r="H1180" t="str">
        <f>"2002222286421"</f>
        <v>2002222286421</v>
      </c>
      <c r="I1180" t="str">
        <f>HYPERLINK("#", "https://opac.libnet.pref.okayama.jp/licsxp-opac/WOpacMsgNewListToTifTilDetailAction.do?tilcod=2002222286421")</f>
        <v>https://opac.libnet.pref.okayama.jp/licsxp-opac/WOpacMsgNewListToTifTilDetailAction.do?tilcod=2002222286421</v>
      </c>
    </row>
    <row r="1181" spans="1:9" x14ac:dyDescent="0.4">
      <c r="A1181" t="str">
        <f>"岡山県障害者雇用の広場"</f>
        <v>岡山県障害者雇用の広場</v>
      </c>
      <c r="B1181" s="1" t="str">
        <f t="shared" si="69"/>
        <v>岡山県障害者雇用の広場</v>
      </c>
      <c r="C1181" t="str">
        <f>"オカヤマケン　ショウガイシャ　コヨウ　ノ　ヒロバ"</f>
        <v>オカヤマケン　ショウガイシャ　コヨウ　ノ　ヒロバ</v>
      </c>
      <c r="D1181" t="str">
        <f>"岡山県心身障害者雇用促進協会"</f>
        <v>岡山県心身障害者雇用促進協会</v>
      </c>
      <c r="E1181" t="str">
        <f>"オカヤマケン シンシン ショウガイシャ コヨウ ソクシン キョウカイ"</f>
        <v>オカヤマケン シンシン ショウガイシャ コヨウ ソクシン キョウカイ</v>
      </c>
      <c r="F1181" t="str">
        <f>"岡山"</f>
        <v>岡山</v>
      </c>
      <c r="G1181" t="str">
        <f>"不定期刊"</f>
        <v>不定期刊</v>
      </c>
      <c r="H1181" t="str">
        <f>"2002222286561"</f>
        <v>2002222286561</v>
      </c>
      <c r="I1181" t="str">
        <f>HYPERLINK("#", "https://opac.libnet.pref.okayama.jp/licsxp-opac/WOpacMsgNewListToTifTilDetailAction.do?tilcod=2002222286561")</f>
        <v>https://opac.libnet.pref.okayama.jp/licsxp-opac/WOpacMsgNewListToTifTilDetailAction.do?tilcod=2002222286561</v>
      </c>
    </row>
    <row r="1182" spans="1:9" x14ac:dyDescent="0.4">
      <c r="A1182" t="str">
        <f>"岡山県障害者スポーツ協会だより"</f>
        <v>岡山県障害者スポーツ協会だより</v>
      </c>
      <c r="B1182" s="1" t="str">
        <f t="shared" si="69"/>
        <v>岡山県障害者スポーツ協会だより</v>
      </c>
      <c r="C1182" t="str">
        <f>"オカヤマケン ショウガイシャ スポーツ キョウカイ ダヨリ"</f>
        <v>オカヤマケン ショウガイシャ スポーツ キョウカイ ダヨリ</v>
      </c>
      <c r="D1182" t="str">
        <f>"岡山県障害者スポーツ協会"</f>
        <v>岡山県障害者スポーツ協会</v>
      </c>
      <c r="E1182" t="str">
        <f>"オカヤマケン ショウガイシャ スポーツ キョウカイ"</f>
        <v>オカヤマケン ショウガイシャ スポーツ キョウカイ</v>
      </c>
      <c r="F1182" t="str">
        <f>"岡山"</f>
        <v>岡山</v>
      </c>
      <c r="G1182" t="str">
        <f>"年２回刊"</f>
        <v>年２回刊</v>
      </c>
      <c r="H1182" t="str">
        <f>"2002222316406"</f>
        <v>2002222316406</v>
      </c>
      <c r="I1182" t="str">
        <f>HYPERLINK("#", "https://opac.libnet.pref.okayama.jp/licsxp-opac/WOpacMsgNewListToTifTilDetailAction.do?tilcod=2002222316406")</f>
        <v>https://opac.libnet.pref.okayama.jp/licsxp-opac/WOpacMsgNewListToTifTilDetailAction.do?tilcod=2002222316406</v>
      </c>
    </row>
    <row r="1183" spans="1:9" x14ac:dyDescent="0.4">
      <c r="A1183" t="str">
        <f>"岡山県商業教育共同実習所々報"</f>
        <v>岡山県商業教育共同実習所々報</v>
      </c>
      <c r="B1183" s="1" t="str">
        <f t="shared" si="69"/>
        <v>岡山県商業教育共同実習所々報</v>
      </c>
      <c r="C1183" t="str">
        <f>"オカヤマケン　ショウギョウ　キョウイク　キョウドウ　ジッシュウジョ　ショホウ"</f>
        <v>オカヤマケン　ショウギョウ　キョウイク　キョウドウ　ジッシュウジョ　ショホウ</v>
      </c>
      <c r="D1183" t="str">
        <f>"岡山県商業教育共同実習所"</f>
        <v>岡山県商業教育共同実習所</v>
      </c>
      <c r="E1183" t="str">
        <f>"オカヤマケンショウギョウキョウイクキョウドウジッシュウジョ"</f>
        <v>オカヤマケンショウギョウキョウイクキョウドウジッシュウジョ</v>
      </c>
      <c r="F1183" t="str">
        <f>""</f>
        <v/>
      </c>
      <c r="G1183" t="str">
        <f>"頻度不明"</f>
        <v>頻度不明</v>
      </c>
      <c r="H1183" t="str">
        <f>"2002222286571"</f>
        <v>2002222286571</v>
      </c>
      <c r="I1183" t="str">
        <f>HYPERLINK("#", "https://opac.libnet.pref.okayama.jp/licsxp-opac/WOpacMsgNewListToTifTilDetailAction.do?tilcod=2002222286571")</f>
        <v>https://opac.libnet.pref.okayama.jp/licsxp-opac/WOpacMsgNewListToTifTilDetailAction.do?tilcod=2002222286571</v>
      </c>
    </row>
    <row r="1184" spans="1:9" x14ac:dyDescent="0.4">
      <c r="A1184" t="str">
        <f>"岡山県商業教育共同実習所要覧"</f>
        <v>岡山県商業教育共同実習所要覧</v>
      </c>
      <c r="B1184" s="1" t="str">
        <f t="shared" si="69"/>
        <v>岡山県商業教育共同実習所要覧</v>
      </c>
      <c r="C1184" t="str">
        <f>"オカヤマケン　ショウギョウ　キョウイク　キョウドウ　ジッシュウジョ　ヨウラン"</f>
        <v>オカヤマケン　ショウギョウ　キョウイク　キョウドウ　ジッシュウジョ　ヨウラン</v>
      </c>
      <c r="D1184" t="str">
        <f>"岡山県商業教育共同実習所"</f>
        <v>岡山県商業教育共同実習所</v>
      </c>
      <c r="E1184" t="str">
        <f>"オカヤマケンショウギョウキョウイクキョウドウジッシュウジョ"</f>
        <v>オカヤマケンショウギョウキョウイクキョウドウジッシュウジョ</v>
      </c>
      <c r="F1184" t="str">
        <f>""</f>
        <v/>
      </c>
      <c r="G1184" t="str">
        <f>"年刊"</f>
        <v>年刊</v>
      </c>
      <c r="H1184" t="str">
        <f>"2002222286581"</f>
        <v>2002222286581</v>
      </c>
      <c r="I1184" t="str">
        <f>HYPERLINK("#", "https://opac.libnet.pref.okayama.jp/licsxp-opac/WOpacMsgNewListToTifTilDetailAction.do?tilcod=2002222286581")</f>
        <v>https://opac.libnet.pref.okayama.jp/licsxp-opac/WOpacMsgNewListToTifTilDetailAction.do?tilcod=2002222286581</v>
      </c>
    </row>
    <row r="1185" spans="1:9" x14ac:dyDescent="0.4">
      <c r="A1185" t="str">
        <f>"岡山県商工連会報"</f>
        <v>岡山県商工連会報</v>
      </c>
      <c r="B1185" s="1" t="str">
        <f t="shared" si="69"/>
        <v>岡山県商工連会報</v>
      </c>
      <c r="C1185" t="str">
        <f>"オカヤマケン　ショウコウレン　カイホウ"</f>
        <v>オカヤマケン　ショウコウレン　カイホウ</v>
      </c>
      <c r="D1185" t="str">
        <f>"岡山県商工会連合会"</f>
        <v>岡山県商工会連合会</v>
      </c>
      <c r="E1185" t="str">
        <f>"オカヤマケン ショウコウカイ レンゴウカイ"</f>
        <v>オカヤマケン ショウコウカイ レンゴウカイ</v>
      </c>
      <c r="F1185" t="str">
        <f>""</f>
        <v/>
      </c>
      <c r="G1185" t="str">
        <f>"頻度不明"</f>
        <v>頻度不明</v>
      </c>
      <c r="H1185" t="str">
        <f>"2002222286591"</f>
        <v>2002222286591</v>
      </c>
      <c r="I1185" t="str">
        <f>HYPERLINK("#", "https://opac.libnet.pref.okayama.jp/licsxp-opac/WOpacMsgNewListToTifTilDetailAction.do?tilcod=2002222286591")</f>
        <v>https://opac.libnet.pref.okayama.jp/licsxp-opac/WOpacMsgNewListToTifTilDetailAction.do?tilcod=2002222286591</v>
      </c>
    </row>
    <row r="1186" spans="1:9" x14ac:dyDescent="0.4">
      <c r="A1186" t="str">
        <f>"岡山県消費者物価指数"</f>
        <v>岡山県消費者物価指数</v>
      </c>
      <c r="B1186" s="1" t="str">
        <f t="shared" si="69"/>
        <v>岡山県消費者物価指数</v>
      </c>
      <c r="C1186" t="str">
        <f>"オカヤマケン　ショウヒシャ　ブッカ　シスウ"</f>
        <v>オカヤマケン　ショウヒシャ　ブッカ　シスウ</v>
      </c>
      <c r="D1186" t="str">
        <f>"岡山県企画部統計課"</f>
        <v>岡山県企画部統計課</v>
      </c>
      <c r="E1186" t="str">
        <f>"オカヤマケン キカクブ トウケイカ"</f>
        <v>オカヤマケン キカクブ トウケイカ</v>
      </c>
      <c r="F1186" t="str">
        <f>"岡山"</f>
        <v>岡山</v>
      </c>
      <c r="G1186" t="str">
        <f>"頻度不明"</f>
        <v>頻度不明</v>
      </c>
      <c r="H1186" t="str">
        <f>"2002222286601"</f>
        <v>2002222286601</v>
      </c>
      <c r="I1186" t="str">
        <f>HYPERLINK("#", "https://opac.libnet.pref.okayama.jp/licsxp-opac/WOpacMsgNewListToTifTilDetailAction.do?tilcod=2002222286601")</f>
        <v>https://opac.libnet.pref.okayama.jp/licsxp-opac/WOpacMsgNewListToTifTilDetailAction.do?tilcod=2002222286601</v>
      </c>
    </row>
    <row r="1187" spans="1:9" x14ac:dyDescent="0.4">
      <c r="A1187" t="str">
        <f>"岡山県消費者物価指数の動き"</f>
        <v>岡山県消費者物価指数の動き</v>
      </c>
      <c r="B1187" s="1" t="str">
        <f t="shared" si="69"/>
        <v>岡山県消費者物価指数の動き</v>
      </c>
      <c r="C1187" t="str">
        <f>"オカヤマケン　ショウヒシャ　ブッカ　シスウ　ノ　ウゴキ"</f>
        <v>オカヤマケン　ショウヒシャ　ブッカ　シスウ　ノ　ウゴキ</v>
      </c>
      <c r="D1187" t="str">
        <f>"岡山県企画部統計課"</f>
        <v>岡山県企画部統計課</v>
      </c>
      <c r="E1187" t="str">
        <f>"オカヤマケン キカクブ トウケイカ"</f>
        <v>オカヤマケン キカクブ トウケイカ</v>
      </c>
      <c r="F1187" t="str">
        <f>"岡山"</f>
        <v>岡山</v>
      </c>
      <c r="G1187" t="str">
        <f>"頻度不明"</f>
        <v>頻度不明</v>
      </c>
      <c r="H1187" t="str">
        <f>"2002222286621"</f>
        <v>2002222286621</v>
      </c>
      <c r="I1187" t="str">
        <f>HYPERLINK("#", "https://opac.libnet.pref.okayama.jp/licsxp-opac/WOpacMsgNewListToTifTilDetailAction.do?tilcod=2002222286621")</f>
        <v>https://opac.libnet.pref.okayama.jp/licsxp-opac/WOpacMsgNewListToTifTilDetailAction.do?tilcod=2002222286621</v>
      </c>
    </row>
    <row r="1188" spans="1:9" x14ac:dyDescent="0.4">
      <c r="A1188" t="str">
        <f>"岡山県消費者物価の動き"</f>
        <v>岡山県消費者物価の動き</v>
      </c>
      <c r="B1188" s="1" t="str">
        <f t="shared" si="69"/>
        <v>岡山県消費者物価の動き</v>
      </c>
      <c r="C1188" t="str">
        <f>"オカヤマケン　ショウヒシャ　ブッカ　ノ　ウゴキ"</f>
        <v>オカヤマケン　ショウヒシャ　ブッカ　ノ　ウゴキ</v>
      </c>
      <c r="D1188" t="str">
        <f>"岡山県企画部統計課"</f>
        <v>岡山県企画部統計課</v>
      </c>
      <c r="E1188" t="str">
        <f>"オカヤマケン キカクブ トウケイカ"</f>
        <v>オカヤマケン キカクブ トウケイカ</v>
      </c>
      <c r="F1188" t="str">
        <f>"岡山"</f>
        <v>岡山</v>
      </c>
      <c r="G1188" t="str">
        <f>"月刊"</f>
        <v>月刊</v>
      </c>
      <c r="H1188" t="str">
        <f>"2002222286611"</f>
        <v>2002222286611</v>
      </c>
      <c r="I1188" t="str">
        <f>HYPERLINK("#", "https://opac.libnet.pref.okayama.jp/licsxp-opac/WOpacMsgNewListToTifTilDetailAction.do?tilcod=2002222286611")</f>
        <v>https://opac.libnet.pref.okayama.jp/licsxp-opac/WOpacMsgNewListToTifTilDetailAction.do?tilcod=2002222286611</v>
      </c>
    </row>
    <row r="1189" spans="1:9" x14ac:dyDescent="0.4">
      <c r="A1189" t="str">
        <f>"岡山県消防"</f>
        <v>岡山県消防</v>
      </c>
      <c r="B1189" s="1" t="str">
        <f t="shared" si="69"/>
        <v>岡山県消防</v>
      </c>
      <c r="C1189" t="str">
        <f>"オカヤマケン　ショウボウ"</f>
        <v>オカヤマケン　ショウボウ</v>
      </c>
      <c r="D1189" t="str">
        <f>"大日本消防協会岡山支部"</f>
        <v>大日本消防協会岡山支部</v>
      </c>
      <c r="E1189" t="str">
        <f>"ダイニッポン　ショウボウ　キョウカイ　オカヤマ　シブ"</f>
        <v>ダイニッポン　ショウボウ　キョウカイ　オカヤマ　シブ</v>
      </c>
      <c r="F1189" t="str">
        <f>""</f>
        <v/>
      </c>
      <c r="G1189" t="str">
        <f>"頻度不明"</f>
        <v>頻度不明</v>
      </c>
      <c r="H1189" t="str">
        <f>"2002222286651"</f>
        <v>2002222286651</v>
      </c>
      <c r="I1189" t="str">
        <f>HYPERLINK("#", "https://opac.libnet.pref.okayama.jp/licsxp-opac/WOpacMsgNewListToTifTilDetailAction.do?tilcod=2002222286651")</f>
        <v>https://opac.libnet.pref.okayama.jp/licsxp-opac/WOpacMsgNewListToTifTilDetailAction.do?tilcod=2002222286651</v>
      </c>
    </row>
    <row r="1190" spans="1:9" x14ac:dyDescent="0.4">
      <c r="A1190" t="str">
        <f>"〔岡山県情報処理教育センター〕センターだより"</f>
        <v>〔岡山県情報処理教育センター〕センターだより</v>
      </c>
      <c r="B1190" s="1" t="str">
        <f t="shared" si="69"/>
        <v>〔岡山県情報処理教育センター〕センターだより</v>
      </c>
      <c r="C1190" t="str">
        <f>"オカヤマケン　ジョウホウ　ショリ　キョウイク　センター　センターダヨリ"</f>
        <v>オカヤマケン　ジョウホウ　ショリ　キョウイク　センター　センターダヨリ</v>
      </c>
      <c r="D1190" t="str">
        <f>"岡山県情報処理教育センター"</f>
        <v>岡山県情報処理教育センター</v>
      </c>
      <c r="E1190" t="str">
        <f>"オカヤマケン ジョウホウ ショリ キョウイク センター"</f>
        <v>オカヤマケン ジョウホウ ショリ キョウイク センター</v>
      </c>
      <c r="F1190" t="str">
        <f>"岡山"</f>
        <v>岡山</v>
      </c>
      <c r="G1190" t="str">
        <f>"年２回刊"</f>
        <v>年２回刊</v>
      </c>
      <c r="H1190" t="str">
        <f>"2002222294751"</f>
        <v>2002222294751</v>
      </c>
      <c r="I1190" t="str">
        <f>HYPERLINK("#", "https://opac.libnet.pref.okayama.jp/licsxp-opac/WOpacMsgNewListToTifTilDetailAction.do?tilcod=2002222294751")</f>
        <v>https://opac.libnet.pref.okayama.jp/licsxp-opac/WOpacMsgNewListToTifTilDetailAction.do?tilcod=2002222294751</v>
      </c>
    </row>
    <row r="1191" spans="1:9" x14ac:dyDescent="0.4">
      <c r="A1191" t="str">
        <f>"岡山県食品の安全を守る会会報"</f>
        <v>岡山県食品の安全を守る会会報</v>
      </c>
      <c r="B1191" s="1" t="str">
        <f t="shared" si="69"/>
        <v>岡山県食品の安全を守る会会報</v>
      </c>
      <c r="C1191" t="str">
        <f>"オカヤマケン　ショクヒン　ノ　アンゼン　オ　マモルカイ　カイホウ"</f>
        <v>オカヤマケン　ショクヒン　ノ　アンゼン　オ　マモルカイ　カイホウ</v>
      </c>
      <c r="D1191" t="str">
        <f>"岡山県食品の安全を守る会"</f>
        <v>岡山県食品の安全を守る会</v>
      </c>
      <c r="E1191" t="str">
        <f>"オカヤマケンショクヒンノアンゼンオマモルカイ"</f>
        <v>オカヤマケンショクヒンノアンゼンオマモルカイ</v>
      </c>
      <c r="F1191" t="str">
        <f>"岡山"</f>
        <v>岡山</v>
      </c>
      <c r="G1191" t="str">
        <f>"頻度不明"</f>
        <v>頻度不明</v>
      </c>
      <c r="H1191" t="str">
        <f>"2002222300809"</f>
        <v>2002222300809</v>
      </c>
      <c r="I1191" t="str">
        <f>HYPERLINK("#", "https://opac.libnet.pref.okayama.jp/licsxp-opac/WOpacMsgNewListToTifTilDetailAction.do?tilcod=2002222300809")</f>
        <v>https://opac.libnet.pref.okayama.jp/licsxp-opac/WOpacMsgNewListToTifTilDetailAction.do?tilcod=2002222300809</v>
      </c>
    </row>
    <row r="1192" spans="1:9" x14ac:dyDescent="0.4">
      <c r="A1192" t="str">
        <f>"岡山県植物研究会誌"</f>
        <v>岡山県植物研究会誌</v>
      </c>
      <c r="B1192" s="1" t="str">
        <f t="shared" si="69"/>
        <v>岡山県植物研究会誌</v>
      </c>
      <c r="C1192" t="str">
        <f>"オカヤマケン　ショクブツ　ケンキュウカイシ"</f>
        <v>オカヤマケン　ショクブツ　ケンキュウカイシ</v>
      </c>
      <c r="D1192" t="str">
        <f>"岡山県植物研究会"</f>
        <v>岡山県植物研究会</v>
      </c>
      <c r="E1192" t="str">
        <f>"オカヤマケンショクブツケンキュウカイ"</f>
        <v>オカヤマケンショクブツケンキュウカイ</v>
      </c>
      <c r="F1192" t="str">
        <f>""</f>
        <v/>
      </c>
      <c r="G1192" t="str">
        <f>"年刊"</f>
        <v>年刊</v>
      </c>
      <c r="H1192" t="str">
        <f>"2002222286661"</f>
        <v>2002222286661</v>
      </c>
      <c r="I1192" t="str">
        <f>HYPERLINK("#", "https://opac.libnet.pref.okayama.jp/licsxp-opac/WOpacMsgNewListToTifTilDetailAction.do?tilcod=2002222286661")</f>
        <v>https://opac.libnet.pref.okayama.jp/licsxp-opac/WOpacMsgNewListToTifTilDetailAction.do?tilcod=2002222286661</v>
      </c>
    </row>
    <row r="1193" spans="1:9" x14ac:dyDescent="0.4">
      <c r="A1193" t="str">
        <f>"岡山県職労"</f>
        <v>岡山県職労</v>
      </c>
      <c r="B1193" s="1" t="str">
        <f t="shared" si="69"/>
        <v>岡山県職労</v>
      </c>
      <c r="C1193" t="str">
        <f>"オカヤマケン　ショクロウ"</f>
        <v>オカヤマケン　ショクロウ</v>
      </c>
      <c r="D1193" t="str">
        <f>"岡山県職員労働組合"</f>
        <v>岡山県職員労働組合</v>
      </c>
      <c r="E1193" t="str">
        <f>"オカヤマケン ショクイン ロウドウ クミアイ"</f>
        <v>オカヤマケン ショクイン ロウドウ クミアイ</v>
      </c>
      <c r="F1193" t="str">
        <f>"岡山"</f>
        <v>岡山</v>
      </c>
      <c r="G1193" t="str">
        <f>"旬刊"</f>
        <v>旬刊</v>
      </c>
      <c r="H1193" t="str">
        <f>"2002222300810"</f>
        <v>2002222300810</v>
      </c>
      <c r="I1193" t="str">
        <f>HYPERLINK("#", "https://opac.libnet.pref.okayama.jp/licsxp-opac/WOpacMsgNewListToTifTilDetailAction.do?tilcod=2002222300810")</f>
        <v>https://opac.libnet.pref.okayama.jp/licsxp-opac/WOpacMsgNewListToTifTilDetailAction.do?tilcod=2002222300810</v>
      </c>
    </row>
    <row r="1194" spans="1:9" x14ac:dyDescent="0.4">
      <c r="A1194" t="str">
        <f>"岡山県職労；号外"</f>
        <v>岡山県職労；号外</v>
      </c>
      <c r="B1194" s="1" t="str">
        <f t="shared" si="69"/>
        <v>岡山県職労；号外</v>
      </c>
      <c r="C1194" t="str">
        <f>"オカヤマケン　ショクロウ＊ゴウガイ"</f>
        <v>オカヤマケン　ショクロウ＊ゴウガイ</v>
      </c>
      <c r="D1194" t="str">
        <f>"岡山県職員労働組合"</f>
        <v>岡山県職員労働組合</v>
      </c>
      <c r="E1194" t="str">
        <f>"オカヤマケン ショクイン ロウドウ クミアイ"</f>
        <v>オカヤマケン ショクイン ロウドウ クミアイ</v>
      </c>
      <c r="F1194" t="str">
        <f>"岡山"</f>
        <v>岡山</v>
      </c>
      <c r="G1194" t="str">
        <f>"不定期刊"</f>
        <v>不定期刊</v>
      </c>
      <c r="H1194" t="str">
        <f>"2002222300811"</f>
        <v>2002222300811</v>
      </c>
      <c r="I1194" t="str">
        <f>HYPERLINK("#", "https://opac.libnet.pref.okayama.jp/licsxp-opac/WOpacMsgNewListToTifTilDetailAction.do?tilcod=2002222300811")</f>
        <v>https://opac.libnet.pref.okayama.jp/licsxp-opac/WOpacMsgNewListToTifTilDetailAction.do?tilcod=2002222300811</v>
      </c>
    </row>
    <row r="1195" spans="1:9" x14ac:dyDescent="0.4">
      <c r="A1195" t="str">
        <f>"岡山県職労；青年部版・号外"</f>
        <v>岡山県職労；青年部版・号外</v>
      </c>
      <c r="B1195" s="1" t="str">
        <f t="shared" si="69"/>
        <v>岡山県職労；青年部版・号外</v>
      </c>
      <c r="C1195" t="str">
        <f>"オカヤマケン　ショクロウ＊セイネンブバン　ゴウガイ"</f>
        <v>オカヤマケン　ショクロウ＊セイネンブバン　ゴウガイ</v>
      </c>
      <c r="D1195" t="str">
        <f>"自治労岡山県職員労働組合"</f>
        <v>自治労岡山県職員労働組合</v>
      </c>
      <c r="E1195" t="str">
        <f>"ジチロウオカヤマケンショクインロウドウクミアイ"</f>
        <v>ジチロウオカヤマケンショクインロウドウクミアイ</v>
      </c>
      <c r="F1195" t="str">
        <f>"岡山"</f>
        <v>岡山</v>
      </c>
      <c r="G1195" t="str">
        <f>"旬刊"</f>
        <v>旬刊</v>
      </c>
      <c r="H1195" t="str">
        <f>"2002222300812"</f>
        <v>2002222300812</v>
      </c>
      <c r="I1195" t="str">
        <f>HYPERLINK("#", "https://opac.libnet.pref.okayama.jp/licsxp-opac/WOpacMsgNewListToTifTilDetailAction.do?tilcod=2002222300812")</f>
        <v>https://opac.libnet.pref.okayama.jp/licsxp-opac/WOpacMsgNewListToTifTilDetailAction.do?tilcod=2002222300812</v>
      </c>
    </row>
    <row r="1196" spans="1:9" x14ac:dyDescent="0.4">
      <c r="A1196" t="str">
        <f>"岡山県職労；婦人部だより・号外"</f>
        <v>岡山県職労；婦人部だより・号外</v>
      </c>
      <c r="B1196" s="1" t="str">
        <f t="shared" si="69"/>
        <v>岡山県職労；婦人部だより・号外</v>
      </c>
      <c r="C1196" t="str">
        <f>"オカヤマケン　ショクロウ＊フジンブ　ダヨリ　ゴウガイ"</f>
        <v>オカヤマケン　ショクロウ＊フジンブ　ダヨリ　ゴウガイ</v>
      </c>
      <c r="D1196" t="str">
        <f>"岡山県職員労働組合"</f>
        <v>岡山県職員労働組合</v>
      </c>
      <c r="E1196" t="str">
        <f>"オカヤマケン ショクイン ロウドウ クミアイ"</f>
        <v>オカヤマケン ショクイン ロウドウ クミアイ</v>
      </c>
      <c r="F1196" t="str">
        <f>"岡山"</f>
        <v>岡山</v>
      </c>
      <c r="G1196" t="str">
        <f>"旬刊"</f>
        <v>旬刊</v>
      </c>
      <c r="H1196" t="str">
        <f>"2002222300813"</f>
        <v>2002222300813</v>
      </c>
      <c r="I1196" t="str">
        <f>HYPERLINK("#", "https://opac.libnet.pref.okayama.jp/licsxp-opac/WOpacMsgNewListToTifTilDetailAction.do?tilcod=2002222300813")</f>
        <v>https://opac.libnet.pref.okayama.jp/licsxp-opac/WOpacMsgNewListToTifTilDetailAction.do?tilcod=2002222300813</v>
      </c>
    </row>
    <row r="1197" spans="1:9" x14ac:dyDescent="0.4">
      <c r="A1197" t="str">
        <f>"〔岡山県女子師範学校岡山県立岡山高等女学校〕校友会雑誌"</f>
        <v>〔岡山県女子師範学校岡山県立岡山高等女学校〕校友会雑誌</v>
      </c>
      <c r="B1197" s="1" t="str">
        <f t="shared" si="69"/>
        <v>〔岡山県女子師範学校岡山県立岡山高等女学校〕校友会雑誌</v>
      </c>
      <c r="C1197" t="str">
        <f>"オカヤマケン　ジョシ　シハン　ガッコウ　オカヤマケンリツ　オカヤマ　コウトウ　ジョガッコウ＊コウユウカイ　ザッシ"</f>
        <v>オカヤマケン　ジョシ　シハン　ガッコウ　オカヤマケンリツ　オカヤマ　コウトウ　ジョガッコウ＊コウユウカイ　ザッシ</v>
      </c>
      <c r="D1197" t="str">
        <f>"岡山県女子師範学校岡山県立岡山高等女学校校友会"</f>
        <v>岡山県女子師範学校岡山県立岡山高等女学校校友会</v>
      </c>
      <c r="E1197" t="str">
        <f>"オカヤマケンジョシシハンガッコウオカヤマケンリツオカヤマコウトウジョガッコウコウユウカイ"</f>
        <v>オカヤマケンジョシシハンガッコウオカヤマケンリツオカヤマコウトウジョガッコウコウユウカイ</v>
      </c>
      <c r="F1197" t="str">
        <f>""</f>
        <v/>
      </c>
      <c r="G1197" t="str">
        <f t="shared" ref="G1197:G1202" si="70">"頻度不明"</f>
        <v>頻度不明</v>
      </c>
      <c r="H1197" t="str">
        <f>"2002222287773"</f>
        <v>2002222287773</v>
      </c>
      <c r="I1197" t="str">
        <f>HYPERLINK("#", "https://opac.libnet.pref.okayama.jp/licsxp-opac/WOpacMsgNewListToTifTilDetailAction.do?tilcod=2002222287773")</f>
        <v>https://opac.libnet.pref.okayama.jp/licsxp-opac/WOpacMsgNewListToTifTilDetailAction.do?tilcod=2002222287773</v>
      </c>
    </row>
    <row r="1198" spans="1:9" x14ac:dyDescent="0.4">
      <c r="A1198" t="str">
        <f>"〔岡山県女子師範学校校友会〕桂の友・学友"</f>
        <v>〔岡山県女子師範学校校友会〕桂の友・学友</v>
      </c>
      <c r="B1198" s="1" t="str">
        <f t="shared" si="69"/>
        <v>〔岡山県女子師範学校校友会〕桂の友・学友</v>
      </c>
      <c r="C1198" t="str">
        <f>"オカヤマケン　ジョシ　シハン　ガッコウ　コウユウカイ＊カツラ　ノ　トモ　ガクユウ"</f>
        <v>オカヤマケン　ジョシ　シハン　ガッコウ　コウユウカイ＊カツラ　ノ　トモ　ガクユウ</v>
      </c>
      <c r="D1198" t="str">
        <f>"岡山県女子師範学校"</f>
        <v>岡山県女子師範学校</v>
      </c>
      <c r="E1198" t="str">
        <f>"オカヤマケン ジョシ シハン ガッコウ"</f>
        <v>オカヤマケン ジョシ シハン ガッコウ</v>
      </c>
      <c r="F1198" t="str">
        <f>"岡山"</f>
        <v>岡山</v>
      </c>
      <c r="G1198" t="str">
        <f t="shared" si="70"/>
        <v>頻度不明</v>
      </c>
      <c r="H1198" t="str">
        <f>"2002222289823"</f>
        <v>2002222289823</v>
      </c>
      <c r="I1198" t="str">
        <f>HYPERLINK("#", "https://opac.libnet.pref.okayama.jp/licsxp-opac/WOpacMsgNewListToTifTilDetailAction.do?tilcod=2002222289823")</f>
        <v>https://opac.libnet.pref.okayama.jp/licsxp-opac/WOpacMsgNewListToTifTilDetailAction.do?tilcod=2002222289823</v>
      </c>
    </row>
    <row r="1199" spans="1:9" x14ac:dyDescent="0.4">
      <c r="A1199" t="str">
        <f>"〔岡山県女子師範学校〕校友会誌"</f>
        <v>〔岡山県女子師範学校〕校友会誌</v>
      </c>
      <c r="B1199" s="1" t="str">
        <f t="shared" si="69"/>
        <v>〔岡山県女子師範学校〕校友会誌</v>
      </c>
      <c r="C1199" t="str">
        <f>"オカヤマケン　ジョシ　シハン　ガッコウ　コウユウカイシ"</f>
        <v>オカヤマケン　ジョシ　シハン　ガッコウ　コウユウカイシ</v>
      </c>
      <c r="D1199" t="str">
        <f>"岡山県女子師範学校校友会"</f>
        <v>岡山県女子師範学校校友会</v>
      </c>
      <c r="E1199" t="str">
        <f>"オカヤマケンジョシシハンガッコウコウユウカイ"</f>
        <v>オカヤマケンジョシシハンガッコウコウユウカイ</v>
      </c>
      <c r="F1199" t="str">
        <f>""</f>
        <v/>
      </c>
      <c r="G1199" t="str">
        <f t="shared" si="70"/>
        <v>頻度不明</v>
      </c>
      <c r="H1199" t="str">
        <f>"2002222286671"</f>
        <v>2002222286671</v>
      </c>
      <c r="I1199" t="str">
        <f>HYPERLINK("#", "https://opac.libnet.pref.okayama.jp/licsxp-opac/WOpacMsgNewListToTifTilDetailAction.do?tilcod=2002222286671")</f>
        <v>https://opac.libnet.pref.okayama.jp/licsxp-opac/WOpacMsgNewListToTifTilDetailAction.do?tilcod=2002222286671</v>
      </c>
    </row>
    <row r="1200" spans="1:9" x14ac:dyDescent="0.4">
      <c r="A1200" t="str">
        <f>"[岡山県書道連盟]会報"</f>
        <v>[岡山県書道連盟]会報</v>
      </c>
      <c r="B1200" s="1" t="str">
        <f t="shared" si="69"/>
        <v>[岡山県書道連盟]会報</v>
      </c>
      <c r="C1200" t="str">
        <f>"オカヤマケン ショドウ レンメイ カイホウ"</f>
        <v>オカヤマケン ショドウ レンメイ カイホウ</v>
      </c>
      <c r="D1200" t="str">
        <f>"岡山県書道連盟"</f>
        <v>岡山県書道連盟</v>
      </c>
      <c r="E1200" t="str">
        <f>"オカヤマケン ショドウ レンメイ"</f>
        <v>オカヤマケン ショドウ レンメイ</v>
      </c>
      <c r="F1200" t="str">
        <f>"岡山"</f>
        <v>岡山</v>
      </c>
      <c r="G1200" t="str">
        <f t="shared" si="70"/>
        <v>頻度不明</v>
      </c>
      <c r="H1200" t="str">
        <f>"2002222286681"</f>
        <v>2002222286681</v>
      </c>
      <c r="I1200" t="str">
        <f>HYPERLINK("#", "https://opac.libnet.pref.okayama.jp/licsxp-opac/WOpacMsgNewListToTifTilDetailAction.do?tilcod=2002222286681")</f>
        <v>https://opac.libnet.pref.okayama.jp/licsxp-opac/WOpacMsgNewListToTifTilDetailAction.do?tilcod=2002222286681</v>
      </c>
    </row>
    <row r="1201" spans="1:9" x14ac:dyDescent="0.4">
      <c r="A1201" t="str">
        <f>"岡山県私立各種学校振興会時報"</f>
        <v>岡山県私立各種学校振興会時報</v>
      </c>
      <c r="B1201" s="1" t="str">
        <f t="shared" si="69"/>
        <v>岡山県私立各種学校振興会時報</v>
      </c>
      <c r="C1201" t="str">
        <f>"オカヤマケン　シリツ　カクシュガッコウ　シンコウカイ　ジホウ"</f>
        <v>オカヤマケン　シリツ　カクシュガッコウ　シンコウカイ　ジホウ</v>
      </c>
      <c r="D1201" t="str">
        <f>"岡山県私立各種学校振興会"</f>
        <v>岡山県私立各種学校振興会</v>
      </c>
      <c r="E1201" t="str">
        <f>"オカヤマケンシリツカクシュガッコウシンコウカイ"</f>
        <v>オカヤマケンシリツカクシュガッコウシンコウカイ</v>
      </c>
      <c r="F1201" t="str">
        <f>""</f>
        <v/>
      </c>
      <c r="G1201" t="str">
        <f t="shared" si="70"/>
        <v>頻度不明</v>
      </c>
      <c r="H1201" t="str">
        <f>"2002222286691"</f>
        <v>2002222286691</v>
      </c>
      <c r="I1201" t="str">
        <f>HYPERLINK("#", "https://opac.libnet.pref.okayama.jp/licsxp-opac/WOpacMsgNewListToTifTilDetailAction.do?tilcod=2002222286691")</f>
        <v>https://opac.libnet.pref.okayama.jp/licsxp-opac/WOpacMsgNewListToTifTilDetailAction.do?tilcod=2002222286691</v>
      </c>
    </row>
    <row r="1202" spans="1:9" x14ac:dyDescent="0.4">
      <c r="A1202" t="str">
        <f>"岡山県人事委員会報"</f>
        <v>岡山県人事委員会報</v>
      </c>
      <c r="B1202" s="1" t="str">
        <f t="shared" si="69"/>
        <v>岡山県人事委員会報</v>
      </c>
      <c r="C1202" t="str">
        <f>"オカヤマケン　ジンジ　イインカイホウ"</f>
        <v>オカヤマケン　ジンジ　イインカイホウ</v>
      </c>
      <c r="D1202" t="str">
        <f>"岡山県人事委員会"</f>
        <v>岡山県人事委員会</v>
      </c>
      <c r="E1202" t="str">
        <f>"オカヤマケン ジンジ イインカイ"</f>
        <v>オカヤマケン ジンジ イインカイ</v>
      </c>
      <c r="F1202" t="str">
        <f>"岡山"</f>
        <v>岡山</v>
      </c>
      <c r="G1202" t="str">
        <f t="shared" si="70"/>
        <v>頻度不明</v>
      </c>
      <c r="H1202" t="str">
        <f>"2002222286731"</f>
        <v>2002222286731</v>
      </c>
      <c r="I1202" t="str">
        <f>HYPERLINK("#", "https://opac.libnet.pref.okayama.jp/licsxp-opac/WOpacMsgNewListToTifTilDetailAction.do?tilcod=2002222286731")</f>
        <v>https://opac.libnet.pref.okayama.jp/licsxp-opac/WOpacMsgNewListToTifTilDetailAction.do?tilcod=2002222286731</v>
      </c>
    </row>
    <row r="1203" spans="1:9" x14ac:dyDescent="0.4">
      <c r="A1203" t="str">
        <f>"岡山県神社庁庁報"</f>
        <v>岡山県神社庁庁報</v>
      </c>
      <c r="B1203" s="1" t="str">
        <f t="shared" si="69"/>
        <v>岡山県神社庁庁報</v>
      </c>
      <c r="C1203" t="str">
        <f>"オカヤマケン　ジンジャチョウチョウホウ"</f>
        <v>オカヤマケン　ジンジャチョウチョウホウ</v>
      </c>
      <c r="D1203" t="str">
        <f>"岡山県神社庁"</f>
        <v>岡山県神社庁</v>
      </c>
      <c r="E1203" t="str">
        <f>"オカヤマケン ジンジャチョウ"</f>
        <v>オカヤマケン ジンジャチョウ</v>
      </c>
      <c r="F1203" t="str">
        <f>""</f>
        <v/>
      </c>
      <c r="G1203" t="str">
        <f>"年２回刊"</f>
        <v>年２回刊</v>
      </c>
      <c r="H1203" t="str">
        <f>"2002222286741"</f>
        <v>2002222286741</v>
      </c>
      <c r="I1203" t="str">
        <f>HYPERLINK("#", "https://opac.libnet.pref.okayama.jp/licsxp-opac/WOpacMsgNewListToTifTilDetailAction.do?tilcod=2002222286741")</f>
        <v>https://opac.libnet.pref.okayama.jp/licsxp-opac/WOpacMsgNewListToTifTilDetailAction.do?tilcod=2002222286741</v>
      </c>
    </row>
    <row r="1204" spans="1:9" x14ac:dyDescent="0.4">
      <c r="A1204" t="str">
        <f>"〔岡山県尋常師範学校同窓共成会〕会誌"</f>
        <v>〔岡山県尋常師範学校同窓共成会〕会誌</v>
      </c>
      <c r="B1204" s="1" t="str">
        <f t="shared" si="69"/>
        <v>〔岡山県尋常師範学校同窓共成会〕会誌</v>
      </c>
      <c r="C1204" t="str">
        <f>"オカヤマケン　ジンジョウ　シハン　ガッコウ　ドウソウ　キョウセイカイ　カイシ"</f>
        <v>オカヤマケン　ジンジョウ　シハン　ガッコウ　ドウソウ　キョウセイカイ　カイシ</v>
      </c>
      <c r="D1204" t="str">
        <f>"岡山県尋常師範学校同窓共成会"</f>
        <v>岡山県尋常師範学校同窓共成会</v>
      </c>
      <c r="E1204" t="str">
        <f>"オカヤマケンジンジョウシハンガッコウドウソウキョウセイカイ"</f>
        <v>オカヤマケンジンジョウシハンガッコウドウソウキョウセイカイ</v>
      </c>
      <c r="F1204" t="str">
        <f>"〔岡山〕"</f>
        <v>〔岡山〕</v>
      </c>
      <c r="G1204" t="str">
        <f>"不定期刊"</f>
        <v>不定期刊</v>
      </c>
      <c r="H1204" t="str">
        <f>"2002222286751"</f>
        <v>2002222286751</v>
      </c>
      <c r="I1204" t="str">
        <f>HYPERLINK("#", "https://opac.libnet.pref.okayama.jp/licsxp-opac/WOpacMsgNewListToTifTilDetailAction.do?tilcod=2002222286751")</f>
        <v>https://opac.libnet.pref.okayama.jp/licsxp-opac/WOpacMsgNewListToTifTilDetailAction.do?tilcod=2002222286751</v>
      </c>
    </row>
    <row r="1205" spans="1:9" x14ac:dyDescent="0.4">
      <c r="A1205" t="str">
        <f>"岡山県神職会会報"</f>
        <v>岡山県神職会会報</v>
      </c>
      <c r="B1205" s="1" t="str">
        <f t="shared" si="69"/>
        <v>岡山県神職会会報</v>
      </c>
      <c r="C1205" t="str">
        <f>"オカヤマケン　シンショクカイ　カイホウ"</f>
        <v>オカヤマケン　シンショクカイ　カイホウ</v>
      </c>
      <c r="D1205" t="str">
        <f>"岡山県神職会"</f>
        <v>岡山県神職会</v>
      </c>
      <c r="E1205" t="str">
        <f>"オカヤマケン シンショクカイ"</f>
        <v>オカヤマケン シンショクカイ</v>
      </c>
      <c r="F1205" t="str">
        <f>"岡山市"</f>
        <v>岡山市</v>
      </c>
      <c r="G1205" t="str">
        <f>"頻度不明"</f>
        <v>頻度不明</v>
      </c>
      <c r="H1205" t="str">
        <f>"2002222285131"</f>
        <v>2002222285131</v>
      </c>
      <c r="I1205" t="str">
        <f>HYPERLINK("#", "https://opac.libnet.pref.okayama.jp/licsxp-opac/WOpacMsgNewListToTifTilDetailAction.do?tilcod=2002222285131")</f>
        <v>https://opac.libnet.pref.okayama.jp/licsxp-opac/WOpacMsgNewListToTifTilDetailAction.do?tilcod=2002222285131</v>
      </c>
    </row>
    <row r="1206" spans="1:9" x14ac:dyDescent="0.4">
      <c r="A1206" t="str">
        <f>"〔岡山県真備高等学校〕真備"</f>
        <v>〔岡山県真備高等学校〕真備</v>
      </c>
      <c r="B1206" s="1" t="str">
        <f t="shared" si="69"/>
        <v>〔岡山県真備高等学校〕真備</v>
      </c>
      <c r="C1206" t="str">
        <f>"オカヤマケン　シンビ　コウトウ　ガッコウ＊シンビ"</f>
        <v>オカヤマケン　シンビ　コウトウ　ガッコウ＊シンビ</v>
      </c>
      <c r="D1206" t="str">
        <f>"岡山県真備高等学校"</f>
        <v>岡山県真備高等学校</v>
      </c>
      <c r="E1206" t="str">
        <f>"オカヤマケンシンビコウトウガッコウ"</f>
        <v>オカヤマケンシンビコウトウガッコウ</v>
      </c>
      <c r="F1206" t="str">
        <f>""</f>
        <v/>
      </c>
      <c r="G1206" t="str">
        <f>"年刊"</f>
        <v>年刊</v>
      </c>
      <c r="H1206" t="str">
        <f>"2002222288873"</f>
        <v>2002222288873</v>
      </c>
      <c r="I1206" t="str">
        <f>HYPERLINK("#", "https://opac.libnet.pref.okayama.jp/licsxp-opac/WOpacMsgNewListToTifTilDetailAction.do?tilcod=2002222288873")</f>
        <v>https://opac.libnet.pref.okayama.jp/licsxp-opac/WOpacMsgNewListToTifTilDetailAction.do?tilcod=2002222288873</v>
      </c>
    </row>
    <row r="1207" spans="1:9" x14ac:dyDescent="0.4">
      <c r="A1207" t="str">
        <f>"岡山県診療放射線技師会会誌"</f>
        <v>岡山県診療放射線技師会会誌</v>
      </c>
      <c r="B1207" s="1" t="str">
        <f t="shared" si="69"/>
        <v>岡山県診療放射線技師会会誌</v>
      </c>
      <c r="C1207" t="str">
        <f>"オカヤマケン シンリョウ ホウシャセン ギシカイ カイシ"</f>
        <v>オカヤマケン シンリョウ ホウシャセン ギシカイ カイシ</v>
      </c>
      <c r="D1207" t="str">
        <f>"岡山県診療放射線技師会"</f>
        <v>岡山県診療放射線技師会</v>
      </c>
      <c r="E1207" t="str">
        <f>"オカヤマケン シンリョウ ホウシャセン ギシ カイ"</f>
        <v>オカヤマケン シンリョウ ホウシャセン ギシ カイ</v>
      </c>
      <c r="F1207" t="str">
        <f>"岡山"</f>
        <v>岡山</v>
      </c>
      <c r="G1207" t="str">
        <f>"年刊"</f>
        <v>年刊</v>
      </c>
      <c r="H1207" t="str">
        <f>"2002222318066"</f>
        <v>2002222318066</v>
      </c>
      <c r="I1207" t="str">
        <f>HYPERLINK("#", "https://opac.libnet.pref.okayama.jp/licsxp-opac/WOpacMsgNewListToTifTilDetailAction.do?tilcod=2002222318066")</f>
        <v>https://opac.libnet.pref.okayama.jp/licsxp-opac/WOpacMsgNewListToTifTilDetailAction.do?tilcod=2002222318066</v>
      </c>
    </row>
    <row r="1208" spans="1:9" x14ac:dyDescent="0.4">
      <c r="A1208" t="str">
        <f>"岡山県水産会報"</f>
        <v>岡山県水産会報</v>
      </c>
      <c r="B1208" s="1" t="str">
        <f t="shared" si="69"/>
        <v>岡山県水産会報</v>
      </c>
      <c r="C1208" t="str">
        <f>"オカヤマケン　スイサンカイホウ"</f>
        <v>オカヤマケン　スイサンカイホウ</v>
      </c>
      <c r="D1208" t="str">
        <f>"岡山県水産会"</f>
        <v>岡山県水産会</v>
      </c>
      <c r="E1208" t="str">
        <f>"オカヤマケン　スイサンカイ"</f>
        <v>オカヤマケン　スイサンカイ</v>
      </c>
      <c r="F1208" t="str">
        <f>""</f>
        <v/>
      </c>
      <c r="G1208" t="str">
        <f>"頻度不明"</f>
        <v>頻度不明</v>
      </c>
      <c r="H1208" t="str">
        <f>"2002222286761"</f>
        <v>2002222286761</v>
      </c>
      <c r="I1208" t="str">
        <f>HYPERLINK("#", "https://opac.libnet.pref.okayama.jp/licsxp-opac/WOpacMsgNewListToTifTilDetailAction.do?tilcod=2002222286761")</f>
        <v>https://opac.libnet.pref.okayama.jp/licsxp-opac/WOpacMsgNewListToTifTilDetailAction.do?tilcod=2002222286761</v>
      </c>
    </row>
    <row r="1209" spans="1:9" x14ac:dyDescent="0.4">
      <c r="A1209" t="str">
        <f>"岡山県聖学会パンフレット"</f>
        <v>岡山県聖学会パンフレット</v>
      </c>
      <c r="B1209" s="1" t="str">
        <f t="shared" si="69"/>
        <v>岡山県聖学会パンフレット</v>
      </c>
      <c r="C1209" t="str">
        <f>"オカヤマケン　セイガクカイ　パンフレット"</f>
        <v>オカヤマケン　セイガクカイ　パンフレット</v>
      </c>
      <c r="D1209" t="str">
        <f>"岡山県聖学会"</f>
        <v>岡山県聖学会</v>
      </c>
      <c r="E1209" t="str">
        <f>"オカヤマケン セイガクカイ"</f>
        <v>オカヤマケン セイガクカイ</v>
      </c>
      <c r="F1209" t="str">
        <f>""</f>
        <v/>
      </c>
      <c r="G1209" t="str">
        <f>"不定期刊"</f>
        <v>不定期刊</v>
      </c>
      <c r="H1209" t="str">
        <f>"2002222286771"</f>
        <v>2002222286771</v>
      </c>
      <c r="I1209" t="str">
        <f>HYPERLINK("#", "https://opac.libnet.pref.okayama.jp/licsxp-opac/WOpacMsgNewListToTifTilDetailAction.do?tilcod=2002222286771")</f>
        <v>https://opac.libnet.pref.okayama.jp/licsxp-opac/WOpacMsgNewListToTifTilDetailAction.do?tilcod=2002222286771</v>
      </c>
    </row>
    <row r="1210" spans="1:9" x14ac:dyDescent="0.4">
      <c r="A1210" t="str">
        <f>"岡山県生協連ニュース"</f>
        <v>岡山県生協連ニュース</v>
      </c>
      <c r="B1210" s="1" t="str">
        <f t="shared" si="69"/>
        <v>岡山県生協連ニュース</v>
      </c>
      <c r="C1210" t="str">
        <f>"オカヤマケン セイキョウレン ニュース"</f>
        <v>オカヤマケン セイキョウレン ニュース</v>
      </c>
      <c r="D1210" t="str">
        <f>"岡山県生活協同組合連合会"</f>
        <v>岡山県生活協同組合連合会</v>
      </c>
      <c r="E1210" t="str">
        <f>"オカヤマケン セイカツ キョウドウ クミアイ レンゴウカイ"</f>
        <v>オカヤマケン セイカツ キョウドウ クミアイ レンゴウカイ</v>
      </c>
      <c r="F1210" t="str">
        <f>"岡山"</f>
        <v>岡山</v>
      </c>
      <c r="G1210" t="str">
        <f>"頻度不明"</f>
        <v>頻度不明</v>
      </c>
      <c r="H1210" t="str">
        <f>"2002222331149"</f>
        <v>2002222331149</v>
      </c>
      <c r="I1210" t="str">
        <f>HYPERLINK("#", "https://opac.libnet.pref.okayama.jp/licsxp-opac/WOpacMsgNewListToTifTilDetailAction.do?tilcod=2002222331149")</f>
        <v>https://opac.libnet.pref.okayama.jp/licsxp-opac/WOpacMsgNewListToTifTilDetailAction.do?tilcod=2002222331149</v>
      </c>
    </row>
    <row r="1211" spans="1:9" x14ac:dyDescent="0.4">
      <c r="A1211" t="str">
        <f>"岡山県青少年総合対策推進だより"</f>
        <v>岡山県青少年総合対策推進だより</v>
      </c>
      <c r="B1211" s="1" t="str">
        <f t="shared" si="69"/>
        <v>岡山県青少年総合対策推進だより</v>
      </c>
      <c r="C1211" t="str">
        <f>"オカヤマケン　セイショウネン　ソウゴウ　タイサク　スイシン　ダヨリ"</f>
        <v>オカヤマケン　セイショウネン　ソウゴウ　タイサク　スイシン　ダヨリ</v>
      </c>
      <c r="D1211" t="str">
        <f>"岡山県青少年総合対策本部"</f>
        <v>岡山県青少年総合対策本部</v>
      </c>
      <c r="E1211" t="str">
        <f>"オカヤマケン セイショウネン ソウゴウ タイサク ホンブ"</f>
        <v>オカヤマケン セイショウネン ソウゴウ タイサク ホンブ</v>
      </c>
      <c r="F1211" t="str">
        <f>""</f>
        <v/>
      </c>
      <c r="G1211" t="str">
        <f>"頻度不明"</f>
        <v>頻度不明</v>
      </c>
      <c r="H1211" t="str">
        <f>"2002222286781"</f>
        <v>2002222286781</v>
      </c>
      <c r="I1211" t="str">
        <f>HYPERLINK("#", "https://opac.libnet.pref.okayama.jp/licsxp-opac/WOpacMsgNewListToTifTilDetailAction.do?tilcod=2002222286781")</f>
        <v>https://opac.libnet.pref.okayama.jp/licsxp-opac/WOpacMsgNewListToTifTilDetailAction.do?tilcod=2002222286781</v>
      </c>
    </row>
    <row r="1212" spans="1:9" x14ac:dyDescent="0.4">
      <c r="A1212" t="str">
        <f>"岡山県青年教育振興会会報"</f>
        <v>岡山県青年教育振興会会報</v>
      </c>
      <c r="B1212" s="1" t="str">
        <f t="shared" si="69"/>
        <v>岡山県青年教育振興会会報</v>
      </c>
      <c r="C1212" t="str">
        <f>"オカヤマケン　セイネン　キョウイク　シンコウカイ　カイホウ"</f>
        <v>オカヤマケン　セイネン　キョウイク　シンコウカイ　カイホウ</v>
      </c>
      <c r="D1212" t="str">
        <f>"岡山県青年教育振興会"</f>
        <v>岡山県青年教育振興会</v>
      </c>
      <c r="E1212" t="str">
        <f>"オカヤマケンセイネンキョウイクシンコウカイ"</f>
        <v>オカヤマケンセイネンキョウイクシンコウカイ</v>
      </c>
      <c r="F1212" t="str">
        <f>""</f>
        <v/>
      </c>
      <c r="G1212" t="str">
        <f>"頻度不明"</f>
        <v>頻度不明</v>
      </c>
      <c r="H1212" t="str">
        <f>"2002222286801"</f>
        <v>2002222286801</v>
      </c>
      <c r="I1212" t="str">
        <f>HYPERLINK("#", "https://opac.libnet.pref.okayama.jp/licsxp-opac/WOpacMsgNewListToTifTilDetailAction.do?tilcod=2002222286801")</f>
        <v>https://opac.libnet.pref.okayama.jp/licsxp-opac/WOpacMsgNewListToTifTilDetailAction.do?tilcod=2002222286801</v>
      </c>
    </row>
    <row r="1213" spans="1:9" x14ac:dyDescent="0.4">
      <c r="A1213" t="str">
        <f>"岡山県青年図書館員研修会 研修"</f>
        <v>岡山県青年図書館員研修会 研修</v>
      </c>
      <c r="B1213" s="1" t="str">
        <f t="shared" si="69"/>
        <v>岡山県青年図書館員研修会 研修</v>
      </c>
      <c r="C1213" t="str">
        <f>"オカヤマケン　セイネン　トショカンイン　ケンシュウカイ　ケンシュウ"</f>
        <v>オカヤマケン　セイネン　トショカンイン　ケンシュウカイ　ケンシュウ</v>
      </c>
      <c r="D1213" t="str">
        <f>"岡山県青年図書館員研修会"</f>
        <v>岡山県青年図書館員研修会</v>
      </c>
      <c r="E1213" t="str">
        <f>"オカヤマケンセイネントショカンインケンシュウカイ"</f>
        <v>オカヤマケンセイネントショカンインケンシュウカイ</v>
      </c>
      <c r="F1213" t="str">
        <f>"岡山"</f>
        <v>岡山</v>
      </c>
      <c r="G1213" t="str">
        <f>"不定期刊"</f>
        <v>不定期刊</v>
      </c>
      <c r="H1213" t="str">
        <f>"2002222292051"</f>
        <v>2002222292051</v>
      </c>
      <c r="I1213" t="str">
        <f>HYPERLINK("#", "https://opac.libnet.pref.okayama.jp/licsxp-opac/WOpacMsgNewListToTifTilDetailAction.do?tilcod=2002222292051")</f>
        <v>https://opac.libnet.pref.okayama.jp/licsxp-opac/WOpacMsgNewListToTifTilDetailAction.do?tilcod=2002222292051</v>
      </c>
    </row>
    <row r="1214" spans="1:9" x14ac:dyDescent="0.4">
      <c r="A1214" t="str">
        <f>"岡山県青年聯盟機関"</f>
        <v>岡山県青年聯盟機関</v>
      </c>
      <c r="B1214" s="1" t="str">
        <f t="shared" si="69"/>
        <v>岡山県青年聯盟機関</v>
      </c>
      <c r="C1214" t="str">
        <f>"オカヤマケン セイネン レンメイ キカン"</f>
        <v>オカヤマケン セイネン レンメイ キカン</v>
      </c>
      <c r="D1214" t="str">
        <f>"聯盟社"</f>
        <v>聯盟社</v>
      </c>
      <c r="E1214" t="str">
        <f>"レンメイシャ"</f>
        <v>レンメイシャ</v>
      </c>
      <c r="F1214" t="str">
        <f>"岡山"</f>
        <v>岡山</v>
      </c>
      <c r="G1214" t="str">
        <f>"月刊"</f>
        <v>月刊</v>
      </c>
      <c r="H1214" t="str">
        <f>"2002222332829"</f>
        <v>2002222332829</v>
      </c>
      <c r="I1214" t="str">
        <f>HYPERLINK("#", "https://opac.libnet.pref.okayama.jp/licsxp-opac/WOpacMsgNewListToTifTilDetailAction.do?tilcod=2002222332829")</f>
        <v>https://opac.libnet.pref.okayama.jp/licsxp-opac/WOpacMsgNewListToTifTilDetailAction.do?tilcod=2002222332829</v>
      </c>
    </row>
    <row r="1215" spans="1:9" x14ac:dyDescent="0.4">
      <c r="A1215" t="str">
        <f>"[岡山県青年会]会報"</f>
        <v>[岡山県青年会]会報</v>
      </c>
      <c r="B1215" s="1" t="str">
        <f t="shared" si="69"/>
        <v>[岡山県青年会]会報</v>
      </c>
      <c r="C1215" t="str">
        <f>"オカヤマケン セイネンカイ カイホウ"</f>
        <v>オカヤマケン セイネンカイ カイホウ</v>
      </c>
      <c r="D1215" t="str">
        <f>"岡山県青年会"</f>
        <v>岡山県青年会</v>
      </c>
      <c r="E1215" t="str">
        <f>"オカヤマケン セイネンカイ"</f>
        <v>オカヤマケン セイネンカイ</v>
      </c>
      <c r="F1215" t="str">
        <f>"東京"</f>
        <v>東京</v>
      </c>
      <c r="G1215" t="str">
        <f>"年刊"</f>
        <v>年刊</v>
      </c>
      <c r="H1215" t="str">
        <f>"2002222286791"</f>
        <v>2002222286791</v>
      </c>
      <c r="I1215" t="str">
        <f>HYPERLINK("#", "https://opac.libnet.pref.okayama.jp/licsxp-opac/WOpacMsgNewListToTifTilDetailAction.do?tilcod=2002222286791")</f>
        <v>https://opac.libnet.pref.okayama.jp/licsxp-opac/WOpacMsgNewListToTifTilDetailAction.do?tilcod=2002222286791</v>
      </c>
    </row>
    <row r="1216" spans="1:9" x14ac:dyDescent="0.4">
      <c r="A1216" t="str">
        <f>"岡山県青年館フリーマガジン SEINENKAN CLUB + LIMITED EDITION"</f>
        <v>岡山県青年館フリーマガジン SEINENKAN CLUB + LIMITED EDITION</v>
      </c>
      <c r="B1216" s="1" t="str">
        <f t="shared" si="69"/>
        <v>岡山県青年館フリーマガジン SEINENKAN CLUB + LIMITED EDITION</v>
      </c>
      <c r="C1216" t="str">
        <f>"オカヤマケン セイネンカン フリー マガジン セイネンカン クラブ リミテッド エディション"</f>
        <v>オカヤマケン セイネンカン フリー マガジン セイネンカン クラブ リミテッド エディション</v>
      </c>
      <c r="D1216" t="str">
        <f>"岡山県青年館"</f>
        <v>岡山県青年館</v>
      </c>
      <c r="E1216" t="str">
        <f>"オカヤマケン セイネンカン"</f>
        <v>オカヤマケン セイネンカン</v>
      </c>
      <c r="F1216" t="str">
        <f>"岡山"</f>
        <v>岡山</v>
      </c>
      <c r="G1216" t="str">
        <f>"年刊"</f>
        <v>年刊</v>
      </c>
      <c r="H1216" t="str">
        <f>"2002222334506"</f>
        <v>2002222334506</v>
      </c>
      <c r="I1216" t="str">
        <f>HYPERLINK("#", "https://opac.libnet.pref.okayama.jp/licsxp-opac/WOpacMsgNewListToTifTilDetailAction.do?tilcod=2002222334506")</f>
        <v>https://opac.libnet.pref.okayama.jp/licsxp-opac/WOpacMsgNewListToTifTilDetailAction.do?tilcod=2002222334506</v>
      </c>
    </row>
    <row r="1217" spans="1:9" x14ac:dyDescent="0.4">
      <c r="A1217" t="str">
        <f>"岡山県赤十字奉仕団新聞"</f>
        <v>岡山県赤十字奉仕団新聞</v>
      </c>
      <c r="B1217" s="1" t="str">
        <f t="shared" si="69"/>
        <v>岡山県赤十字奉仕団新聞</v>
      </c>
      <c r="C1217" t="str">
        <f>"オカヤマケン　セキジュウジ　ホウシダン　シンブン"</f>
        <v>オカヤマケン　セキジュウジ　ホウシダン　シンブン</v>
      </c>
      <c r="D1217" t="str">
        <f>"日本赤十字社岡山県支部"</f>
        <v>日本赤十字社岡山県支部</v>
      </c>
      <c r="E1217" t="str">
        <f>"ニホン セキジュウジシャ オカヤマケン シブ"</f>
        <v>ニホン セキジュウジシャ オカヤマケン シブ</v>
      </c>
      <c r="F1217" t="str">
        <f>"岡山"</f>
        <v>岡山</v>
      </c>
      <c r="G1217" t="str">
        <f>"年刊"</f>
        <v>年刊</v>
      </c>
      <c r="H1217" t="str">
        <f>"2002222302176"</f>
        <v>2002222302176</v>
      </c>
      <c r="I1217" t="str">
        <f>HYPERLINK("#", "https://opac.libnet.pref.okayama.jp/licsxp-opac/WOpacMsgNewListToTifTilDetailAction.do?tilcod=2002222302176")</f>
        <v>https://opac.libnet.pref.okayama.jp/licsxp-opac/WOpacMsgNewListToTifTilDetailAction.do?tilcod=2002222302176</v>
      </c>
    </row>
    <row r="1218" spans="1:9" x14ac:dyDescent="0.4">
      <c r="A1218" t="str">
        <f>"〔岡山県瀬戸農芸学校〕自彊"</f>
        <v>〔岡山県瀬戸農芸学校〕自彊</v>
      </c>
      <c r="B1218" s="1" t="str">
        <f t="shared" si="69"/>
        <v>〔岡山県瀬戸農芸学校〕自彊</v>
      </c>
      <c r="C1218" t="str">
        <f>"オカヤマケン　セト　ノウゲイ　ガッコウ＊ジキョウ"</f>
        <v>オカヤマケン　セト　ノウゲイ　ガッコウ＊ジキョウ</v>
      </c>
      <c r="D1218" t="str">
        <f>"岡山県瀬戸農芸学校自彊報国団"</f>
        <v>岡山県瀬戸農芸学校自彊報国団</v>
      </c>
      <c r="E1218" t="str">
        <f>"オカヤマケンセトノウゲイガッコウジキョウホウコクダン"</f>
        <v>オカヤマケンセトノウゲイガッコウジキョウホウコクダン</v>
      </c>
      <c r="F1218" t="str">
        <f>"瀬戸町（赤磐郡）"</f>
        <v>瀬戸町（赤磐郡）</v>
      </c>
      <c r="G1218" t="str">
        <f>"頻度不明"</f>
        <v>頻度不明</v>
      </c>
      <c r="H1218" t="str">
        <f>"2002222287833"</f>
        <v>2002222287833</v>
      </c>
      <c r="I1218" t="str">
        <f>HYPERLINK("#", "https://opac.libnet.pref.okayama.jp/licsxp-opac/WOpacMsgNewListToTifTilDetailAction.do?tilcod=2002222287833")</f>
        <v>https://opac.libnet.pref.okayama.jp/licsxp-opac/WOpacMsgNewListToTifTilDetailAction.do?tilcod=2002222287833</v>
      </c>
    </row>
    <row r="1219" spans="1:9" x14ac:dyDescent="0.4">
      <c r="A1219" t="str">
        <f>"[岡山県総合教育センター]研究紀要"</f>
        <v>[岡山県総合教育センター]研究紀要</v>
      </c>
      <c r="B1219" s="1" t="str">
        <f t="shared" si="69"/>
        <v>[岡山県総合教育センター]研究紀要</v>
      </c>
      <c r="C1219" t="str">
        <f>"オカヤマケン ソウゴウ キョウイク センター ケンキュウ キヨウ"</f>
        <v>オカヤマケン ソウゴウ キョウイク センター ケンキュウ キヨウ</v>
      </c>
      <c r="D1219" t="str">
        <f>"岡山県総合教育センター"</f>
        <v>岡山県総合教育センター</v>
      </c>
      <c r="E1219" t="str">
        <f>"オカヤマケン ソウゴウ キョウイク センター"</f>
        <v>オカヤマケン ソウゴウ キョウイク センター</v>
      </c>
      <c r="F1219" t="str">
        <f>"吉備中央町（加賀郡）"</f>
        <v>吉備中央町（加賀郡）</v>
      </c>
      <c r="G1219" t="str">
        <f>"年刊"</f>
        <v>年刊</v>
      </c>
      <c r="H1219" t="str">
        <f>"2002222301763"</f>
        <v>2002222301763</v>
      </c>
      <c r="I1219" t="str">
        <f>HYPERLINK("#", "https://opac.libnet.pref.okayama.jp/licsxp-opac/WOpacMsgNewListToTifTilDetailAction.do?tilcod=2002222301763")</f>
        <v>https://opac.libnet.pref.okayama.jp/licsxp-opac/WOpacMsgNewListToTifTilDetailAction.do?tilcod=2002222301763</v>
      </c>
    </row>
    <row r="1220" spans="1:9" x14ac:dyDescent="0.4">
      <c r="A1220" t="str">
        <f>"[岡山県総合教育センター]研究紀要 研究の概要"</f>
        <v>[岡山県総合教育センター]研究紀要 研究の概要</v>
      </c>
      <c r="B1220" s="1" t="str">
        <f t="shared" ref="B1220:B1283" si="71">HYPERLINK("#", A1220)</f>
        <v>[岡山県総合教育センター]研究紀要 研究の概要</v>
      </c>
      <c r="C1220" t="str">
        <f>"オカヤマケン ソウゴウ キョウイク センター ケンキュウ キヨウ ケンキュウ ノ ガイヨウ "</f>
        <v xml:space="preserve">オカヤマケン ソウゴウ キョウイク センター ケンキュウ キヨウ ケンキュウ ノ ガイヨウ </v>
      </c>
      <c r="D1220" t="str">
        <f>"岡山県総合教育センター"</f>
        <v>岡山県総合教育センター</v>
      </c>
      <c r="E1220" t="str">
        <f>"オカヤマケン ソウゴウ キョウイク センター"</f>
        <v>オカヤマケン ソウゴウ キョウイク センター</v>
      </c>
      <c r="F1220" t="str">
        <f>"吉備中央町（加賀郡）"</f>
        <v>吉備中央町（加賀郡）</v>
      </c>
      <c r="G1220" t="str">
        <f>"年刊"</f>
        <v>年刊</v>
      </c>
      <c r="H1220" t="str">
        <f>"2002222319891"</f>
        <v>2002222319891</v>
      </c>
      <c r="I1220" t="str">
        <f>HYPERLINK("#", "https://opac.libnet.pref.okayama.jp/licsxp-opac/WOpacMsgNewListToTifTilDetailAction.do?tilcod=2002222319891")</f>
        <v>https://opac.libnet.pref.okayama.jp/licsxp-opac/WOpacMsgNewListToTifTilDetailAction.do?tilcod=2002222319891</v>
      </c>
    </row>
    <row r="1221" spans="1:9" x14ac:dyDescent="0.4">
      <c r="A1221" t="str">
        <f>"岡山県総合教育センターだより"</f>
        <v>岡山県総合教育センターだより</v>
      </c>
      <c r="B1221" s="1" t="str">
        <f t="shared" si="71"/>
        <v>岡山県総合教育センターだより</v>
      </c>
      <c r="C1221" t="str">
        <f>"オカヤマケン ソウゴウ キョウイク センター ダヨリ"</f>
        <v>オカヤマケン ソウゴウ キョウイク センター ダヨリ</v>
      </c>
      <c r="D1221" t="str">
        <f>"岡山県総合教育センター"</f>
        <v>岡山県総合教育センター</v>
      </c>
      <c r="E1221" t="str">
        <f>"オカヤマケン ソウゴウ キョウイク センター"</f>
        <v>オカヤマケン ソウゴウ キョウイク センター</v>
      </c>
      <c r="F1221" t="str">
        <f t="shared" ref="F1221:F1230" si="72">"岡山"</f>
        <v>岡山</v>
      </c>
      <c r="G1221" t="str">
        <f>"頻度不明"</f>
        <v>頻度不明</v>
      </c>
      <c r="H1221" t="str">
        <f>"2002222329886"</f>
        <v>2002222329886</v>
      </c>
      <c r="I1221" t="str">
        <f>HYPERLINK("#", "https://opac.libnet.pref.okayama.jp/licsxp-opac/WOpacMsgNewListToTifTilDetailAction.do?tilcod=2002222329886")</f>
        <v>https://opac.libnet.pref.okayama.jp/licsxp-opac/WOpacMsgNewListToTifTilDetailAction.do?tilcod=2002222329886</v>
      </c>
    </row>
    <row r="1222" spans="1:9" x14ac:dyDescent="0.4">
      <c r="A1222" t="str">
        <f>"岡山県総合文化センター館報"</f>
        <v>岡山県総合文化センター館報</v>
      </c>
      <c r="B1222" s="1" t="str">
        <f t="shared" si="71"/>
        <v>岡山県総合文化センター館報</v>
      </c>
      <c r="C1222" t="str">
        <f>"オカヤマケン ソウゴウ ブンカ センター カンポウ"</f>
        <v>オカヤマケン ソウゴウ ブンカ センター カンポウ</v>
      </c>
      <c r="D1222" t="str">
        <f>"岡山県総合文化センター"</f>
        <v>岡山県総合文化センター</v>
      </c>
      <c r="E1222" t="str">
        <f>"オカヤマケン ソウゴウ ブンカ センター"</f>
        <v>オカヤマケン ソウゴウ ブンカ センター</v>
      </c>
      <c r="F1222" t="str">
        <f t="shared" si="72"/>
        <v>岡山</v>
      </c>
      <c r="G1222" t="str">
        <f>"不定期刊"</f>
        <v>不定期刊</v>
      </c>
      <c r="H1222" t="str">
        <f>"2002222286831"</f>
        <v>2002222286831</v>
      </c>
      <c r="I1222" t="str">
        <f>HYPERLINK("#", "https://opac.libnet.pref.okayama.jp/licsxp-opac/WOpacMsgNewListToTifTilDetailAction.do?tilcod=2002222286831")</f>
        <v>https://opac.libnet.pref.okayama.jp/licsxp-opac/WOpacMsgNewListToTifTilDetailAction.do?tilcod=2002222286831</v>
      </c>
    </row>
    <row r="1223" spans="1:9" x14ac:dyDescent="0.4">
      <c r="A1223" t="str">
        <f>"岡山県総合文化センター新着図書目録"</f>
        <v>岡山県総合文化センター新着図書目録</v>
      </c>
      <c r="B1223" s="1" t="str">
        <f t="shared" si="71"/>
        <v>岡山県総合文化センター新着図書目録</v>
      </c>
      <c r="C1223" t="str">
        <f>"オカヤマケン ソウゴウ ブンカ センター シンチャク トショ モクロク"</f>
        <v>オカヤマケン ソウゴウ ブンカ センター シンチャク トショ モクロク</v>
      </c>
      <c r="D1223" t="str">
        <f>"岡山県総合文化センター"</f>
        <v>岡山県総合文化センター</v>
      </c>
      <c r="E1223" t="str">
        <f>"オカヤマケン ソウゴウ ブンカ センター"</f>
        <v>オカヤマケン ソウゴウ ブンカ センター</v>
      </c>
      <c r="F1223" t="str">
        <f t="shared" si="72"/>
        <v>岡山</v>
      </c>
      <c r="G1223" t="str">
        <f>"頻度不明"</f>
        <v>頻度不明</v>
      </c>
      <c r="H1223" t="str">
        <f>"2002222282104"</f>
        <v>2002222282104</v>
      </c>
      <c r="I1223" t="str">
        <f>HYPERLINK("#", "https://opac.libnet.pref.okayama.jp/licsxp-opac/WOpacMsgNewListToTifTilDetailAction.do?tilcod=2002222282104")</f>
        <v>https://opac.libnet.pref.okayama.jp/licsxp-opac/WOpacMsgNewListToTifTilDetailAction.do?tilcod=2002222282104</v>
      </c>
    </row>
    <row r="1224" spans="1:9" x14ac:dyDescent="0.4">
      <c r="A1224" t="str">
        <f>"岡山県総合文化センター日米文化センター新着図書目録"</f>
        <v>岡山県総合文化センター日米文化センター新着図書目録</v>
      </c>
      <c r="B1224" s="1" t="str">
        <f t="shared" si="71"/>
        <v>岡山県総合文化センター日米文化センター新着図書目録</v>
      </c>
      <c r="C1224" t="str">
        <f>"オカヤマケン ソウゴウ ブンカ センター ニチベイ ブンカ センター シンチャク トショ モクロク"</f>
        <v>オカヤマケン ソウゴウ ブンカ センター ニチベイ ブンカ センター シンチャク トショ モクロク</v>
      </c>
      <c r="D1224" t="str">
        <f>"岡山県総合文化センター"</f>
        <v>岡山県総合文化センター</v>
      </c>
      <c r="E1224" t="str">
        <f>"オカヤマケン ソウゴウ ブンカ センター"</f>
        <v>オカヤマケン ソウゴウ ブンカ センター</v>
      </c>
      <c r="F1224" t="str">
        <f t="shared" si="72"/>
        <v>岡山</v>
      </c>
      <c r="G1224" t="str">
        <f>"頻度不明"</f>
        <v>頻度不明</v>
      </c>
      <c r="H1224" t="str">
        <f>"2002222282114"</f>
        <v>2002222282114</v>
      </c>
      <c r="I1224" t="str">
        <f>HYPERLINK("#", "https://opac.libnet.pref.okayama.jp/licsxp-opac/WOpacMsgNewListToTifTilDetailAction.do?tilcod=2002222282114")</f>
        <v>https://opac.libnet.pref.okayama.jp/licsxp-opac/WOpacMsgNewListToTifTilDetailAction.do?tilcod=2002222282114</v>
      </c>
    </row>
    <row r="1225" spans="1:9" x14ac:dyDescent="0.4">
      <c r="A1225" t="str">
        <f>"岡山県総合文化センターニュース"</f>
        <v>岡山県総合文化センターニュース</v>
      </c>
      <c r="B1225" s="1" t="str">
        <f t="shared" si="71"/>
        <v>岡山県総合文化センターニュース</v>
      </c>
      <c r="C1225" t="str">
        <f>"オカヤマケン ソウゴウ ブンカ センター ニュース"</f>
        <v>オカヤマケン ソウゴウ ブンカ センター ニュース</v>
      </c>
      <c r="D1225" t="str">
        <f>"岡山県総合文化センター"</f>
        <v>岡山県総合文化センター</v>
      </c>
      <c r="E1225" t="str">
        <f>"オカヤマケン ソウゴウ ブンカ センター"</f>
        <v>オカヤマケン ソウゴウ ブンカ センター</v>
      </c>
      <c r="F1225" t="str">
        <f t="shared" si="72"/>
        <v>岡山</v>
      </c>
      <c r="G1225" t="str">
        <f>"月刊"</f>
        <v>月刊</v>
      </c>
      <c r="H1225" t="str">
        <f>"2002222291081"</f>
        <v>2002222291081</v>
      </c>
      <c r="I1225" t="str">
        <f>HYPERLINK("#", "https://opac.libnet.pref.okayama.jp/licsxp-opac/WOpacMsgNewListToTifTilDetailAction.do?tilcod=2002222291081")</f>
        <v>https://opac.libnet.pref.okayama.jp/licsxp-opac/WOpacMsgNewListToTifTilDetailAction.do?tilcod=2002222291081</v>
      </c>
    </row>
    <row r="1226" spans="1:9" x14ac:dyDescent="0.4">
      <c r="A1226" t="str">
        <f>"[岡山県総合文化センター]Ｂ・Ｍ会報"</f>
        <v>[岡山県総合文化センター]Ｂ・Ｍ会報</v>
      </c>
      <c r="B1226" s="1" t="str">
        <f t="shared" si="71"/>
        <v>[岡山県総合文化センター]Ｂ・Ｍ会報</v>
      </c>
      <c r="C1226" t="str">
        <f>"オカヤマケン ソウゴウ ブンカ センター ビーエム　カイホウ"</f>
        <v>オカヤマケン ソウゴウ ブンカ センター ビーエム　カイホウ</v>
      </c>
      <c r="D1226" t="str">
        <f>"岡山県自動車文庫駐車場運営連絡協議会"</f>
        <v>岡山県自動車文庫駐車場運営連絡協議会</v>
      </c>
      <c r="E1226" t="str">
        <f>"オカヤマケン ジドウシャ ブンコ チュウシャジョウ ウンエイ レンラク キョウギカイ"</f>
        <v>オカヤマケン ジドウシャ ブンコ チュウシャジョウ ウンエイ レンラク キョウギカイ</v>
      </c>
      <c r="F1226" t="str">
        <f t="shared" si="72"/>
        <v>岡山</v>
      </c>
      <c r="G1226" t="str">
        <f>"年刊"</f>
        <v>年刊</v>
      </c>
      <c r="H1226" t="str">
        <f>"2002222301494"</f>
        <v>2002222301494</v>
      </c>
      <c r="I1226" t="str">
        <f>HYPERLINK("#", "https://opac.libnet.pref.okayama.jp/licsxp-opac/WOpacMsgNewListToTifTilDetailAction.do?tilcod=2002222301494")</f>
        <v>https://opac.libnet.pref.okayama.jp/licsxp-opac/WOpacMsgNewListToTifTilDetailAction.do?tilcod=2002222301494</v>
      </c>
    </row>
    <row r="1227" spans="1:9" x14ac:dyDescent="0.4">
      <c r="A1227" t="str">
        <f>"[岡山県総合文化センター]催物行事ご案内"</f>
        <v>[岡山県総合文化センター]催物行事ご案内</v>
      </c>
      <c r="B1227" s="1" t="str">
        <f t="shared" si="71"/>
        <v>[岡山県総合文化センター]催物行事ご案内</v>
      </c>
      <c r="C1227" t="str">
        <f>"オカヤマケン ソウゴウ ブンカ センター モヨオシモノ ギョウジ ゴアンナイ"</f>
        <v>オカヤマケン ソウゴウ ブンカ センター モヨオシモノ ギョウジ ゴアンナイ</v>
      </c>
      <c r="D1227" t="str">
        <f>"岡山県総合文化センター文化振興会"</f>
        <v>岡山県総合文化センター文化振興会</v>
      </c>
      <c r="E1227" t="str">
        <f>"オカヤマケン ソウゴウ ブンカ センター ブンカ シンコウカイ"</f>
        <v>オカヤマケン ソウゴウ ブンカ センター ブンカ シンコウカイ</v>
      </c>
      <c r="F1227" t="str">
        <f t="shared" si="72"/>
        <v>岡山</v>
      </c>
      <c r="G1227" t="str">
        <f>"月刊"</f>
        <v>月刊</v>
      </c>
      <c r="H1227" t="str">
        <f>"2002222328529"</f>
        <v>2002222328529</v>
      </c>
      <c r="I1227" t="str">
        <f>HYPERLINK("#", "https://opac.libnet.pref.okayama.jp/licsxp-opac/WOpacMsgNewListToTifTilDetailAction.do?tilcod=2002222328529")</f>
        <v>https://opac.libnet.pref.okayama.jp/licsxp-opac/WOpacMsgNewListToTifTilDetailAction.do?tilcod=2002222328529</v>
      </c>
    </row>
    <row r="1228" spans="1:9" x14ac:dyDescent="0.4">
      <c r="A1228" t="str">
        <f>"[岡山県総合文化センター]友の会ニュース"</f>
        <v>[岡山県総合文化センター]友の会ニュース</v>
      </c>
      <c r="B1228" s="1" t="str">
        <f t="shared" si="71"/>
        <v>[岡山県総合文化センター]友の会ニュース</v>
      </c>
      <c r="C1228" t="str">
        <f>"オカヤマケン ソウゴウ ブンカ センター＊トモ ノ カイ ニュース"</f>
        <v>オカヤマケン ソウゴウ ブンカ センター＊トモ ノ カイ ニュース</v>
      </c>
      <c r="D1228" t="str">
        <f>"岡山県総合文化センター友の会"</f>
        <v>岡山県総合文化センター友の会</v>
      </c>
      <c r="E1228" t="str">
        <f>"オカヤマケン ソウゴウ ブンカ センター トモ ノ カイ"</f>
        <v>オカヤマケン ソウゴウ ブンカ センター トモ ノ カイ</v>
      </c>
      <c r="F1228" t="str">
        <f t="shared" si="72"/>
        <v>岡山</v>
      </c>
      <c r="G1228" t="str">
        <f>"不定期刊"</f>
        <v>不定期刊</v>
      </c>
      <c r="H1228" t="str">
        <f>"2002222281154"</f>
        <v>2002222281154</v>
      </c>
      <c r="I1228" t="str">
        <f>HYPERLINK("#", "https://opac.libnet.pref.okayama.jp/licsxp-opac/WOpacMsgNewListToTifTilDetailAction.do?tilcod=2002222281154")</f>
        <v>https://opac.libnet.pref.okayama.jp/licsxp-opac/WOpacMsgNewListToTifTilDetailAction.do?tilcod=2002222281154</v>
      </c>
    </row>
    <row r="1229" spans="1:9" x14ac:dyDescent="0.4">
      <c r="A1229" t="str">
        <f>"岡山県総動員月報"</f>
        <v>岡山県総動員月報</v>
      </c>
      <c r="B1229" s="1" t="str">
        <f t="shared" si="71"/>
        <v>岡山県総動員月報</v>
      </c>
      <c r="C1229" t="str">
        <f>"オカヤマケン ソウドウイン ゲッポウ"</f>
        <v>オカヤマケン ソウドウイン ゲッポウ</v>
      </c>
      <c r="D1229" t="str">
        <f>"岡山県総務部総動員課"</f>
        <v>岡山県総務部総動員課</v>
      </c>
      <c r="E1229" t="str">
        <f>"オカヤマケン ソウムブ ソウドウインカ"</f>
        <v>オカヤマケン ソウムブ ソウドウインカ</v>
      </c>
      <c r="F1229" t="str">
        <f t="shared" si="72"/>
        <v>岡山</v>
      </c>
      <c r="G1229" t="str">
        <f>"頻度不明"</f>
        <v>頻度不明</v>
      </c>
      <c r="H1229" t="str">
        <f>"2002222310048"</f>
        <v>2002222310048</v>
      </c>
      <c r="I1229" t="str">
        <f>HYPERLINK("#", "https://opac.libnet.pref.okayama.jp/licsxp-opac/WOpacMsgNewListToTifTilDetailAction.do?tilcod=2002222310048")</f>
        <v>https://opac.libnet.pref.okayama.jp/licsxp-opac/WOpacMsgNewListToTifTilDetailAction.do?tilcod=2002222310048</v>
      </c>
    </row>
    <row r="1230" spans="1:9" x14ac:dyDescent="0.4">
      <c r="A1230" t="str">
        <f>"岡山県総評"</f>
        <v>岡山県総評</v>
      </c>
      <c r="B1230" s="1" t="str">
        <f t="shared" si="71"/>
        <v>岡山県総評</v>
      </c>
      <c r="C1230" t="str">
        <f>"オカヤマケン　ソウヒョウ"</f>
        <v>オカヤマケン　ソウヒョウ</v>
      </c>
      <c r="D1230" t="str">
        <f>"岡山県労働組合総評議会"</f>
        <v>岡山県労働組合総評議会</v>
      </c>
      <c r="E1230" t="str">
        <f>"オカヤマケン ロウドウ クミアイ ソウヒョウギカイ"</f>
        <v>オカヤマケン ロウドウ クミアイ ソウヒョウギカイ</v>
      </c>
      <c r="F1230" t="str">
        <f t="shared" si="72"/>
        <v>岡山</v>
      </c>
      <c r="G1230" t="str">
        <f>"月刊"</f>
        <v>月刊</v>
      </c>
      <c r="H1230" t="str">
        <f>"2002222300817"</f>
        <v>2002222300817</v>
      </c>
      <c r="I1230" t="str">
        <f>HYPERLINK("#", "https://opac.libnet.pref.okayama.jp/licsxp-opac/WOpacMsgNewListToTifTilDetailAction.do?tilcod=2002222300817")</f>
        <v>https://opac.libnet.pref.okayama.jp/licsxp-opac/WOpacMsgNewListToTifTilDetailAction.do?tilcod=2002222300817</v>
      </c>
    </row>
    <row r="1231" spans="1:9" x14ac:dyDescent="0.4">
      <c r="A1231" t="str">
        <f>"岡山県体育指導委員会報"</f>
        <v>岡山県体育指導委員会報</v>
      </c>
      <c r="B1231" s="1" t="str">
        <f t="shared" si="71"/>
        <v>岡山県体育指導委員会報</v>
      </c>
      <c r="C1231" t="str">
        <f>"オカヤマケン　タイイク　シドウ　イインカイホウ"</f>
        <v>オカヤマケン　タイイク　シドウ　イインカイホウ</v>
      </c>
      <c r="D1231" t="str">
        <f>"岡山県体指協"</f>
        <v>岡山県体指協</v>
      </c>
      <c r="E1231" t="str">
        <f>"オカヤマケン　タイシキョウ"</f>
        <v>オカヤマケン　タイシキョウ</v>
      </c>
      <c r="F1231" t="str">
        <f>""</f>
        <v/>
      </c>
      <c r="G1231" t="str">
        <f>"頻度不明"</f>
        <v>頻度不明</v>
      </c>
      <c r="H1231" t="str">
        <f>"2002222286851"</f>
        <v>2002222286851</v>
      </c>
      <c r="I1231" t="str">
        <f>HYPERLINK("#", "https://opac.libnet.pref.okayama.jp/licsxp-opac/WOpacMsgNewListToTifTilDetailAction.do?tilcod=2002222286851")</f>
        <v>https://opac.libnet.pref.okayama.jp/licsxp-opac/WOpacMsgNewListToTifTilDetailAction.do?tilcod=2002222286851</v>
      </c>
    </row>
    <row r="1232" spans="1:9" x14ac:dyDescent="0.4">
      <c r="A1232" t="str">
        <f>"[岡山県第一岡山中学校校友会]会報"</f>
        <v>[岡山県第一岡山中学校校友会]会報</v>
      </c>
      <c r="B1232" s="1" t="str">
        <f t="shared" si="71"/>
        <v>[岡山県第一岡山中学校校友会]会報</v>
      </c>
      <c r="C1232" t="str">
        <f>"オカヤマケン ダイイチ オカヤマ チュウガッコウ コウユウカイ カイホウ"</f>
        <v>オカヤマケン ダイイチ オカヤマ チュウガッコウ コウユウカイ カイホウ</v>
      </c>
      <c r="D1232" t="str">
        <f>"岡山県第一岡山中学校校友会"</f>
        <v>岡山県第一岡山中学校校友会</v>
      </c>
      <c r="E1232" t="str">
        <f>"オカヤマケン ダイイチ オカヤマ チュウガッコウ コウユウカイ"</f>
        <v>オカヤマケン ダイイチ オカヤマ チュウガッコウ コウユウカイ</v>
      </c>
      <c r="F1232" t="str">
        <f>"岡山"</f>
        <v>岡山</v>
      </c>
      <c r="G1232" t="str">
        <f>"頻度不明"</f>
        <v>頻度不明</v>
      </c>
      <c r="H1232" t="str">
        <f>"2002222301374"</f>
        <v>2002222301374</v>
      </c>
      <c r="I1232" t="str">
        <f>HYPERLINK("#", "https://opac.libnet.pref.okayama.jp/licsxp-opac/WOpacMsgNewListToTifTilDetailAction.do?tilcod=2002222301374")</f>
        <v>https://opac.libnet.pref.okayama.jp/licsxp-opac/WOpacMsgNewListToTifTilDetailAction.do?tilcod=2002222301374</v>
      </c>
    </row>
    <row r="1233" spans="1:9" x14ac:dyDescent="0.4">
      <c r="A1233" t="str">
        <f>"岡山県大学図書館員研修会会報"</f>
        <v>岡山県大学図書館員研修会会報</v>
      </c>
      <c r="B1233" s="1" t="str">
        <f t="shared" si="71"/>
        <v>岡山県大学図書館員研修会会報</v>
      </c>
      <c r="C1233" t="str">
        <f>"オカヤマケン　ダイガク　トショカンイン　ケンシュウカイ　カイホウ"</f>
        <v>オカヤマケン　ダイガク　トショカンイン　ケンシュウカイ　カイホウ</v>
      </c>
      <c r="D1233" t="str">
        <f>"岡山県大学図書館員研修会委員会"</f>
        <v>岡山県大学図書館員研修会委員会</v>
      </c>
      <c r="E1233" t="str">
        <f>"オカヤマケンダイガクトショカンインケンシュウカイイインカイ"</f>
        <v>オカヤマケンダイガクトショカンインケンシュウカイイインカイ</v>
      </c>
      <c r="F1233" t="str">
        <f>"岡山"</f>
        <v>岡山</v>
      </c>
      <c r="G1233" t="str">
        <f>"不定期刊"</f>
        <v>不定期刊</v>
      </c>
      <c r="H1233" t="str">
        <f>"2002222292061"</f>
        <v>2002222292061</v>
      </c>
      <c r="I1233" t="str">
        <f>HYPERLINK("#", "https://opac.libnet.pref.okayama.jp/licsxp-opac/WOpacMsgNewListToTifTilDetailAction.do?tilcod=2002222292061")</f>
        <v>https://opac.libnet.pref.okayama.jp/licsxp-opac/WOpacMsgNewListToTifTilDetailAction.do?tilcod=2002222292061</v>
      </c>
    </row>
    <row r="1234" spans="1:9" x14ac:dyDescent="0.4">
      <c r="A1234" t="str">
        <f>"岡山県体協ニュース"</f>
        <v>岡山県体協ニュース</v>
      </c>
      <c r="B1234" s="1" t="str">
        <f t="shared" si="71"/>
        <v>岡山県体協ニュース</v>
      </c>
      <c r="C1234" t="str">
        <f>"オカヤマケン　タイキョウ　ニュース"</f>
        <v>オカヤマケン　タイキョウ　ニュース</v>
      </c>
      <c r="D1234" t="str">
        <f>"岡山県体育協会"</f>
        <v>岡山県体育協会</v>
      </c>
      <c r="E1234" t="str">
        <f>"オカヤマケン タイイク キョウカイ"</f>
        <v>オカヤマケン タイイク キョウカイ</v>
      </c>
      <c r="F1234" t="str">
        <f>"岡山"</f>
        <v>岡山</v>
      </c>
      <c r="G1234" t="str">
        <f>"年刊"</f>
        <v>年刊</v>
      </c>
      <c r="H1234" t="str">
        <f>"2002222292081"</f>
        <v>2002222292081</v>
      </c>
      <c r="I1234" t="str">
        <f>HYPERLINK("#", "https://opac.libnet.pref.okayama.jp/licsxp-opac/WOpacMsgNewListToTifTilDetailAction.do?tilcod=2002222292081")</f>
        <v>https://opac.libnet.pref.okayama.jp/licsxp-opac/WOpacMsgNewListToTifTilDetailAction.do?tilcod=2002222292081</v>
      </c>
    </row>
    <row r="1235" spans="1:9" x14ac:dyDescent="0.4">
      <c r="A1235" t="str">
        <f>"〔岡山県第二岡山中学校校友会〕校友"</f>
        <v>〔岡山県第二岡山中学校校友会〕校友</v>
      </c>
      <c r="B1235" s="1" t="str">
        <f t="shared" si="71"/>
        <v>〔岡山県第二岡山中学校校友会〕校友</v>
      </c>
      <c r="C1235" t="str">
        <f>"オカヤマケン　ダイニ　オカヤマ　チュウガッコウ　コウユウカイ＊コウユウ"</f>
        <v>オカヤマケン　ダイニ　オカヤマ　チュウガッコウ　コウユウカイ＊コウユウ</v>
      </c>
      <c r="D1235" t="str">
        <f>"岡山県第二岡山中学校校友会"</f>
        <v>岡山県第二岡山中学校校友会</v>
      </c>
      <c r="E1235" t="str">
        <f>"オカヤマケン ダイニ オカヤマ チュウガッコウ コウユウカイ"</f>
        <v>オカヤマケン ダイニ オカヤマ チュウガッコウ コウユウカイ</v>
      </c>
      <c r="F1235" t="str">
        <f>"岡山"</f>
        <v>岡山</v>
      </c>
      <c r="G1235" t="str">
        <f>"頻度不明"</f>
        <v>頻度不明</v>
      </c>
      <c r="H1235" t="str">
        <f>"2002222285081"</f>
        <v>2002222285081</v>
      </c>
      <c r="I1235" t="str">
        <f>HYPERLINK("#", "https://opac.libnet.pref.okayama.jp/licsxp-opac/WOpacMsgNewListToTifTilDetailAction.do?tilcod=2002222285081")</f>
        <v>https://opac.libnet.pref.okayama.jp/licsxp-opac/WOpacMsgNewListToTifTilDetailAction.do?tilcod=2002222285081</v>
      </c>
    </row>
    <row r="1236" spans="1:9" x14ac:dyDescent="0.4">
      <c r="A1236" t="str">
        <f>"[岡山県高梁中学校同窓会]会誌"</f>
        <v>[岡山県高梁中学校同窓会]会誌</v>
      </c>
      <c r="B1236" s="1" t="str">
        <f t="shared" si="71"/>
        <v>[岡山県高梁中学校同窓会]会誌</v>
      </c>
      <c r="C1236" t="str">
        <f>"オカヤマケン タカハシ チュウガッコウ ドウソウカイ カイシ"</f>
        <v>オカヤマケン タカハシ チュウガッコウ ドウソウカイ カイシ</v>
      </c>
      <c r="D1236" t="str">
        <f>"高梁高等学校"</f>
        <v>高梁高等学校</v>
      </c>
      <c r="E1236" t="str">
        <f>"タカハシコウトウガッコウ"</f>
        <v>タカハシコウトウガッコウ</v>
      </c>
      <c r="F1236" t="str">
        <f>"高梁町(上房郡)"</f>
        <v>高梁町(上房郡)</v>
      </c>
      <c r="G1236" t="str">
        <f>"頻度不明"</f>
        <v>頻度不明</v>
      </c>
      <c r="H1236" t="str">
        <f>"2002222328286"</f>
        <v>2002222328286</v>
      </c>
      <c r="I1236" t="str">
        <f>HYPERLINK("#", "https://opac.libnet.pref.okayama.jp/licsxp-opac/WOpacMsgNewListToTifTilDetailAction.do?tilcod=2002222328286")</f>
        <v>https://opac.libnet.pref.okayama.jp/licsxp-opac/WOpacMsgNewListToTifTilDetailAction.do?tilcod=2002222328286</v>
      </c>
    </row>
    <row r="1237" spans="1:9" x14ac:dyDescent="0.4">
      <c r="A1237" t="str">
        <f>"岡山県高梁日新高等学校学校案内"</f>
        <v>岡山県高梁日新高等学校学校案内</v>
      </c>
      <c r="B1237" s="1" t="str">
        <f t="shared" si="71"/>
        <v>岡山県高梁日新高等学校学校案内</v>
      </c>
      <c r="C1237" t="str">
        <f>"オカヤマケン　タカハシ　ニッシン　コウトウ　ガッコウ　ガッコウ　アンナイ"</f>
        <v>オカヤマケン　タカハシ　ニッシン　コウトウ　ガッコウ　ガッコウ　アンナイ</v>
      </c>
      <c r="D1237" t="str">
        <f>"岡山県高梁日新高等学校"</f>
        <v>岡山県高梁日新高等学校</v>
      </c>
      <c r="E1237" t="str">
        <f>"オカヤマケン タカハシ ニッシン コウトウ ガッコウ"</f>
        <v>オカヤマケン タカハシ ニッシン コウトウ ガッコウ</v>
      </c>
      <c r="F1237" t="str">
        <f>"高梁"</f>
        <v>高梁</v>
      </c>
      <c r="G1237" t="str">
        <f>"年刊"</f>
        <v>年刊</v>
      </c>
      <c r="H1237" t="str">
        <f>"2002222301235"</f>
        <v>2002222301235</v>
      </c>
      <c r="I1237" t="str">
        <f>HYPERLINK("#", "https://opac.libnet.pref.okayama.jp/licsxp-opac/WOpacMsgNewListToTifTilDetailAction.do?tilcod=2002222301235")</f>
        <v>https://opac.libnet.pref.okayama.jp/licsxp-opac/WOpacMsgNewListToTifTilDetailAction.do?tilcod=2002222301235</v>
      </c>
    </row>
    <row r="1238" spans="1:9" x14ac:dyDescent="0.4">
      <c r="A1238" t="str">
        <f>"岡山県高梁市立松山高等学校学校案内"</f>
        <v>岡山県高梁市立松山高等学校学校案内</v>
      </c>
      <c r="B1238" s="1" t="str">
        <f t="shared" si="71"/>
        <v>岡山県高梁市立松山高等学校学校案内</v>
      </c>
      <c r="C1238" t="str">
        <f>"オカヤマケン　タカハシシリツ　マツヤマ　コウトウガッコウ　ガッコウ　アンナイ"</f>
        <v>オカヤマケン　タカハシシリツ　マツヤマ　コウトウガッコウ　ガッコウ　アンナイ</v>
      </c>
      <c r="D1238" t="str">
        <f>"岡山県高梁市立松山高等学校"</f>
        <v>岡山県高梁市立松山高等学校</v>
      </c>
      <c r="E1238" t="str">
        <f>"オカヤマケンタカハシシリツマツヤマコウトウガッコウ"</f>
        <v>オカヤマケンタカハシシリツマツヤマコウトウガッコウ</v>
      </c>
      <c r="F1238" t="str">
        <f>"高梁"</f>
        <v>高梁</v>
      </c>
      <c r="G1238" t="str">
        <f>"年刊"</f>
        <v>年刊</v>
      </c>
      <c r="H1238" t="str">
        <f>"2002222301232"</f>
        <v>2002222301232</v>
      </c>
      <c r="I1238" t="str">
        <f>HYPERLINK("#", "https://opac.libnet.pref.okayama.jp/licsxp-opac/WOpacMsgNewListToTifTilDetailAction.do?tilcod=2002222301232")</f>
        <v>https://opac.libnet.pref.okayama.jp/licsxp-opac/WOpacMsgNewListToTifTilDetailAction.do?tilcod=2002222301232</v>
      </c>
    </row>
    <row r="1239" spans="1:9" x14ac:dyDescent="0.4">
      <c r="A1239" t="str">
        <f>"岡山県高梁市立松山高等学校学校要覧"</f>
        <v>岡山県高梁市立松山高等学校学校要覧</v>
      </c>
      <c r="B1239" s="1" t="str">
        <f t="shared" si="71"/>
        <v>岡山県高梁市立松山高等学校学校要覧</v>
      </c>
      <c r="C1239" t="str">
        <f>"オカヤマケン　タカハシシリツ　マツヤマ　コウトウガッコウ　ガッコウ　ヨウラン"</f>
        <v>オカヤマケン　タカハシシリツ　マツヤマ　コウトウガッコウ　ガッコウ　ヨウラン</v>
      </c>
      <c r="D1239" t="str">
        <f>"岡山県高梁市立松山高等学校"</f>
        <v>岡山県高梁市立松山高等学校</v>
      </c>
      <c r="E1239" t="str">
        <f>"オカヤマケンタカハシシリツマツヤマコウトウガッコウ"</f>
        <v>オカヤマケンタカハシシリツマツヤマコウトウガッコウ</v>
      </c>
      <c r="F1239" t="str">
        <f>"高梁"</f>
        <v>高梁</v>
      </c>
      <c r="G1239" t="str">
        <f>"年刊"</f>
        <v>年刊</v>
      </c>
      <c r="H1239" t="str">
        <f>"2002222300720"</f>
        <v>2002222300720</v>
      </c>
      <c r="I1239" t="str">
        <f>HYPERLINK("#", "https://opac.libnet.pref.okayama.jp/licsxp-opac/WOpacMsgNewListToTifTilDetailAction.do?tilcod=2002222300720")</f>
        <v>https://opac.libnet.pref.okayama.jp/licsxp-opac/WOpacMsgNewListToTifTilDetailAction.do?tilcod=2002222300720</v>
      </c>
    </row>
    <row r="1240" spans="1:9" x14ac:dyDescent="0.4">
      <c r="A1240" t="str">
        <f>"[岡山県高松農学校]報国団団報"</f>
        <v>[岡山県高松農学校]報国団団報</v>
      </c>
      <c r="B1240" s="1" t="str">
        <f t="shared" si="71"/>
        <v>[岡山県高松農学校]報国団団報</v>
      </c>
      <c r="C1240" t="str">
        <f>"オカヤマケン タカマツ ノウガッコウ ホウコクダン ダンホウ"</f>
        <v>オカヤマケン タカマツ ノウガッコウ ホウコクダン ダンホウ</v>
      </c>
      <c r="D1240" t="str">
        <f>"岡山県高松農学校"</f>
        <v>岡山県高松農学校</v>
      </c>
      <c r="E1240" t="str">
        <f>"オカヤマケン タカマツ ノウガッコウ"</f>
        <v>オカヤマケン タカマツ ノウガッコウ</v>
      </c>
      <c r="F1240" t="str">
        <f>""</f>
        <v/>
      </c>
      <c r="G1240" t="str">
        <f>"頻度不明"</f>
        <v>頻度不明</v>
      </c>
      <c r="H1240" t="str">
        <f>"2002222282963"</f>
        <v>2002222282963</v>
      </c>
      <c r="I1240" t="str">
        <f>HYPERLINK("#", "https://opac.libnet.pref.okayama.jp/licsxp-opac/WOpacMsgNewListToTifTilDetailAction.do?tilcod=2002222282963")</f>
        <v>https://opac.libnet.pref.okayama.jp/licsxp-opac/WOpacMsgNewListToTifTilDetailAction.do?tilcod=2002222282963</v>
      </c>
    </row>
    <row r="1241" spans="1:9" x14ac:dyDescent="0.4">
      <c r="A1241" t="str">
        <f>"岡山県知事候補者選挙公報"</f>
        <v>岡山県知事候補者選挙公報</v>
      </c>
      <c r="B1241" s="1" t="str">
        <f t="shared" si="71"/>
        <v>岡山県知事候補者選挙公報</v>
      </c>
      <c r="C1241" t="str">
        <f>"オカヤマケン チジ コウホシャ センキョ コウホウ"</f>
        <v>オカヤマケン チジ コウホシャ センキョ コウホウ</v>
      </c>
      <c r="D1241" t="str">
        <f>"岡山県選挙管理委員会"</f>
        <v>岡山県選挙管理委員会</v>
      </c>
      <c r="E1241" t="str">
        <f>"オカヤマケン センキョ カンリ イインカイ"</f>
        <v>オカヤマケン センキョ カンリ イインカイ</v>
      </c>
      <c r="F1241" t="str">
        <f>"岡山"</f>
        <v>岡山</v>
      </c>
      <c r="G1241" t="str">
        <f>"頻度不明"</f>
        <v>頻度不明</v>
      </c>
      <c r="H1241" t="str">
        <f>"2002222317886"</f>
        <v>2002222317886</v>
      </c>
      <c r="I1241" t="str">
        <f>HYPERLINK("#", "https://opac.libnet.pref.okayama.jp/licsxp-opac/WOpacMsgNewListToTifTilDetailAction.do?tilcod=2002222317886")</f>
        <v>https://opac.libnet.pref.okayama.jp/licsxp-opac/WOpacMsgNewListToTifTilDetailAction.do?tilcod=2002222317886</v>
      </c>
    </row>
    <row r="1242" spans="1:9" x14ac:dyDescent="0.4">
      <c r="A1242" t="str">
        <f>"岡山県地方史研究"</f>
        <v>岡山県地方史研究</v>
      </c>
      <c r="B1242" s="1" t="str">
        <f t="shared" si="71"/>
        <v>岡山県地方史研究</v>
      </c>
      <c r="C1242" t="str">
        <f>"オカヤマケン　チホウシ　ケンキュウ"</f>
        <v>オカヤマケン　チホウシ　ケンキュウ</v>
      </c>
      <c r="D1242" t="str">
        <f>"岡山県地方史研究連絡協議会"</f>
        <v>岡山県地方史研究連絡協議会</v>
      </c>
      <c r="E1242" t="str">
        <f>"オカヤマケン チホウシ ケンキュウ レンラク キョウギカイ"</f>
        <v>オカヤマケン チホウシ ケンキュウ レンラク キョウギカイ</v>
      </c>
      <c r="F1242" t="str">
        <f>"岡山"</f>
        <v>岡山</v>
      </c>
      <c r="G1242" t="str">
        <f>"頻度不明"</f>
        <v>頻度不明</v>
      </c>
      <c r="H1242" t="str">
        <f>"2002222286861"</f>
        <v>2002222286861</v>
      </c>
      <c r="I1242" t="str">
        <f>HYPERLINK("#", "https://opac.libnet.pref.okayama.jp/licsxp-opac/WOpacMsgNewListToTifTilDetailAction.do?tilcod=2002222286861")</f>
        <v>https://opac.libnet.pref.okayama.jp/licsxp-opac/WOpacMsgNewListToTifTilDetailAction.do?tilcod=2002222286861</v>
      </c>
    </row>
    <row r="1243" spans="1:9" x14ac:dyDescent="0.4">
      <c r="A1243" t="str">
        <f>"岡山県地方史研究連絡協議会々報"</f>
        <v>岡山県地方史研究連絡協議会々報</v>
      </c>
      <c r="B1243" s="1" t="str">
        <f t="shared" si="71"/>
        <v>岡山県地方史研究連絡協議会々報</v>
      </c>
      <c r="C1243" t="str">
        <f>"オカヤマケン　チホウシ　ケンキュウ　レンラク　キョウギカイ　カイホウ"</f>
        <v>オカヤマケン　チホウシ　ケンキュウ　レンラク　キョウギカイ　カイホウ</v>
      </c>
      <c r="D1243" t="str">
        <f>"岡山県地方史連絡協議会"</f>
        <v>岡山県地方史連絡協議会</v>
      </c>
      <c r="E1243" t="str">
        <f>"オカヤマケンチホウシレンラクキョウギカイ"</f>
        <v>オカヤマケンチホウシレンラクキョウギカイ</v>
      </c>
      <c r="F1243" t="str">
        <f>""</f>
        <v/>
      </c>
      <c r="G1243" t="str">
        <f>"頻度不明"</f>
        <v>頻度不明</v>
      </c>
      <c r="H1243" t="str">
        <f>"2002222286871"</f>
        <v>2002222286871</v>
      </c>
      <c r="I1243" t="str">
        <f>HYPERLINK("#", "https://opac.libnet.pref.okayama.jp/licsxp-opac/WOpacMsgNewListToTifTilDetailAction.do?tilcod=2002222286871")</f>
        <v>https://opac.libnet.pref.okayama.jp/licsxp-opac/WOpacMsgNewListToTifTilDetailAction.do?tilcod=2002222286871</v>
      </c>
    </row>
    <row r="1244" spans="1:9" x14ac:dyDescent="0.4">
      <c r="A1244" t="str">
        <f>"岡山県中央児童相談所紀要"</f>
        <v>岡山県中央児童相談所紀要</v>
      </c>
      <c r="B1244" s="1" t="str">
        <f t="shared" si="71"/>
        <v>岡山県中央児童相談所紀要</v>
      </c>
      <c r="C1244" t="str">
        <f>"オカヤマケン　チュウオウ　ジドウ　ソウダンショ　キヨウ"</f>
        <v>オカヤマケン　チュウオウ　ジドウ　ソウダンショ　キヨウ</v>
      </c>
      <c r="D1244" t="str">
        <f>"岡山県中央児童相談所"</f>
        <v>岡山県中央児童相談所</v>
      </c>
      <c r="E1244" t="str">
        <f>"オカヤマケン チュウオウ ジドウ ソウダンショ"</f>
        <v>オカヤマケン チュウオウ ジドウ ソウダンショ</v>
      </c>
      <c r="F1244" t="str">
        <f>"岡山"</f>
        <v>岡山</v>
      </c>
      <c r="G1244" t="str">
        <f>"年刊"</f>
        <v>年刊</v>
      </c>
      <c r="H1244" t="str">
        <f>"2002222286881"</f>
        <v>2002222286881</v>
      </c>
      <c r="I1244" t="str">
        <f>HYPERLINK("#", "https://opac.libnet.pref.okayama.jp/licsxp-opac/WOpacMsgNewListToTifTilDetailAction.do?tilcod=2002222286881")</f>
        <v>https://opac.libnet.pref.okayama.jp/licsxp-opac/WOpacMsgNewListToTifTilDetailAction.do?tilcod=2002222286881</v>
      </c>
    </row>
    <row r="1245" spans="1:9" x14ac:dyDescent="0.4">
      <c r="A1245" t="str">
        <f>"〔岡山県中学校長会〕会報"</f>
        <v>〔岡山県中学校長会〕会報</v>
      </c>
      <c r="B1245" s="1" t="str">
        <f t="shared" si="71"/>
        <v>〔岡山県中学校長会〕会報</v>
      </c>
      <c r="C1245" t="str">
        <f>"オカヤマケン　チュウガク　コウチョウカイ＊カイホウ"</f>
        <v>オカヤマケン　チュウガク　コウチョウカイ＊カイホウ</v>
      </c>
      <c r="D1245" t="str">
        <f>"岡山県中学校長会"</f>
        <v>岡山県中学校長会</v>
      </c>
      <c r="E1245" t="str">
        <f>"オカヤマケンチュウガクコウチョウカイ"</f>
        <v>オカヤマケンチュウガクコウチョウカイ</v>
      </c>
      <c r="F1245" t="str">
        <f>"岡山"</f>
        <v>岡山</v>
      </c>
      <c r="G1245" t="str">
        <f>"年刊"</f>
        <v>年刊</v>
      </c>
      <c r="H1245" t="str">
        <f>"2002222294781"</f>
        <v>2002222294781</v>
      </c>
      <c r="I1245" t="str">
        <f>HYPERLINK("#", "https://opac.libnet.pref.okayama.jp/licsxp-opac/WOpacMsgNewListToTifTilDetailAction.do?tilcod=2002222294781")</f>
        <v>https://opac.libnet.pref.okayama.jp/licsxp-opac/WOpacMsgNewListToTifTilDetailAction.do?tilcod=2002222294781</v>
      </c>
    </row>
    <row r="1246" spans="1:9" x14ac:dyDescent="0.4">
      <c r="A1246" t="str">
        <f>"[岡山県中学校教育研究会岡山支部]研究の歩み"</f>
        <v>[岡山県中学校教育研究会岡山支部]研究の歩み</v>
      </c>
      <c r="B1246" s="1" t="str">
        <f t="shared" si="71"/>
        <v>[岡山県中学校教育研究会岡山支部]研究の歩み</v>
      </c>
      <c r="C1246" t="str">
        <f>"オカヤマケン チュウガッコウ キョウイク ケンキュウカイ オカヤマ シブ＊ケンキュウ ノ アユミ"</f>
        <v>オカヤマケン チュウガッコウ キョウイク ケンキュウカイ オカヤマ シブ＊ケンキュウ ノ アユミ</v>
      </c>
      <c r="D1246" t="str">
        <f>"岡山県中学校教育研究会岡山支部"</f>
        <v>岡山県中学校教育研究会岡山支部</v>
      </c>
      <c r="E1246" t="str">
        <f>"オカヤマケンチュウガッコウキョウイクケンキュウカイオカヤマシブ"</f>
        <v>オカヤマケンチュウガッコウキョウイクケンキュウカイオカヤマシブ</v>
      </c>
      <c r="F1246" t="str">
        <f>"岡山"</f>
        <v>岡山</v>
      </c>
      <c r="G1246" t="str">
        <f>"頻度不明"</f>
        <v>頻度不明</v>
      </c>
      <c r="H1246" t="str">
        <f>"2002222301959"</f>
        <v>2002222301959</v>
      </c>
      <c r="I1246" t="str">
        <f>HYPERLINK("#", "https://opac.libnet.pref.okayama.jp/licsxp-opac/WOpacMsgNewListToTifTilDetailAction.do?tilcod=2002222301959")</f>
        <v>https://opac.libnet.pref.okayama.jp/licsxp-opac/WOpacMsgNewListToTifTilDetailAction.do?tilcod=2002222301959</v>
      </c>
    </row>
    <row r="1247" spans="1:9" x14ac:dyDescent="0.4">
      <c r="A1247" t="str">
        <f>"[岡山県中学校教育研究会道徳部]研究紀要；みちゆき"</f>
        <v>[岡山県中学校教育研究会道徳部]研究紀要；みちゆき</v>
      </c>
      <c r="B1247" s="1" t="str">
        <f t="shared" si="71"/>
        <v>[岡山県中学校教育研究会道徳部]研究紀要；みちゆき</v>
      </c>
      <c r="C1247" t="str">
        <f>"オカヤマケン チュウガッコウ キョウイク ケンキュウカイ ドウトクブ＊ケンキュウ キヨウ＊ミチユキ"</f>
        <v>オカヤマケン チュウガッコウ キョウイク ケンキュウカイ ドウトクブ＊ケンキュウ キヨウ＊ミチユキ</v>
      </c>
      <c r="D1247" t="str">
        <f>"岡山県中学校教育研究会道徳部"</f>
        <v>岡山県中学校教育研究会道徳部</v>
      </c>
      <c r="E1247" t="str">
        <f>"オカヤマケンチュウガッコウキョウイクケンキュウカイドウトクブ"</f>
        <v>オカヤマケンチュウガッコウキョウイクケンキュウカイドウトクブ</v>
      </c>
      <c r="F1247" t="str">
        <f>"岡山"</f>
        <v>岡山</v>
      </c>
      <c r="G1247" t="str">
        <f>"頻度不明"</f>
        <v>頻度不明</v>
      </c>
      <c r="H1247" t="str">
        <f>"2002222301955"</f>
        <v>2002222301955</v>
      </c>
      <c r="I1247" t="str">
        <f>HYPERLINK("#", "https://opac.libnet.pref.okayama.jp/licsxp-opac/WOpacMsgNewListToTifTilDetailAction.do?tilcod=2002222301955")</f>
        <v>https://opac.libnet.pref.okayama.jp/licsxp-opac/WOpacMsgNewListToTifTilDetailAction.do?tilcod=2002222301955</v>
      </c>
    </row>
    <row r="1248" spans="1:9" x14ac:dyDescent="0.4">
      <c r="A1248" t="str">
        <f>"[岡山県中学校国語教育研究会]会報"</f>
        <v>[岡山県中学校国語教育研究会]会報</v>
      </c>
      <c r="B1248" s="1" t="str">
        <f t="shared" si="71"/>
        <v>[岡山県中学校国語教育研究会]会報</v>
      </c>
      <c r="C1248" t="str">
        <f>"オカヤマケン チュウガッコウ コクゴ キョウイク ケンキュウカイ カイホウ"</f>
        <v>オカヤマケン チュウガッコウ コクゴ キョウイク ケンキュウカイ カイホウ</v>
      </c>
      <c r="D1248" t="str">
        <f>"岡山県中学校国語教育研究会"</f>
        <v>岡山県中学校国語教育研究会</v>
      </c>
      <c r="E1248" t="str">
        <f>"オカヤマケン チュウガッコウ コクゴ キョウイク ケンキュウカイ"</f>
        <v>オカヤマケン チュウガッコウ コクゴ キョウイク ケンキュウカイ</v>
      </c>
      <c r="F1248" t="str">
        <f>"岡山"</f>
        <v>岡山</v>
      </c>
      <c r="G1248" t="str">
        <f>"頻度不明"</f>
        <v>頻度不明</v>
      </c>
      <c r="H1248" t="str">
        <f>"2002222301507"</f>
        <v>2002222301507</v>
      </c>
      <c r="I1248" t="str">
        <f>HYPERLINK("#", "https://opac.libnet.pref.okayama.jp/licsxp-opac/WOpacMsgNewListToTifTilDetailAction.do?tilcod=2002222301507")</f>
        <v>https://opac.libnet.pref.okayama.jp/licsxp-opac/WOpacMsgNewListToTifTilDetailAction.do?tilcod=2002222301507</v>
      </c>
    </row>
    <row r="1249" spans="1:9" x14ac:dyDescent="0.4">
      <c r="A1249" t="str">
        <f>"[岡山県津山高等女学校]校友会誌"</f>
        <v>[岡山県津山高等女学校]校友会誌</v>
      </c>
      <c r="B1249" s="1" t="str">
        <f t="shared" si="71"/>
        <v>[岡山県津山高等女学校]校友会誌</v>
      </c>
      <c r="C1249" t="str">
        <f>"オカヤマケン ツヤマ コウトウ ジョガッコウ コウユウカイシ"</f>
        <v>オカヤマケン ツヤマ コウトウ ジョガッコウ コウユウカイシ</v>
      </c>
      <c r="D1249" t="str">
        <f>"岡山県津山高等女学校"</f>
        <v>岡山県津山高等女学校</v>
      </c>
      <c r="E1249" t="str">
        <f>"オカヤマケン ツヤマ コウトウ ジョガッコウ"</f>
        <v>オカヤマケン ツヤマ コウトウ ジョガッコウ</v>
      </c>
      <c r="F1249" t="str">
        <f>"津山"</f>
        <v>津山</v>
      </c>
      <c r="G1249" t="str">
        <f>"頻度不明"</f>
        <v>頻度不明</v>
      </c>
      <c r="H1249" t="str">
        <f>"2002222286891"</f>
        <v>2002222286891</v>
      </c>
      <c r="I1249" t="str">
        <f>HYPERLINK("#", "https://opac.libnet.pref.okayama.jp/licsxp-opac/WOpacMsgNewListToTifTilDetailAction.do?tilcod=2002222286891")</f>
        <v>https://opac.libnet.pref.okayama.jp/licsxp-opac/WOpacMsgNewListToTifTilDetailAction.do?tilcod=2002222286891</v>
      </c>
    </row>
    <row r="1250" spans="1:9" x14ac:dyDescent="0.4">
      <c r="A1250" t="str">
        <f>"[岡山県津山高等女学校]同窓会誌"</f>
        <v>[岡山県津山高等女学校]同窓会誌</v>
      </c>
      <c r="B1250" s="1" t="str">
        <f t="shared" si="71"/>
        <v>[岡山県津山高等女学校]同窓会誌</v>
      </c>
      <c r="C1250" t="str">
        <f>"オカヤマケン ツヤマ コウトウ ジョガッコウ ドウソウカイシ"</f>
        <v>オカヤマケン ツヤマ コウトウ ジョガッコウ ドウソウカイシ</v>
      </c>
      <c r="D1250" t="str">
        <f>"岡山県津山高等女学校同窓会"</f>
        <v>岡山県津山高等女学校同窓会</v>
      </c>
      <c r="E1250" t="str">
        <f>"オカヤマケン ツヤマ コウトウ ジョガッコウ ドウソウカイ"</f>
        <v>オカヤマケン ツヤマ コウトウ ジョガッコウ ドウソウカイ</v>
      </c>
      <c r="F1250" t="str">
        <f>"津山"</f>
        <v>津山</v>
      </c>
      <c r="G1250" t="str">
        <f>"頻度不明"</f>
        <v>頻度不明</v>
      </c>
      <c r="H1250" t="str">
        <f>"2002222329786"</f>
        <v>2002222329786</v>
      </c>
      <c r="I1250" t="str">
        <f>HYPERLINK("#", "https://opac.libnet.pref.okayama.jp/licsxp-opac/WOpacMsgNewListToTifTilDetailAction.do?tilcod=2002222329786")</f>
        <v>https://opac.libnet.pref.okayama.jp/licsxp-opac/WOpacMsgNewListToTifTilDetailAction.do?tilcod=2002222329786</v>
      </c>
    </row>
    <row r="1251" spans="1:9" x14ac:dyDescent="0.4">
      <c r="A1251" t="str">
        <f>"岡山県定時制・通信制高校の紹介"</f>
        <v>岡山県定時制・通信制高校の紹介</v>
      </c>
      <c r="B1251" s="1" t="str">
        <f t="shared" si="71"/>
        <v>岡山県定時制・通信制高校の紹介</v>
      </c>
      <c r="C1251" t="str">
        <f>"オカヤマケン　テイジセイ　ツウシンセイ　コウコウ　ノ　ショウカイ"</f>
        <v>オカヤマケン　テイジセイ　ツウシンセイ　コウコウ　ノ　ショウカイ</v>
      </c>
      <c r="D1251" t="str">
        <f>"岡山県高等学校定時制通信制教育振興会"</f>
        <v>岡山県高等学校定時制通信制教育振興会</v>
      </c>
      <c r="E1251" t="str">
        <f>"オカヤマケンコウトウガッコウテイジセイツウシンセイキョウイクシンコウカイ"</f>
        <v>オカヤマケンコウトウガッコウテイジセイツウシンセイキョウイクシンコウカイ</v>
      </c>
      <c r="F1251" t="str">
        <f>"岡山"</f>
        <v>岡山</v>
      </c>
      <c r="G1251" t="str">
        <f>"年刊"</f>
        <v>年刊</v>
      </c>
      <c r="H1251" t="str">
        <f>"2002222302052"</f>
        <v>2002222302052</v>
      </c>
      <c r="I1251" t="str">
        <f>HYPERLINK("#", "https://opac.libnet.pref.okayama.jp/licsxp-opac/WOpacMsgNewListToTifTilDetailAction.do?tilcod=2002222302052")</f>
        <v>https://opac.libnet.pref.okayama.jp/licsxp-opac/WOpacMsgNewListToTifTilDetailAction.do?tilcod=2002222302052</v>
      </c>
    </row>
    <row r="1252" spans="1:9" x14ac:dyDescent="0.4">
      <c r="A1252" t="str">
        <f>"岡山県電工組；共生と協調"</f>
        <v>岡山県電工組；共生と協調</v>
      </c>
      <c r="B1252" s="1" t="str">
        <f t="shared" si="71"/>
        <v>岡山県電工組；共生と協調</v>
      </c>
      <c r="C1252" t="str">
        <f>"オカヤマケン　デンコウソ＊キョウセイ　ト　キョウチョウ"</f>
        <v>オカヤマケン　デンコウソ＊キョウセイ　ト　キョウチョウ</v>
      </c>
      <c r="D1252" t="str">
        <f>"岡山県電気工事工業組合"</f>
        <v>岡山県電気工事工業組合</v>
      </c>
      <c r="E1252" t="str">
        <f>"オカヤマケン デンキ コウジ コウギョウ クミアイ"</f>
        <v>オカヤマケン デンキ コウジ コウギョウ クミアイ</v>
      </c>
      <c r="F1252" t="str">
        <f>"岡山"</f>
        <v>岡山</v>
      </c>
      <c r="G1252" t="str">
        <f>"年２回刊"</f>
        <v>年２回刊</v>
      </c>
      <c r="H1252" t="str">
        <f>"2002222301140"</f>
        <v>2002222301140</v>
      </c>
      <c r="I1252" t="str">
        <f>HYPERLINK("#", "https://opac.libnet.pref.okayama.jp/licsxp-opac/WOpacMsgNewListToTifTilDetailAction.do?tilcod=2002222301140")</f>
        <v>https://opac.libnet.pref.okayama.jp/licsxp-opac/WOpacMsgNewListToTifTilDetailAction.do?tilcod=2002222301140</v>
      </c>
    </row>
    <row r="1253" spans="1:9" x14ac:dyDescent="0.4">
      <c r="A1253" t="str">
        <f>"岡山県電力協議会会報"</f>
        <v>岡山県電力協議会会報</v>
      </c>
      <c r="B1253" s="1" t="str">
        <f t="shared" si="71"/>
        <v>岡山県電力協議会会報</v>
      </c>
      <c r="C1253" t="str">
        <f>"オカヤマケン　デンリョク　キョウギカイ　カイホウ"</f>
        <v>オカヤマケン　デンリョク　キョウギカイ　カイホウ</v>
      </c>
      <c r="D1253" t="str">
        <f>"岡山県電力協議会"</f>
        <v>岡山県電力協議会</v>
      </c>
      <c r="E1253" t="str">
        <f>"オカヤマケンデンリョクキョウギカイ"</f>
        <v>オカヤマケンデンリョクキョウギカイ</v>
      </c>
      <c r="F1253" t="str">
        <f>""</f>
        <v/>
      </c>
      <c r="G1253" t="str">
        <f>"頻度不明"</f>
        <v>頻度不明</v>
      </c>
      <c r="H1253" t="str">
        <f>"2002222286901"</f>
        <v>2002222286901</v>
      </c>
      <c r="I1253" t="str">
        <f>HYPERLINK("#", "https://opac.libnet.pref.okayama.jp/licsxp-opac/WOpacMsgNewListToTifTilDetailAction.do?tilcod=2002222286901")</f>
        <v>https://opac.libnet.pref.okayama.jp/licsxp-opac/WOpacMsgNewListToTifTilDetailAction.do?tilcod=2002222286901</v>
      </c>
    </row>
    <row r="1254" spans="1:9" x14ac:dyDescent="0.4">
      <c r="A1254" t="str">
        <f>"岡山県同教"</f>
        <v>岡山県同教</v>
      </c>
      <c r="B1254" s="1" t="str">
        <f t="shared" si="71"/>
        <v>岡山県同教</v>
      </c>
      <c r="C1254" t="str">
        <f>"オカヤマケン　ドウキョウ"</f>
        <v>オカヤマケン　ドウキョウ</v>
      </c>
      <c r="D1254" t="str">
        <f>"岡山県同和教育研究協議会"</f>
        <v>岡山県同和教育研究協議会</v>
      </c>
      <c r="E1254" t="str">
        <f>"オカヤマケン ドウワ キョウイク ケンキュウ キョウギカイ"</f>
        <v>オカヤマケン ドウワ キョウイク ケンキュウ キョウギカイ</v>
      </c>
      <c r="F1254" t="str">
        <f>"岡山"</f>
        <v>岡山</v>
      </c>
      <c r="G1254" t="str">
        <f>"頻度不明"</f>
        <v>頻度不明</v>
      </c>
      <c r="H1254" t="str">
        <f>"2002222300818"</f>
        <v>2002222300818</v>
      </c>
      <c r="I1254" t="str">
        <f>HYPERLINK("#", "https://opac.libnet.pref.okayama.jp/licsxp-opac/WOpacMsgNewListToTifTilDetailAction.do?tilcod=2002222300818")</f>
        <v>https://opac.libnet.pref.okayama.jp/licsxp-opac/WOpacMsgNewListToTifTilDetailAction.do?tilcod=2002222300818</v>
      </c>
    </row>
    <row r="1255" spans="1:9" x14ac:dyDescent="0.4">
      <c r="A1255" t="str">
        <f>"〔岡山県統計協会〕統計だより"</f>
        <v>〔岡山県統計協会〕統計だより</v>
      </c>
      <c r="B1255" s="1" t="str">
        <f t="shared" si="71"/>
        <v>〔岡山県統計協会〕統計だより</v>
      </c>
      <c r="C1255" t="str">
        <f>"オカヤマケン　トウケイ　キョウカイ　トウケイ　ダヨリ"</f>
        <v>オカヤマケン　トウケイ　キョウカイ　トウケイ　ダヨリ</v>
      </c>
      <c r="D1255" t="str">
        <f>"岡山県統計協会"</f>
        <v>岡山県統計協会</v>
      </c>
      <c r="E1255" t="str">
        <f>"オカヤマケントウケイキョウカイ"</f>
        <v>オカヤマケントウケイキョウカイ</v>
      </c>
      <c r="F1255" t="str">
        <f>"岡山"</f>
        <v>岡山</v>
      </c>
      <c r="G1255" t="str">
        <f>"不定期刊"</f>
        <v>不定期刊</v>
      </c>
      <c r="H1255" t="str">
        <f>"2002222280784"</f>
        <v>2002222280784</v>
      </c>
      <c r="I1255" t="str">
        <f>HYPERLINK("#", "https://opac.libnet.pref.okayama.jp/licsxp-opac/WOpacMsgNewListToTifTilDetailAction.do?tilcod=2002222280784")</f>
        <v>https://opac.libnet.pref.okayama.jp/licsxp-opac/WOpacMsgNewListToTifTilDetailAction.do?tilcod=2002222280784</v>
      </c>
    </row>
    <row r="1256" spans="1:9" x14ac:dyDescent="0.4">
      <c r="A1256" t="str">
        <f>"[岡山県統計分析課]統計だより"</f>
        <v>[岡山県統計分析課]統計だより</v>
      </c>
      <c r="B1256" s="1" t="str">
        <f t="shared" si="71"/>
        <v>[岡山県統計分析課]統計だより</v>
      </c>
      <c r="C1256" t="str">
        <f>"オカヤマケン トウケイ ブンセキカ トウケイ ダヨリ"</f>
        <v>オカヤマケン トウケイ ブンセキカ トウケイ ダヨリ</v>
      </c>
      <c r="D1256" t="str">
        <f>"岡山県統計分析課"</f>
        <v>岡山県統計分析課</v>
      </c>
      <c r="E1256" t="str">
        <f>"オカヤマケン トウケイ　ブンセキカ"</f>
        <v>オカヤマケン トウケイ　ブンセキカ</v>
      </c>
      <c r="F1256" t="str">
        <f>"岡山"</f>
        <v>岡山</v>
      </c>
      <c r="G1256" t="str">
        <f>"年刊"</f>
        <v>年刊</v>
      </c>
      <c r="H1256" t="str">
        <f>"2002222313108"</f>
        <v>2002222313108</v>
      </c>
      <c r="I1256" t="str">
        <f>HYPERLINK("#", "https://opac.libnet.pref.okayama.jp/licsxp-opac/WOpacMsgNewListToTifTilDetailAction.do?tilcod=2002222313108")</f>
        <v>https://opac.libnet.pref.okayama.jp/licsxp-opac/WOpacMsgNewListToTifTilDetailAction.do?tilcod=2002222313108</v>
      </c>
    </row>
    <row r="1257" spans="1:9" x14ac:dyDescent="0.4">
      <c r="A1257" t="str">
        <f>"〔岡山県統計課〕速報；毎月勤労統計調査"</f>
        <v>〔岡山県統計課〕速報；毎月勤労統計調査</v>
      </c>
      <c r="B1257" s="1" t="str">
        <f t="shared" si="71"/>
        <v>〔岡山県統計課〕速報；毎月勤労統計調査</v>
      </c>
      <c r="C1257" t="str">
        <f>"オカヤマケン　トウケイカ＊ソクホウ＊マイツキ　キンロウ　トウケイ　チョウサ"</f>
        <v>オカヤマケン　トウケイカ＊ソクホウ＊マイツキ　キンロウ　トウケイ　チョウサ</v>
      </c>
      <c r="D1257" t="str">
        <f>"岡山県統計課"</f>
        <v>岡山県統計課</v>
      </c>
      <c r="E1257" t="str">
        <f>"オカヤマケントウケイカ"</f>
        <v>オカヤマケントウケイカ</v>
      </c>
      <c r="F1257" t="str">
        <f>""</f>
        <v/>
      </c>
      <c r="G1257" t="str">
        <f>"月刊"</f>
        <v>月刊</v>
      </c>
      <c r="H1257" t="str">
        <f>"2002222283863"</f>
        <v>2002222283863</v>
      </c>
      <c r="I1257" t="str">
        <f>HYPERLINK("#", "https://opac.libnet.pref.okayama.jp/licsxp-opac/WOpacMsgNewListToTifTilDetailAction.do?tilcod=2002222283863")</f>
        <v>https://opac.libnet.pref.okayama.jp/licsxp-opac/WOpacMsgNewListToTifTilDetailAction.do?tilcod=2002222283863</v>
      </c>
    </row>
    <row r="1258" spans="1:9" x14ac:dyDescent="0.4">
      <c r="A1258" t="str">
        <f>"〔岡山県特殊教育振興会〕会報"</f>
        <v>〔岡山県特殊教育振興会〕会報</v>
      </c>
      <c r="B1258" s="1" t="str">
        <f t="shared" si="71"/>
        <v>〔岡山県特殊教育振興会〕会報</v>
      </c>
      <c r="C1258" t="str">
        <f>"オカヤマケン　トクシュ　キョウイク　シンコウカイ　カイホウ"</f>
        <v>オカヤマケン　トクシュ　キョウイク　シンコウカイ　カイホウ</v>
      </c>
      <c r="D1258" t="str">
        <f>"岡山県特殊教育振興会"</f>
        <v>岡山県特殊教育振興会</v>
      </c>
      <c r="E1258" t="str">
        <f>"オカヤマケン トクシュ キョウイク シンコウカイ"</f>
        <v>オカヤマケン トクシュ キョウイク シンコウカイ</v>
      </c>
      <c r="F1258" t="str">
        <f>""</f>
        <v/>
      </c>
      <c r="G1258" t="str">
        <f>"頻度不明"</f>
        <v>頻度不明</v>
      </c>
      <c r="H1258" t="str">
        <f>"2002222286911"</f>
        <v>2002222286911</v>
      </c>
      <c r="I1258" t="str">
        <f>HYPERLINK("#", "https://opac.libnet.pref.okayama.jp/licsxp-opac/WOpacMsgNewListToTifTilDetailAction.do?tilcod=2002222286911")</f>
        <v>https://opac.libnet.pref.okayama.jp/licsxp-opac/WOpacMsgNewListToTifTilDetailAction.do?tilcod=2002222286911</v>
      </c>
    </row>
    <row r="1259" spans="1:9" x14ac:dyDescent="0.4">
      <c r="A1259" t="str">
        <f>"岡山県都市部消費者物価指数"</f>
        <v>岡山県都市部消費者物価指数</v>
      </c>
      <c r="B1259" s="1" t="str">
        <f t="shared" si="71"/>
        <v>岡山県都市部消費者物価指数</v>
      </c>
      <c r="C1259" t="str">
        <f>"オカヤマケン　トシブ　ショウヒシャ　ブッカ　シスウ"</f>
        <v>オカヤマケン　トシブ　ショウヒシャ　ブッカ　シスウ</v>
      </c>
      <c r="D1259" t="str">
        <f>"岡山県企画部統計課"</f>
        <v>岡山県企画部統計課</v>
      </c>
      <c r="E1259" t="str">
        <f>"オカヤマケン キカクブ トウケイカ"</f>
        <v>オカヤマケン キカクブ トウケイカ</v>
      </c>
      <c r="F1259" t="str">
        <f t="shared" ref="F1259:F1268" si="73">"岡山"</f>
        <v>岡山</v>
      </c>
      <c r="G1259" t="str">
        <f>"月刊"</f>
        <v>月刊</v>
      </c>
      <c r="H1259" t="str">
        <f>"2002222286631"</f>
        <v>2002222286631</v>
      </c>
      <c r="I1259" t="str">
        <f>HYPERLINK("#", "https://opac.libnet.pref.okayama.jp/licsxp-opac/WOpacMsgNewListToTifTilDetailAction.do?tilcod=2002222286631")</f>
        <v>https://opac.libnet.pref.okayama.jp/licsxp-opac/WOpacMsgNewListToTifTilDetailAction.do?tilcod=2002222286631</v>
      </c>
    </row>
    <row r="1260" spans="1:9" x14ac:dyDescent="0.4">
      <c r="A1260" t="str">
        <f>"岡山県都市部平均消費者物価指数（速報）"</f>
        <v>岡山県都市部平均消費者物価指数（速報）</v>
      </c>
      <c r="B1260" s="1" t="str">
        <f t="shared" si="71"/>
        <v>岡山県都市部平均消費者物価指数（速報）</v>
      </c>
      <c r="C1260" t="str">
        <f>"オカヤマケン　トシブ　ヘイキン　ショウヒシャ　ブッカ　シスウ　ソクホウ"</f>
        <v>オカヤマケン　トシブ　ヘイキン　ショウヒシャ　ブッカ　シスウ　ソクホウ</v>
      </c>
      <c r="D1260" t="str">
        <f>"岡山県企画振興部統計管理課"</f>
        <v>岡山県企画振興部統計管理課</v>
      </c>
      <c r="E1260" t="str">
        <f>"オカヤマケンキカクシンコウブトウケイカンリカ"</f>
        <v>オカヤマケンキカクシンコウブトウケイカンリカ</v>
      </c>
      <c r="F1260" t="str">
        <f t="shared" si="73"/>
        <v>岡山</v>
      </c>
      <c r="G1260" t="str">
        <f>"月刊"</f>
        <v>月刊</v>
      </c>
      <c r="H1260" t="str">
        <f>"2002222291441"</f>
        <v>2002222291441</v>
      </c>
      <c r="I1260" t="str">
        <f>HYPERLINK("#", "https://opac.libnet.pref.okayama.jp/licsxp-opac/WOpacMsgNewListToTifTilDetailAction.do?tilcod=2002222291441")</f>
        <v>https://opac.libnet.pref.okayama.jp/licsxp-opac/WOpacMsgNewListToTifTilDetailAction.do?tilcod=2002222291441</v>
      </c>
    </row>
    <row r="1261" spans="1:9" x14ac:dyDescent="0.4">
      <c r="A1261" t="str">
        <f>"岡山県都市部平均消費者物価指数（年報）"</f>
        <v>岡山県都市部平均消費者物価指数（年報）</v>
      </c>
      <c r="B1261" s="1" t="str">
        <f t="shared" si="71"/>
        <v>岡山県都市部平均消費者物価指数（年報）</v>
      </c>
      <c r="C1261" t="str">
        <f>"オカヤマケン　トシブ　ヘイキン　ショウヒシャ　ブッカ　シスウ　ネンポウ"</f>
        <v>オカヤマケン　トシブ　ヘイキン　ショウヒシャ　ブッカ　シスウ　ネンポウ</v>
      </c>
      <c r="D1261" t="str">
        <f>"岡山県企画部統計管理課"</f>
        <v>岡山県企画部統計管理課</v>
      </c>
      <c r="E1261" t="str">
        <f>"オカヤマケン キカクブ トウケイ カンリカ"</f>
        <v>オカヤマケン キカクブ トウケイ カンリカ</v>
      </c>
      <c r="F1261" t="str">
        <f t="shared" si="73"/>
        <v>岡山</v>
      </c>
      <c r="G1261" t="str">
        <f>"年刊"</f>
        <v>年刊</v>
      </c>
      <c r="H1261" t="str">
        <f>"2002222282091"</f>
        <v>2002222282091</v>
      </c>
      <c r="I1261" t="str">
        <f>HYPERLINK("#", "https://opac.libnet.pref.okayama.jp/licsxp-opac/WOpacMsgNewListToTifTilDetailAction.do?tilcod=2002222282091")</f>
        <v>https://opac.libnet.pref.okayama.jp/licsxp-opac/WOpacMsgNewListToTifTilDetailAction.do?tilcod=2002222282091</v>
      </c>
    </row>
    <row r="1262" spans="1:9" x14ac:dyDescent="0.4">
      <c r="A1262" t="str">
        <f>"岡山県図書館協会報"</f>
        <v>岡山県図書館協会報</v>
      </c>
      <c r="B1262" s="1" t="str">
        <f t="shared" si="71"/>
        <v>岡山県図書館協会報</v>
      </c>
      <c r="C1262" t="str">
        <f>"オカヤマケン　トショカン　キョウカイホウ"</f>
        <v>オカヤマケン　トショカン　キョウカイホウ</v>
      </c>
      <c r="D1262" t="str">
        <f>"岡山県図書館協会"</f>
        <v>岡山県図書館協会</v>
      </c>
      <c r="E1262" t="str">
        <f>"オカヤマケン トショカン キョウカイ"</f>
        <v>オカヤマケン トショカン キョウカイ</v>
      </c>
      <c r="F1262" t="str">
        <f t="shared" si="73"/>
        <v>岡山</v>
      </c>
      <c r="G1262" t="str">
        <f>"頻度不明"</f>
        <v>頻度不明</v>
      </c>
      <c r="H1262" t="str">
        <f>"2002222286921"</f>
        <v>2002222286921</v>
      </c>
      <c r="I1262" t="str">
        <f>HYPERLINK("#", "https://opac.libnet.pref.okayama.jp/licsxp-opac/WOpacMsgNewListToTifTilDetailAction.do?tilcod=2002222286921")</f>
        <v>https://opac.libnet.pref.okayama.jp/licsxp-opac/WOpacMsgNewListToTifTilDetailAction.do?tilcod=2002222286921</v>
      </c>
    </row>
    <row r="1263" spans="1:9" x14ac:dyDescent="0.4">
      <c r="A1263" t="str">
        <f>"岡山県図書館報[第二次大戦前]"</f>
        <v>岡山県図書館報[第二次大戦前]</v>
      </c>
      <c r="B1263" s="1" t="str">
        <f t="shared" si="71"/>
        <v>岡山県図書館報[第二次大戦前]</v>
      </c>
      <c r="C1263" t="str">
        <f>"オカヤマケン トショカンポウ"</f>
        <v>オカヤマケン トショカンポウ</v>
      </c>
      <c r="D1263" t="str">
        <f>"岡山県中央図書館"</f>
        <v>岡山県中央図書館</v>
      </c>
      <c r="E1263" t="str">
        <f>"オカヤマケン チュウオウ トショカン"</f>
        <v>オカヤマケン チュウオウ トショカン</v>
      </c>
      <c r="F1263" t="str">
        <f t="shared" si="73"/>
        <v>岡山</v>
      </c>
      <c r="G1263" t="str">
        <f>"頻度不明"</f>
        <v>頻度不明</v>
      </c>
      <c r="H1263" t="str">
        <f>"2002222301493"</f>
        <v>2002222301493</v>
      </c>
      <c r="I1263" t="str">
        <f>HYPERLINK("#", "https://opac.libnet.pref.okayama.jp/licsxp-opac/WOpacMsgNewListToTifTilDetailAction.do?tilcod=2002222301493")</f>
        <v>https://opac.libnet.pref.okayama.jp/licsxp-opac/WOpacMsgNewListToTifTilDetailAction.do?tilcod=2002222301493</v>
      </c>
    </row>
    <row r="1264" spans="1:9" x14ac:dyDescent="0.4">
      <c r="A1264" t="str">
        <f>"岡山県図書館報；岡山県中央図書館報"</f>
        <v>岡山県図書館報；岡山県中央図書館報</v>
      </c>
      <c r="B1264" s="1" t="str">
        <f t="shared" si="71"/>
        <v>岡山県図書館報；岡山県中央図書館報</v>
      </c>
      <c r="C1264" t="str">
        <f>"オカヤマケン　トショカンポウ＊オカヤマケン　チュウオウ　トショカンホウ"</f>
        <v>オカヤマケン　トショカンポウ＊オカヤマケン　チュウオウ　トショカンホウ</v>
      </c>
      <c r="D1264" t="str">
        <f>"岡山県中央図書館"</f>
        <v>岡山県中央図書館</v>
      </c>
      <c r="E1264" t="str">
        <f>"オカヤマケン チュウオウ トショカン"</f>
        <v>オカヤマケン チュウオウ トショカン</v>
      </c>
      <c r="F1264" t="str">
        <f t="shared" si="73"/>
        <v>岡山</v>
      </c>
      <c r="G1264" t="str">
        <f>"頻度不明"</f>
        <v>頻度不明</v>
      </c>
      <c r="H1264" t="str">
        <f>"2002222286811"</f>
        <v>2002222286811</v>
      </c>
      <c r="I1264" t="str">
        <f>HYPERLINK("#", "https://opac.libnet.pref.okayama.jp/licsxp-opac/WOpacMsgNewListToTifTilDetailAction.do?tilcod=2002222286811")</f>
        <v>https://opac.libnet.pref.okayama.jp/licsxp-opac/WOpacMsgNewListToTifTilDetailAction.do?tilcod=2002222286811</v>
      </c>
    </row>
    <row r="1265" spans="1:9" x14ac:dyDescent="0.4">
      <c r="A1265" t="str">
        <f>"岡山県土木建築請負業組合報"</f>
        <v>岡山県土木建築請負業組合報</v>
      </c>
      <c r="B1265" s="1" t="str">
        <f t="shared" si="71"/>
        <v>岡山県土木建築請負業組合報</v>
      </c>
      <c r="C1265" t="str">
        <f>"オカヤマケン　ドボク　ケンチク　ウケオイギョウ　クミアイホウ"</f>
        <v>オカヤマケン　ドボク　ケンチク　ウケオイギョウ　クミアイホウ</v>
      </c>
      <c r="D1265" t="str">
        <f>"岡山県土木建築請負業組合"</f>
        <v>岡山県土木建築請負業組合</v>
      </c>
      <c r="E1265" t="str">
        <f>"オカヤマケンドボクケンチクウケオイギョウクミアイ"</f>
        <v>オカヤマケンドボクケンチクウケオイギョウクミアイ</v>
      </c>
      <c r="F1265" t="str">
        <f t="shared" si="73"/>
        <v>岡山</v>
      </c>
      <c r="G1265" t="str">
        <f>"頻度不明"</f>
        <v>頻度不明</v>
      </c>
      <c r="H1265" t="str">
        <f>"2002222301364"</f>
        <v>2002222301364</v>
      </c>
      <c r="I1265" t="str">
        <f>HYPERLINK("#", "https://opac.libnet.pref.okayama.jp/licsxp-opac/WOpacMsgNewListToTifTilDetailAction.do?tilcod=2002222301364")</f>
        <v>https://opac.libnet.pref.okayama.jp/licsxp-opac/WOpacMsgNewListToTifTilDetailAction.do?tilcod=2002222301364</v>
      </c>
    </row>
    <row r="1266" spans="1:9" x14ac:dyDescent="0.4">
      <c r="A1266" t="str">
        <f>"岡山県ナースセンターニュース"</f>
        <v>岡山県ナースセンターニュース</v>
      </c>
      <c r="B1266" s="1" t="str">
        <f t="shared" si="71"/>
        <v>岡山県ナースセンターニュース</v>
      </c>
      <c r="C1266" t="str">
        <f>"オカヤマケン ナースセンター ニュース"</f>
        <v>オカヤマケン ナースセンター ニュース</v>
      </c>
      <c r="D1266" t="str">
        <f>"岡山県看護協会岡山県ナースセンター"</f>
        <v>岡山県看護協会岡山県ナースセンター</v>
      </c>
      <c r="E1266" t="str">
        <f>"オカヤマケン カンゴ キョウカイ オカヤマケン ナース センター"</f>
        <v>オカヤマケン カンゴ キョウカイ オカヤマケン ナース センター</v>
      </c>
      <c r="F1266" t="str">
        <f t="shared" si="73"/>
        <v>岡山</v>
      </c>
      <c r="G1266" t="str">
        <f>"年３回刊"</f>
        <v>年３回刊</v>
      </c>
      <c r="H1266" t="str">
        <f>"2002222306826"</f>
        <v>2002222306826</v>
      </c>
      <c r="I1266" t="str">
        <f>HYPERLINK("#", "https://opac.libnet.pref.okayama.jp/licsxp-opac/WOpacMsgNewListToTifTilDetailAction.do?tilcod=2002222306826")</f>
        <v>https://opac.libnet.pref.okayama.jp/licsxp-opac/WOpacMsgNewListToTifTilDetailAction.do?tilcod=2002222306826</v>
      </c>
    </row>
    <row r="1267" spans="1:9" x14ac:dyDescent="0.4">
      <c r="A1267" t="str">
        <f>"岡山県日中懇話会だより"</f>
        <v>岡山県日中懇話会だより</v>
      </c>
      <c r="B1267" s="1" t="str">
        <f t="shared" si="71"/>
        <v>岡山県日中懇話会だより</v>
      </c>
      <c r="C1267" t="str">
        <f>"オカヤマケン　ニッチュウ　コンワ　カイ　ダヨリ"</f>
        <v>オカヤマケン　ニッチュウ　コンワ　カイ　ダヨリ</v>
      </c>
      <c r="D1267" t="str">
        <f>"岡山県日中懇話会"</f>
        <v>岡山県日中懇話会</v>
      </c>
      <c r="E1267" t="str">
        <f>"オカヤマケンニッチュウコンワカイ"</f>
        <v>オカヤマケンニッチュウコンワカイ</v>
      </c>
      <c r="F1267" t="str">
        <f t="shared" si="73"/>
        <v>岡山</v>
      </c>
      <c r="G1267" t="str">
        <f>"頻度不明"</f>
        <v>頻度不明</v>
      </c>
      <c r="H1267" t="str">
        <f>"2002222281694"</f>
        <v>2002222281694</v>
      </c>
      <c r="I1267" t="str">
        <f>HYPERLINK("#", "https://opac.libnet.pref.okayama.jp/licsxp-opac/WOpacMsgNewListToTifTilDetailAction.do?tilcod=2002222281694")</f>
        <v>https://opac.libnet.pref.okayama.jp/licsxp-opac/WOpacMsgNewListToTifTilDetailAction.do?tilcod=2002222281694</v>
      </c>
    </row>
    <row r="1268" spans="1:9" x14ac:dyDescent="0.4">
      <c r="A1268" t="str">
        <f>"岡山県の気象"</f>
        <v>岡山県の気象</v>
      </c>
      <c r="B1268" s="1" t="str">
        <f t="shared" si="71"/>
        <v>岡山県の気象</v>
      </c>
      <c r="C1268" t="str">
        <f>"オカヤマケン　ノ　キショウ"</f>
        <v>オカヤマケン　ノ　キショウ</v>
      </c>
      <c r="D1268" t="str">
        <f>"岡山地方気象台"</f>
        <v>岡山地方気象台</v>
      </c>
      <c r="E1268" t="str">
        <f>"オカヤマチホウキショウダイ"</f>
        <v>オカヤマチホウキショウダイ</v>
      </c>
      <c r="F1268" t="str">
        <f t="shared" si="73"/>
        <v>岡山</v>
      </c>
      <c r="G1268" t="str">
        <f>"月刊"</f>
        <v>月刊</v>
      </c>
      <c r="H1268" t="str">
        <f>"2002222282741"</f>
        <v>2002222282741</v>
      </c>
      <c r="I1268" t="str">
        <f>HYPERLINK("#", "https://opac.libnet.pref.okayama.jp/licsxp-opac/WOpacMsgNewListToTifTilDetailAction.do?tilcod=2002222282741")</f>
        <v>https://opac.libnet.pref.okayama.jp/licsxp-opac/WOpacMsgNewListToTifTilDetailAction.do?tilcod=2002222282741</v>
      </c>
    </row>
    <row r="1269" spans="1:9" x14ac:dyDescent="0.4">
      <c r="A1269" t="str">
        <f>"岡山県の経済"</f>
        <v>岡山県の経済</v>
      </c>
      <c r="B1269" s="1" t="str">
        <f t="shared" si="71"/>
        <v>岡山県の経済</v>
      </c>
      <c r="C1269" t="str">
        <f>"オカヤマケン　ノ　ケイザイ"</f>
        <v>オカヤマケン　ノ　ケイザイ</v>
      </c>
      <c r="D1269" t="str">
        <f>"岡山経済調査協議会"</f>
        <v>岡山経済調査協議会</v>
      </c>
      <c r="E1269" t="str">
        <f>"オカヤマケイザイチョウサキョウギカイ"</f>
        <v>オカヤマケイザイチョウサキョウギカイ</v>
      </c>
      <c r="F1269" t="str">
        <f>""</f>
        <v/>
      </c>
      <c r="G1269" t="str">
        <f>"頻度不明"</f>
        <v>頻度不明</v>
      </c>
      <c r="H1269" t="str">
        <f>"2002222286961"</f>
        <v>2002222286961</v>
      </c>
      <c r="I1269" t="str">
        <f>HYPERLINK("#", "https://opac.libnet.pref.okayama.jp/licsxp-opac/WOpacMsgNewListToTifTilDetailAction.do?tilcod=2002222286961")</f>
        <v>https://opac.libnet.pref.okayama.jp/licsxp-opac/WOpacMsgNewListToTifTilDetailAction.do?tilcod=2002222286961</v>
      </c>
    </row>
    <row r="1270" spans="1:9" x14ac:dyDescent="0.4">
      <c r="A1270" t="str">
        <f>"岡山県之社会事業"</f>
        <v>岡山県之社会事業</v>
      </c>
      <c r="B1270" s="1" t="str">
        <f t="shared" si="71"/>
        <v>岡山県之社会事業</v>
      </c>
      <c r="C1270" t="str">
        <f>"オカヤマケン　ノ　シャカイ　ジギョウ"</f>
        <v>オカヤマケン　ノ　シャカイ　ジギョウ</v>
      </c>
      <c r="D1270" t="str">
        <f>"岡山県社会事業協会"</f>
        <v>岡山県社会事業協会</v>
      </c>
      <c r="E1270" t="str">
        <f>"オカヤマケン シャカイ ジギョウ キョウカイ"</f>
        <v>オカヤマケン シャカイ ジギョウ キョウカイ</v>
      </c>
      <c r="F1270" t="str">
        <f>"岡山"</f>
        <v>岡山</v>
      </c>
      <c r="G1270" t="str">
        <f>"月刊"</f>
        <v>月刊</v>
      </c>
      <c r="H1270" t="str">
        <f>"2002222286971"</f>
        <v>2002222286971</v>
      </c>
      <c r="I1270" t="str">
        <f>HYPERLINK("#", "https://opac.libnet.pref.okayama.jp/licsxp-opac/WOpacMsgNewListToTifTilDetailAction.do?tilcod=2002222286971")</f>
        <v>https://opac.libnet.pref.okayama.jp/licsxp-opac/WOpacMsgNewListToTifTilDetailAction.do?tilcod=2002222286971</v>
      </c>
    </row>
    <row r="1271" spans="1:9" x14ac:dyDescent="0.4">
      <c r="A1271" t="str">
        <f>"岡山県の人口"</f>
        <v>岡山県の人口</v>
      </c>
      <c r="B1271" s="1" t="str">
        <f t="shared" si="71"/>
        <v>岡山県の人口</v>
      </c>
      <c r="C1271" t="str">
        <f>"オカヤマケン　ノ　ジンコウ"</f>
        <v>オカヤマケン　ノ　ジンコウ</v>
      </c>
      <c r="D1271" t="str">
        <f>"岡山県総合政策局統計分析課"</f>
        <v>岡山県総合政策局統計分析課</v>
      </c>
      <c r="E1271" t="str">
        <f>"オカヤマケン ソウゴウ セイサクキョク トウケイ ブンセキカ"</f>
        <v>オカヤマケン ソウゴウ セイサクキョク トウケイ ブンセキカ</v>
      </c>
      <c r="F1271" t="str">
        <f>"岡山"</f>
        <v>岡山</v>
      </c>
      <c r="G1271" t="str">
        <f>"月刊"</f>
        <v>月刊</v>
      </c>
      <c r="H1271" t="str">
        <f>"2002222282381"</f>
        <v>2002222282381</v>
      </c>
      <c r="I1271" t="str">
        <f>HYPERLINK("#", "https://opac.libnet.pref.okayama.jp/licsxp-opac/WOpacMsgNewListToTifTilDetailAction.do?tilcod=2002222282381")</f>
        <v>https://opac.libnet.pref.okayama.jp/licsxp-opac/WOpacMsgNewListToTifTilDetailAction.do?tilcod=2002222282381</v>
      </c>
    </row>
    <row r="1272" spans="1:9" x14ac:dyDescent="0.4">
      <c r="A1272" t="str">
        <f>"岡山県の賃金・雇用の動き；毎月勤労統計調査地方調査結果速報；毎月勤労統計調査地方調査年報"</f>
        <v>岡山県の賃金・雇用の動き；毎月勤労統計調査地方調査結果速報；毎月勤労統計調査地方調査年報</v>
      </c>
      <c r="B1272" s="1" t="str">
        <f t="shared" si="71"/>
        <v>岡山県の賃金・雇用の動き；毎月勤労統計調査地方調査結果速報；毎月勤労統計調査地方調査年報</v>
      </c>
      <c r="C1272" t="str">
        <f>"オカヤマケン　ノ　チンギン　コヨウ　ノ　ウゴキ＊マイツキ　キンロウ　トウケイ　チョウサ　チホウ　チョウサ　ケッカ　ソクホウ＊マイツキ　キンロウ　トウケイ　チョウサ　チホウ　チョウサ　ネンポウ"</f>
        <v>オカヤマケン　ノ　チンギン　コヨウ　ノ　ウゴキ＊マイツキ　キンロウ　トウケイ　チョウサ　チホウ　チョウサ　ケッカ　ソクホウ＊マイツキ　キンロウ　トウケイ　チョウサ　チホウ　チョウサ　ネンポウ</v>
      </c>
      <c r="D1272" t="str">
        <f>"岡山県企画部統計管理課"</f>
        <v>岡山県企画部統計管理課</v>
      </c>
      <c r="E1272" t="str">
        <f>"オカヤマケン キカクブ トウケイ カンリカ"</f>
        <v>オカヤマケン キカクブ トウケイ カンリカ</v>
      </c>
      <c r="F1272" t="str">
        <f>"岡山"</f>
        <v>岡山</v>
      </c>
      <c r="G1272" t="str">
        <f>"月刊"</f>
        <v>月刊</v>
      </c>
      <c r="H1272" t="str">
        <f>"2002222292091"</f>
        <v>2002222292091</v>
      </c>
      <c r="I1272" t="str">
        <f>HYPERLINK("#", "https://opac.libnet.pref.okayama.jp/licsxp-opac/WOpacMsgNewListToTifTilDetailAction.do?tilcod=2002222292091")</f>
        <v>https://opac.libnet.pref.okayama.jp/licsxp-opac/WOpacMsgNewListToTifTilDetailAction.do?tilcod=2002222292091</v>
      </c>
    </row>
    <row r="1273" spans="1:9" x14ac:dyDescent="0.4">
      <c r="A1273" t="str">
        <f>"岡山県の賃金，労働時間及び雇用；毎月勤労統計調査地方調査報告書"</f>
        <v>岡山県の賃金，労働時間及び雇用；毎月勤労統計調査地方調査報告書</v>
      </c>
      <c r="B1273" s="1" t="str">
        <f t="shared" si="71"/>
        <v>岡山県の賃金，労働時間及び雇用；毎月勤労統計調査地方調査報告書</v>
      </c>
      <c r="C1273" t="str">
        <f>"オカヤマケン　ノ　チンギン　ロウドウ　ジカン　オヨビ　コヨウ＊マイツキ　キンロウ　トウケイ　チョウサ　チホウ　チョウサ　ホウコクショ"</f>
        <v>オカヤマケン　ノ　チンギン　ロウドウ　ジカン　オヨビ　コヨウ＊マイツキ　キンロウ　トウケイ　チョウサ　チホウ　チョウサ　ホウコクショ</v>
      </c>
      <c r="D1273" t="str">
        <f>"岡山県企画部"</f>
        <v>岡山県企画部</v>
      </c>
      <c r="E1273" t="str">
        <f>"オカヤマケンキカクブ"</f>
        <v>オカヤマケンキカクブ</v>
      </c>
      <c r="F1273" t="str">
        <f>""</f>
        <v/>
      </c>
      <c r="G1273" t="str">
        <f>"頻度不明"</f>
        <v>頻度不明</v>
      </c>
      <c r="H1273" t="str">
        <f>"2002222289913"</f>
        <v>2002222289913</v>
      </c>
      <c r="I1273" t="str">
        <f>HYPERLINK("#", "https://opac.libnet.pref.okayama.jp/licsxp-opac/WOpacMsgNewListToTifTilDetailAction.do?tilcod=2002222289913")</f>
        <v>https://opac.libnet.pref.okayama.jp/licsxp-opac/WOpacMsgNewListToTifTilDetailAction.do?tilcod=2002222289913</v>
      </c>
    </row>
    <row r="1274" spans="1:9" x14ac:dyDescent="0.4">
      <c r="A1274" t="str">
        <f>"岡山県の賃金・労働時間・雇用の動き；毎月勤労統計調査地方調査結果；毎月勤労統計調査地方調査年報"</f>
        <v>岡山県の賃金・労働時間・雇用の動き；毎月勤労統計調査地方調査結果；毎月勤労統計調査地方調査年報</v>
      </c>
      <c r="B1274" s="1" t="str">
        <f t="shared" si="71"/>
        <v>岡山県の賃金・労働時間・雇用の動き；毎月勤労統計調査地方調査結果；毎月勤労統計調査地方調査年報</v>
      </c>
      <c r="C1274" t="str">
        <f>"オカヤマケン　ノ　チンギン　ロウドウ　ジカン　コヨウ　ノ　ウゴキ＊マイツキ　キンロウ　トウケイ　チョウサ　チホウ　チョウサ　ケッカ＊マイツキ　キンロウ　トウケイ　チョウサ　チホウ　チョウサ　ネンポウ"</f>
        <v>オカヤマケン　ノ　チンギン　ロウドウ　ジカン　コヨウ　ノ　ウゴキ＊マイツキ　キンロウ　トウケイ　チョウサ　チホウ　チョウサ　ケッカ＊マイツキ　キンロウ　トウケイ　チョウサ　チホウ　チョウサ　ネンポウ</v>
      </c>
      <c r="D1274" t="str">
        <f>"岡山県総合政策局統計分析課"</f>
        <v>岡山県総合政策局統計分析課</v>
      </c>
      <c r="E1274" t="str">
        <f>"オカヤマケン ソウゴウ セイサクキョク トウケイ ブンセキカ"</f>
        <v>オカヤマケン ソウゴウ セイサクキョク トウケイ ブンセキカ</v>
      </c>
      <c r="F1274" t="str">
        <f>"岡山"</f>
        <v>岡山</v>
      </c>
      <c r="G1274" t="str">
        <f>"月刊"</f>
        <v>月刊</v>
      </c>
      <c r="H1274" t="str">
        <f>"2002222282551"</f>
        <v>2002222282551</v>
      </c>
      <c r="I1274" t="str">
        <f>HYPERLINK("#", "https://opac.libnet.pref.okayama.jp/licsxp-opac/WOpacMsgNewListToTifTilDetailAction.do?tilcod=2002222282551")</f>
        <v>https://opac.libnet.pref.okayama.jp/licsxp-opac/WOpacMsgNewListToTifTilDetailAction.do?tilcod=2002222282551</v>
      </c>
    </row>
    <row r="1275" spans="1:9" x14ac:dyDescent="0.4">
      <c r="A1275" t="str">
        <f>"岡山県の土地改良"</f>
        <v>岡山県の土地改良</v>
      </c>
      <c r="B1275" s="1" t="str">
        <f t="shared" si="71"/>
        <v>岡山県の土地改良</v>
      </c>
      <c r="C1275" t="str">
        <f>"オカヤマケン　ノ　トチ　カイリョウ"</f>
        <v>オカヤマケン　ノ　トチ　カイリョウ</v>
      </c>
      <c r="D1275" t="str">
        <f>"岡山県土地改良事業団体連合会"</f>
        <v>岡山県土地改良事業団体連合会</v>
      </c>
      <c r="E1275" t="str">
        <f>"オカヤマケン トチ カイリョウ ジギョウ ダンタイ レンゴウカイ"</f>
        <v>オカヤマケン トチ カイリョウ ジギョウ ダンタイ レンゴウカイ</v>
      </c>
      <c r="F1275" t="str">
        <f>""</f>
        <v/>
      </c>
      <c r="G1275" t="str">
        <f>"頻度不明"</f>
        <v>頻度不明</v>
      </c>
      <c r="H1275" t="str">
        <f>"2002222286981"</f>
        <v>2002222286981</v>
      </c>
      <c r="I1275" t="str">
        <f>HYPERLINK("#", "https://opac.libnet.pref.okayama.jp/licsxp-opac/WOpacMsgNewListToTifTilDetailAction.do?tilcod=2002222286981")</f>
        <v>https://opac.libnet.pref.okayama.jp/licsxp-opac/WOpacMsgNewListToTifTilDetailAction.do?tilcod=2002222286981</v>
      </c>
    </row>
    <row r="1276" spans="1:9" x14ac:dyDescent="0.4">
      <c r="A1276" t="str">
        <f>"岡山県農会報"</f>
        <v>岡山県農会報</v>
      </c>
      <c r="B1276" s="1" t="str">
        <f t="shared" si="71"/>
        <v>岡山県農会報</v>
      </c>
      <c r="C1276" t="str">
        <f>"オカヤマケン　ノウカイホウ"</f>
        <v>オカヤマケン　ノウカイホウ</v>
      </c>
      <c r="D1276" t="str">
        <f>"岡山県農会"</f>
        <v>岡山県農会</v>
      </c>
      <c r="E1276" t="str">
        <f>"オカヤマケン ノウカイ"</f>
        <v>オカヤマケン ノウカイ</v>
      </c>
      <c r="F1276" t="str">
        <f>""</f>
        <v/>
      </c>
      <c r="G1276" t="str">
        <f>"頻度不明"</f>
        <v>頻度不明</v>
      </c>
      <c r="H1276" t="str">
        <f>"2002222286931"</f>
        <v>2002222286931</v>
      </c>
      <c r="I1276" t="str">
        <f>HYPERLINK("#", "https://opac.libnet.pref.okayama.jp/licsxp-opac/WOpacMsgNewListToTifTilDetailAction.do?tilcod=2002222286931")</f>
        <v>https://opac.libnet.pref.okayama.jp/licsxp-opac/WOpacMsgNewListToTifTilDetailAction.do?tilcod=2002222286931</v>
      </c>
    </row>
    <row r="1277" spans="1:9" x14ac:dyDescent="0.4">
      <c r="A1277" t="str">
        <f>"〔岡山県農企業者クラブ〕クラブ通信"</f>
        <v>〔岡山県農企業者クラブ〕クラブ通信</v>
      </c>
      <c r="B1277" s="1" t="str">
        <f t="shared" si="71"/>
        <v>〔岡山県農企業者クラブ〕クラブ通信</v>
      </c>
      <c r="C1277" t="str">
        <f>"オカヤマケン　ノウキギョウシャ　クラブ＊クラブ　ツウシン"</f>
        <v>オカヤマケン　ノウキギョウシャ　クラブ＊クラブ　ツウシン</v>
      </c>
      <c r="D1277" t="str">
        <f>"岡山県農企業者クラブ"</f>
        <v>岡山県農企業者クラブ</v>
      </c>
      <c r="E1277" t="str">
        <f>"オカヤマケンノウキギョウシャクラブ"</f>
        <v>オカヤマケンノウキギョウシャクラブ</v>
      </c>
      <c r="F1277" t="str">
        <f>""</f>
        <v/>
      </c>
      <c r="G1277" t="str">
        <f>"頻度不明"</f>
        <v>頻度不明</v>
      </c>
      <c r="H1277" t="str">
        <f>"2002222280183"</f>
        <v>2002222280183</v>
      </c>
      <c r="I1277" t="str">
        <f>HYPERLINK("#", "https://opac.libnet.pref.okayama.jp/licsxp-opac/WOpacMsgNewListToTifTilDetailAction.do?tilcod=2002222280183")</f>
        <v>https://opac.libnet.pref.okayama.jp/licsxp-opac/WOpacMsgNewListToTifTilDetailAction.do?tilcod=2002222280183</v>
      </c>
    </row>
    <row r="1278" spans="1:9" x14ac:dyDescent="0.4">
      <c r="A1278" t="str">
        <f>"岡山県農業開発研究所研究年報"</f>
        <v>岡山県農業開発研究所研究年報</v>
      </c>
      <c r="B1278" s="1" t="str">
        <f t="shared" si="71"/>
        <v>岡山県農業開発研究所研究年報</v>
      </c>
      <c r="C1278" t="str">
        <f>"オカヤマケン　ノウギョウ　カイハツ　ケンキュウショ　ケンキュウ　ネンポウ"</f>
        <v>オカヤマケン　ノウギョウ　カイハツ　ケンキュウショ　ケンキュウ　ネンポウ</v>
      </c>
      <c r="D1278" t="str">
        <f>"岡山県農業開発研究所"</f>
        <v>岡山県農業開発研究所</v>
      </c>
      <c r="E1278" t="str">
        <f>"オカヤマケン ノウギョウ カイハツ ケンキュウジョ"</f>
        <v>オカヤマケン ノウギョウ カイハツ ケンキュウジョ</v>
      </c>
      <c r="F1278" t="str">
        <f>""</f>
        <v/>
      </c>
      <c r="G1278" t="str">
        <f>"頻度不明"</f>
        <v>頻度不明</v>
      </c>
      <c r="H1278" t="str">
        <f>"2002222289733"</f>
        <v>2002222289733</v>
      </c>
      <c r="I1278" t="str">
        <f>HYPERLINK("#", "https://opac.libnet.pref.okayama.jp/licsxp-opac/WOpacMsgNewListToTifTilDetailAction.do?tilcod=2002222289733")</f>
        <v>https://opac.libnet.pref.okayama.jp/licsxp-opac/WOpacMsgNewListToTifTilDetailAction.do?tilcod=2002222289733</v>
      </c>
    </row>
    <row r="1279" spans="1:9" x14ac:dyDescent="0.4">
      <c r="A1279" t="str">
        <f>"岡山県農業学会誌"</f>
        <v>岡山県農業学会誌</v>
      </c>
      <c r="B1279" s="1" t="str">
        <f t="shared" si="71"/>
        <v>岡山県農業学会誌</v>
      </c>
      <c r="C1279" t="str">
        <f>"オカヤマケン　ノウギョウ　ガッカイシ"</f>
        <v>オカヤマケン　ノウギョウ　ガッカイシ</v>
      </c>
      <c r="D1279" t="str">
        <f>"岡山県農業学会"</f>
        <v>岡山県農業学会</v>
      </c>
      <c r="E1279" t="str">
        <f>"オカヤマケン ノウギョウ ガッカイ"</f>
        <v>オカヤマケン ノウギョウ ガッカイ</v>
      </c>
      <c r="F1279" t="str">
        <f>""</f>
        <v/>
      </c>
      <c r="G1279" t="str">
        <f>"頻度不明"</f>
        <v>頻度不明</v>
      </c>
      <c r="H1279" t="str">
        <f>"2002222289723"</f>
        <v>2002222289723</v>
      </c>
      <c r="I1279" t="str">
        <f>HYPERLINK("#", "https://opac.libnet.pref.okayama.jp/licsxp-opac/WOpacMsgNewListToTifTilDetailAction.do?tilcod=2002222289723")</f>
        <v>https://opac.libnet.pref.okayama.jp/licsxp-opac/WOpacMsgNewListToTifTilDetailAction.do?tilcod=2002222289723</v>
      </c>
    </row>
    <row r="1280" spans="1:9" x14ac:dyDescent="0.4">
      <c r="A1280" t="str">
        <f>"〔岡山県農業機械教育センター〕所報"</f>
        <v>〔岡山県農業機械教育センター〕所報</v>
      </c>
      <c r="B1280" s="1" t="str">
        <f t="shared" si="71"/>
        <v>〔岡山県農業機械教育センター〕所報</v>
      </c>
      <c r="C1280" t="str">
        <f>"オカヤマケン　ノウギョウ　キカイ　キョウイク　センター　ショホウ"</f>
        <v>オカヤマケン　ノウギョウ　キカイ　キョウイク　センター　ショホウ</v>
      </c>
      <c r="D1280" t="str">
        <f>"岡山県農業機械教育センター"</f>
        <v>岡山県農業機械教育センター</v>
      </c>
      <c r="E1280" t="str">
        <f>"オカヤマケンノウギョウキカイキョウイクセンター"</f>
        <v>オカヤマケンノウギョウキカイキョウイクセンター</v>
      </c>
      <c r="F1280" t="str">
        <f>"岡山"</f>
        <v>岡山</v>
      </c>
      <c r="G1280" t="str">
        <f>"年刊"</f>
        <v>年刊</v>
      </c>
      <c r="H1280" t="str">
        <f>"2002222294791"</f>
        <v>2002222294791</v>
      </c>
      <c r="I1280" t="str">
        <f>HYPERLINK("#", "https://opac.libnet.pref.okayama.jp/licsxp-opac/WOpacMsgNewListToTifTilDetailAction.do?tilcod=2002222294791")</f>
        <v>https://opac.libnet.pref.okayama.jp/licsxp-opac/WOpacMsgNewListToTifTilDetailAction.do?tilcod=2002222294791</v>
      </c>
    </row>
    <row r="1281" spans="1:9" x14ac:dyDescent="0.4">
      <c r="A1281" t="str">
        <f>"岡山県農業総合センター農業試験場研究報告"</f>
        <v>岡山県農業総合センター農業試験場研究報告</v>
      </c>
      <c r="B1281" s="1" t="str">
        <f t="shared" si="71"/>
        <v>岡山県農業総合センター農業試験場研究報告</v>
      </c>
      <c r="C1281" t="str">
        <f>"オカヤマケン　ノウギョウ　ソウゴウ　センター　ノウギョウ　シケンジョウ　ケンキュウ　ホウコク"</f>
        <v>オカヤマケン　ノウギョウ　ソウゴウ　センター　ノウギョウ　シケンジョウ　ケンキュウ　ホウコク</v>
      </c>
      <c r="D1281" t="str">
        <f>"岡山県農業総合センター農業試験場"</f>
        <v>岡山県農業総合センター農業試験場</v>
      </c>
      <c r="E1281" t="str">
        <f>"オカヤマケン ノウギョウ ソウゴウセンター ノウギョウ シケンジョウ"</f>
        <v>オカヤマケン ノウギョウ ソウゴウセンター ノウギョウ シケンジョウ</v>
      </c>
      <c r="F1281" t="str">
        <f>"山陽町（赤磐郡）"</f>
        <v>山陽町（赤磐郡）</v>
      </c>
      <c r="G1281" t="str">
        <f>"年刊"</f>
        <v>年刊</v>
      </c>
      <c r="H1281" t="str">
        <f>"2002222282431"</f>
        <v>2002222282431</v>
      </c>
      <c r="I1281" t="str">
        <f>HYPERLINK("#", "https://opac.libnet.pref.okayama.jp/licsxp-opac/WOpacMsgNewListToTifTilDetailAction.do?tilcod=2002222282431")</f>
        <v>https://opac.libnet.pref.okayama.jp/licsxp-opac/WOpacMsgNewListToTifTilDetailAction.do?tilcod=2002222282431</v>
      </c>
    </row>
    <row r="1282" spans="1:9" x14ac:dyDescent="0.4">
      <c r="A1282" t="str">
        <f>"〔岡山県農事講習所・岡山県農学校〕同窓会会報"</f>
        <v>〔岡山県農事講習所・岡山県農学校〕同窓会会報</v>
      </c>
      <c r="B1282" s="1" t="str">
        <f t="shared" si="71"/>
        <v>〔岡山県農事講習所・岡山県農学校〕同窓会会報</v>
      </c>
      <c r="C1282" t="str">
        <f>"オカヤマケン　ノウジ　コウシュウジョ　オカヤマケン　ノウガッコウ　ドウソウカイ　カイホウ"</f>
        <v>オカヤマケン　ノウジ　コウシュウジョ　オカヤマケン　ノウガッコウ　ドウソウカイ　カイホウ</v>
      </c>
      <c r="D1282" t="str">
        <f>"岡山県農学校"</f>
        <v>岡山県農学校</v>
      </c>
      <c r="E1282" t="str">
        <f>"オカヤマケンノウガッコウ"</f>
        <v>オカヤマケンノウガッコウ</v>
      </c>
      <c r="F1282" t="str">
        <f>""</f>
        <v/>
      </c>
      <c r="G1282" t="str">
        <f>"頻度不明"</f>
        <v>頻度不明</v>
      </c>
      <c r="H1282" t="str">
        <f>"2002222286941"</f>
        <v>2002222286941</v>
      </c>
      <c r="I1282" t="str">
        <f>HYPERLINK("#", "https://opac.libnet.pref.okayama.jp/licsxp-opac/WOpacMsgNewListToTifTilDetailAction.do?tilcod=2002222286941")</f>
        <v>https://opac.libnet.pref.okayama.jp/licsxp-opac/WOpacMsgNewListToTifTilDetailAction.do?tilcod=2002222286941</v>
      </c>
    </row>
    <row r="1283" spans="1:9" x14ac:dyDescent="0.4">
      <c r="A1283" t="str">
        <f>"岡山県農林広報"</f>
        <v>岡山県農林広報</v>
      </c>
      <c r="B1283" s="1" t="str">
        <f t="shared" si="71"/>
        <v>岡山県農林広報</v>
      </c>
      <c r="C1283" t="str">
        <f>"オカヤマケン　ノウリン　コウホウ"</f>
        <v>オカヤマケン　ノウリン　コウホウ</v>
      </c>
      <c r="D1283" t="str">
        <f>"岡山県農林協会"</f>
        <v>岡山県農林協会</v>
      </c>
      <c r="E1283" t="str">
        <f>"オカヤマケンノウリンキョウカイ"</f>
        <v>オカヤマケンノウリンキョウカイ</v>
      </c>
      <c r="F1283" t="str">
        <f>""</f>
        <v/>
      </c>
      <c r="G1283" t="str">
        <f>"月刊"</f>
        <v>月刊</v>
      </c>
      <c r="H1283" t="str">
        <f>"2002222286951"</f>
        <v>2002222286951</v>
      </c>
      <c r="I1283" t="str">
        <f>HYPERLINK("#", "https://opac.libnet.pref.okayama.jp/licsxp-opac/WOpacMsgNewListToTifTilDetailAction.do?tilcod=2002222286951")</f>
        <v>https://opac.libnet.pref.okayama.jp/licsxp-opac/WOpacMsgNewListToTifTilDetailAction.do?tilcod=2002222286951</v>
      </c>
    </row>
    <row r="1284" spans="1:9" x14ac:dyDescent="0.4">
      <c r="A1284" t="str">
        <f>"岡山県配本所協議会会報"</f>
        <v>岡山県配本所協議会会報</v>
      </c>
      <c r="B1284" s="1" t="str">
        <f t="shared" ref="B1284:B1347" si="74">HYPERLINK("#", A1284)</f>
        <v>岡山県配本所協議会会報</v>
      </c>
      <c r="C1284" t="str">
        <f>"オカヤマケン　ハイホンジョ　キョウギカイ　カイホウ"</f>
        <v>オカヤマケン　ハイホンジョ　キョウギカイ　カイホウ</v>
      </c>
      <c r="D1284" t="str">
        <f>"岡山県配本所協議会"</f>
        <v>岡山県配本所協議会</v>
      </c>
      <c r="E1284" t="str">
        <f>"オカヤマケンハイホンジョキョウギカイ"</f>
        <v>オカヤマケンハイホンジョキョウギカイ</v>
      </c>
      <c r="F1284" t="str">
        <f>"岡山"</f>
        <v>岡山</v>
      </c>
      <c r="G1284" t="str">
        <f>"年刊"</f>
        <v>年刊</v>
      </c>
      <c r="H1284" t="str">
        <f>"2002222286171"</f>
        <v>2002222286171</v>
      </c>
      <c r="I1284" t="str">
        <f>HYPERLINK("#", "https://opac.libnet.pref.okayama.jp/licsxp-opac/WOpacMsgNewListToTifTilDetailAction.do?tilcod=2002222286171")</f>
        <v>https://opac.libnet.pref.okayama.jp/licsxp-opac/WOpacMsgNewListToTifTilDetailAction.do?tilcod=2002222286171</v>
      </c>
    </row>
    <row r="1285" spans="1:9" x14ac:dyDescent="0.4">
      <c r="A1285" t="str">
        <f>"〔岡山県備北青年の家〕所報"</f>
        <v>〔岡山県備北青年の家〕所報</v>
      </c>
      <c r="B1285" s="1" t="str">
        <f t="shared" si="74"/>
        <v>〔岡山県備北青年の家〕所報</v>
      </c>
      <c r="C1285" t="str">
        <f>"オカヤマケン　ビホク　セイネン　ノ　イエ　ショホウ"</f>
        <v>オカヤマケン　ビホク　セイネン　ノ　イエ　ショホウ</v>
      </c>
      <c r="D1285" t="str">
        <f>"岡山県備北青年の家"</f>
        <v>岡山県備北青年の家</v>
      </c>
      <c r="E1285" t="str">
        <f>"オカヤマケンビホクセイネンノイエ"</f>
        <v>オカヤマケンビホクセイネンノイエ</v>
      </c>
      <c r="F1285" t="str">
        <f>"新見"</f>
        <v>新見</v>
      </c>
      <c r="G1285" t="str">
        <f>"年刊"</f>
        <v>年刊</v>
      </c>
      <c r="H1285" t="str">
        <f>"2002222281003"</f>
        <v>2002222281003</v>
      </c>
      <c r="I1285" t="str">
        <f>HYPERLINK("#", "https://opac.libnet.pref.okayama.jp/licsxp-opac/WOpacMsgNewListToTifTilDetailAction.do?tilcod=2002222281003")</f>
        <v>https://opac.libnet.pref.okayama.jp/licsxp-opac/WOpacMsgNewListToTifTilDetailAction.do?tilcod=2002222281003</v>
      </c>
    </row>
    <row r="1286" spans="1:9" x14ac:dyDescent="0.4">
      <c r="A1286" t="str">
        <f>"岡山県病院薬剤師会会報"</f>
        <v>岡山県病院薬剤師会会報</v>
      </c>
      <c r="B1286" s="1" t="str">
        <f t="shared" si="74"/>
        <v>岡山県病院薬剤師会会報</v>
      </c>
      <c r="C1286" t="str">
        <f>"オカヤマケン　ビョウイン　ヤクザイシカイ　カイホウ"</f>
        <v>オカヤマケン　ビョウイン　ヤクザイシカイ　カイホウ</v>
      </c>
      <c r="D1286" t="str">
        <f>"岡山県病院薬剤師会"</f>
        <v>岡山県病院薬剤師会</v>
      </c>
      <c r="E1286" t="str">
        <f>"オカヤマケンビョウインヤクザイシカイ"</f>
        <v>オカヤマケンビョウインヤクザイシカイ</v>
      </c>
      <c r="F1286" t="str">
        <f>""</f>
        <v/>
      </c>
      <c r="G1286" t="str">
        <f>"頻度不明"</f>
        <v>頻度不明</v>
      </c>
      <c r="H1286" t="str">
        <f>"2002222281013"</f>
        <v>2002222281013</v>
      </c>
      <c r="I1286" t="str">
        <f>HYPERLINK("#", "https://opac.libnet.pref.okayama.jp/licsxp-opac/WOpacMsgNewListToTifTilDetailAction.do?tilcod=2002222281013")</f>
        <v>https://opac.libnet.pref.okayama.jp/licsxp-opac/WOpacMsgNewListToTifTilDetailAction.do?tilcod=2002222281013</v>
      </c>
    </row>
    <row r="1287" spans="1:9" x14ac:dyDescent="0.4">
      <c r="A1287" t="str">
        <f>"岡山県文化財保護協会ＮＥＷＳ"</f>
        <v>岡山県文化財保護協会ＮＥＷＳ</v>
      </c>
      <c r="B1287" s="1" t="str">
        <f t="shared" si="74"/>
        <v>岡山県文化財保護協会ＮＥＷＳ</v>
      </c>
      <c r="C1287" t="str">
        <f>"オカヤマケン　ブンカザイ　ホゴ　キョウカイ　ニュース"</f>
        <v>オカヤマケン　ブンカザイ　ホゴ　キョウカイ　ニュース</v>
      </c>
      <c r="D1287" t="str">
        <f>"岡山県文化財保護協会"</f>
        <v>岡山県文化財保護協会</v>
      </c>
      <c r="E1287" t="str">
        <f>"オカヤマケン ブンカザイ ホゴ キョウカイ"</f>
        <v>オカヤマケン ブンカザイ ホゴ キョウカイ</v>
      </c>
      <c r="F1287" t="str">
        <f>"岡山"</f>
        <v>岡山</v>
      </c>
      <c r="G1287" t="str">
        <f>"年刊"</f>
        <v>年刊</v>
      </c>
      <c r="H1287" t="str">
        <f>"2002222301148"</f>
        <v>2002222301148</v>
      </c>
      <c r="I1287" t="str">
        <f>HYPERLINK("#", "https://opac.libnet.pref.okayama.jp/licsxp-opac/WOpacMsgNewListToTifTilDetailAction.do?tilcod=2002222301148")</f>
        <v>https://opac.libnet.pref.okayama.jp/licsxp-opac/WOpacMsgNewListToTifTilDetailAction.do?tilcod=2002222301148</v>
      </c>
    </row>
    <row r="1288" spans="1:9" x14ac:dyDescent="0.4">
      <c r="A1288" t="str">
        <f>"［岡山県へき地教育研究連盟］研究集録"</f>
        <v>［岡山県へき地教育研究連盟］研究集録</v>
      </c>
      <c r="B1288" s="1" t="str">
        <f t="shared" si="74"/>
        <v>［岡山県へき地教育研究連盟］研究集録</v>
      </c>
      <c r="C1288" t="str">
        <f>"オカヤマケン　ヘキチ　キョウイク　ケンキュウ　レンメイ　ケンキュウ　シュウロク"</f>
        <v>オカヤマケン　ヘキチ　キョウイク　ケンキュウ　レンメイ　ケンキュウ　シュウロク</v>
      </c>
      <c r="D1288" t="str">
        <f>"岡山県へき地教育研究連盟"</f>
        <v>岡山県へき地教育研究連盟</v>
      </c>
      <c r="E1288" t="str">
        <f>"オカヤマケン ヘキチ キョウイク ケンキュウ レンメイ"</f>
        <v>オカヤマケン ヘキチ キョウイク ケンキュウ レンメイ</v>
      </c>
      <c r="F1288" t="str">
        <f>"［出版地不明］"</f>
        <v>［出版地不明］</v>
      </c>
      <c r="G1288" t="str">
        <f>"年刊"</f>
        <v>年刊</v>
      </c>
      <c r="H1288" t="str">
        <f>"2002222282921"</f>
        <v>2002222282921</v>
      </c>
      <c r="I1288" t="str">
        <f>HYPERLINK("#", "https://opac.libnet.pref.okayama.jp/licsxp-opac/WOpacMsgNewListToTifTilDetailAction.do?tilcod=2002222282921")</f>
        <v>https://opac.libnet.pref.okayama.jp/licsxp-opac/WOpacMsgNewListToTifTilDetailAction.do?tilcod=2002222282921</v>
      </c>
    </row>
    <row r="1289" spans="1:9" x14ac:dyDescent="0.4">
      <c r="A1289" t="str">
        <f>"［岡山県へき地・複式教育研究連盟］研究集録"</f>
        <v>［岡山県へき地・複式教育研究連盟］研究集録</v>
      </c>
      <c r="B1289" s="1" t="str">
        <f t="shared" si="74"/>
        <v>［岡山県へき地・複式教育研究連盟］研究集録</v>
      </c>
      <c r="C1289" t="str">
        <f>"オカヤマケン　ヘキチ　フクシキ　キョウイク　ケンキュウ　レンメイ　ケンキュウ　シュウロク"</f>
        <v>オカヤマケン　ヘキチ　フクシキ　キョウイク　ケンキュウ　レンメイ　ケンキュウ　シュウロク</v>
      </c>
      <c r="D1289" t="str">
        <f>"岡山県へき地複式教育研究連盟"</f>
        <v>岡山県へき地複式教育研究連盟</v>
      </c>
      <c r="E1289" t="str">
        <f>"オカヤマケンヘキチフクシキキョウイクケンキュウレンメイ"</f>
        <v>オカヤマケンヘキチフクシキキョウイクケンキュウレンメイ</v>
      </c>
      <c r="F1289" t="str">
        <f>"［出版地不明］"</f>
        <v>［出版地不明］</v>
      </c>
      <c r="G1289" t="str">
        <f>"年刊"</f>
        <v>年刊</v>
      </c>
      <c r="H1289" t="str">
        <f>"2002222300243"</f>
        <v>2002222300243</v>
      </c>
      <c r="I1289" t="str">
        <f>HYPERLINK("#", "https://opac.libnet.pref.okayama.jp/licsxp-opac/WOpacMsgNewListToTifTilDetailAction.do?tilcod=2002222300243")</f>
        <v>https://opac.libnet.pref.okayama.jp/licsxp-opac/WOpacMsgNewListToTifTilDetailAction.do?tilcod=2002222300243</v>
      </c>
    </row>
    <row r="1290" spans="1:9" x14ac:dyDescent="0.4">
      <c r="A1290" t="str">
        <f>"岡山県貿易情報"</f>
        <v>岡山県貿易情報</v>
      </c>
      <c r="B1290" s="1" t="str">
        <f t="shared" si="74"/>
        <v>岡山県貿易情報</v>
      </c>
      <c r="C1290" t="str">
        <f>"オカヤマケン　ボウエキ　ジョウホウ"</f>
        <v>オカヤマケン　ボウエキ　ジョウホウ</v>
      </c>
      <c r="D1290" t="str">
        <f>"日本貿易振興機構（ジェトロ）岡山貿易情報センター"</f>
        <v>日本貿易振興機構（ジェトロ）岡山貿易情報センター</v>
      </c>
      <c r="E1290" t="str">
        <f>"ニホンボウエキシンコウキコウジェトロオカヤマボウエキジョウホウセンター"</f>
        <v>ニホンボウエキシンコウキコウジェトロオカヤマボウエキジョウホウセンター</v>
      </c>
      <c r="F1290" t="str">
        <f>"岡山"</f>
        <v>岡山</v>
      </c>
      <c r="G1290" t="str">
        <f>"月刊"</f>
        <v>月刊</v>
      </c>
      <c r="H1290" t="str">
        <f>"2002222281551"</f>
        <v>2002222281551</v>
      </c>
      <c r="I1290" t="str">
        <f>HYPERLINK("#", "https://opac.libnet.pref.okayama.jp/licsxp-opac/WOpacMsgNewListToTifTilDetailAction.do?tilcod=2002222281551")</f>
        <v>https://opac.libnet.pref.okayama.jp/licsxp-opac/WOpacMsgNewListToTifTilDetailAction.do?tilcod=2002222281551</v>
      </c>
    </row>
    <row r="1291" spans="1:9" x14ac:dyDescent="0.4">
      <c r="A1291" t="str">
        <f>"岡山県放射線技師会会誌"</f>
        <v>岡山県放射線技師会会誌</v>
      </c>
      <c r="B1291" s="1" t="str">
        <f t="shared" si="74"/>
        <v>岡山県放射線技師会会誌</v>
      </c>
      <c r="C1291" t="str">
        <f>"オカヤマケン ホウシャセン ギシカイ カイシ"</f>
        <v>オカヤマケン ホウシャセン ギシカイ カイシ</v>
      </c>
      <c r="D1291" t="str">
        <f>"岡山県放射線技師会"</f>
        <v>岡山県放射線技師会</v>
      </c>
      <c r="E1291" t="str">
        <f>"オカヤマケン ホウシャセン ギシカイ "</f>
        <v xml:space="preserve">オカヤマケン ホウシャセン ギシカイ </v>
      </c>
      <c r="F1291" t="str">
        <f>"岡山"</f>
        <v>岡山</v>
      </c>
      <c r="G1291" t="str">
        <f>"年刊"</f>
        <v>年刊</v>
      </c>
      <c r="H1291" t="str">
        <f>"2002222312266"</f>
        <v>2002222312266</v>
      </c>
      <c r="I1291" t="str">
        <f>HYPERLINK("#", "https://opac.libnet.pref.okayama.jp/licsxp-opac/WOpacMsgNewListToTifTilDetailAction.do?tilcod=2002222312266")</f>
        <v>https://opac.libnet.pref.okayama.jp/licsxp-opac/WOpacMsgNewListToTifTilDetailAction.do?tilcod=2002222312266</v>
      </c>
    </row>
    <row r="1292" spans="1:9" x14ac:dyDescent="0.4">
      <c r="A1292" t="str">
        <f>"岡山県母性衛生"</f>
        <v>岡山県母性衛生</v>
      </c>
      <c r="B1292" s="1" t="str">
        <f t="shared" si="74"/>
        <v>岡山県母性衛生</v>
      </c>
      <c r="C1292" t="str">
        <f>"オカヤマケン　ボセイ　エイセイ"</f>
        <v>オカヤマケン　ボセイ　エイセイ</v>
      </c>
      <c r="D1292" t="str">
        <f>"岡山県母性衛生学会"</f>
        <v>岡山県母性衛生学会</v>
      </c>
      <c r="E1292" t="str">
        <f>"オカヤマケンボセイエイセイガッカイ"</f>
        <v>オカヤマケンボセイエイセイガッカイ</v>
      </c>
      <c r="F1292" t="str">
        <f>""</f>
        <v/>
      </c>
      <c r="G1292" t="str">
        <f>"年刊"</f>
        <v>年刊</v>
      </c>
      <c r="H1292" t="str">
        <f>"2002222281033"</f>
        <v>2002222281033</v>
      </c>
      <c r="I1292" t="str">
        <f>HYPERLINK("#", "https://opac.libnet.pref.okayama.jp/licsxp-opac/WOpacMsgNewListToTifTilDetailAction.do?tilcod=2002222281033")</f>
        <v>https://opac.libnet.pref.okayama.jp/licsxp-opac/WOpacMsgNewListToTifTilDetailAction.do?tilcod=2002222281033</v>
      </c>
    </row>
    <row r="1293" spans="1:9" x14ac:dyDescent="0.4">
      <c r="A1293" t="str">
        <f>"岡山県ボランティアグループ連絡協議会広報誌"</f>
        <v>岡山県ボランティアグループ連絡協議会広報誌</v>
      </c>
      <c r="B1293" s="1" t="str">
        <f t="shared" si="74"/>
        <v>岡山県ボランティアグループ連絡協議会広報誌</v>
      </c>
      <c r="C1293" t="str">
        <f>"オカヤマケン　ボランティア　グループ　レンラク　キョウギカイ　コウホウシ"</f>
        <v>オカヤマケン　ボランティア　グループ　レンラク　キョウギカイ　コウホウシ</v>
      </c>
      <c r="D1293" t="str">
        <f>"岡山県ボランティアグループ連絡協議会"</f>
        <v>岡山県ボランティアグループ連絡協議会</v>
      </c>
      <c r="E1293" t="str">
        <f>"オカヤマケンボランティアグループレンラクキョウギカイ"</f>
        <v>オカヤマケンボランティアグループレンラクキョウギカイ</v>
      </c>
      <c r="F1293" t="str">
        <f>"岡山"</f>
        <v>岡山</v>
      </c>
      <c r="G1293" t="str">
        <f>"頻度不明"</f>
        <v>頻度不明</v>
      </c>
      <c r="H1293" t="str">
        <f>"2002222300348"</f>
        <v>2002222300348</v>
      </c>
      <c r="I1293" t="str">
        <f>HYPERLINK("#", "https://opac.libnet.pref.okayama.jp/licsxp-opac/WOpacMsgNewListToTifTilDetailAction.do?tilcod=2002222300348")</f>
        <v>https://opac.libnet.pref.okayama.jp/licsxp-opac/WOpacMsgNewListToTifTilDetailAction.do?tilcod=2002222300348</v>
      </c>
    </row>
    <row r="1294" spans="1:9" x14ac:dyDescent="0.4">
      <c r="A1294" t="str">
        <f>"〔岡山県本郷万歳郵便局〕郵便ニュース"</f>
        <v>〔岡山県本郷万歳郵便局〕郵便ニュース</v>
      </c>
      <c r="B1294" s="1" t="str">
        <f t="shared" si="74"/>
        <v>〔岡山県本郷万歳郵便局〕郵便ニュース</v>
      </c>
      <c r="C1294" t="str">
        <f>"オカヤマケン　ホンゴウ　マンザイ　ユウビンキョク　ユウビン　ニュース"</f>
        <v>オカヤマケン　ホンゴウ　マンザイ　ユウビンキョク　ユウビン　ニュース</v>
      </c>
      <c r="D1294" t="str">
        <f>"岡山県本郷万歳郵便局"</f>
        <v>岡山県本郷万歳郵便局</v>
      </c>
      <c r="E1294" t="str">
        <f>"オカヤマケンホウゴウマンザイユウビンキョク"</f>
        <v>オカヤマケンホウゴウマンザイユウビンキョク</v>
      </c>
      <c r="F1294" t="str">
        <f>"〔本郷村（阿哲郡）〕"</f>
        <v>〔本郷村（阿哲郡）〕</v>
      </c>
      <c r="G1294" t="str">
        <f>"月刊"</f>
        <v>月刊</v>
      </c>
      <c r="H1294" t="str">
        <f>"2002222301510"</f>
        <v>2002222301510</v>
      </c>
      <c r="I1294" t="str">
        <f>HYPERLINK("#", "https://opac.libnet.pref.okayama.jp/licsxp-opac/WOpacMsgNewListToTifTilDetailAction.do?tilcod=2002222301510")</f>
        <v>https://opac.libnet.pref.okayama.jp/licsxp-opac/WOpacMsgNewListToTifTilDetailAction.do?tilcod=2002222301510</v>
      </c>
    </row>
    <row r="1295" spans="1:9" x14ac:dyDescent="0.4">
      <c r="A1295" t="str">
        <f>"岡山県毎月流動人口調査結果"</f>
        <v>岡山県毎月流動人口調査結果</v>
      </c>
      <c r="B1295" s="1" t="str">
        <f t="shared" si="74"/>
        <v>岡山県毎月流動人口調査結果</v>
      </c>
      <c r="C1295" t="str">
        <f>"オカヤマケン　マイツキ　リュウドウ　ジンコウ　チョウサ　ケッカ"</f>
        <v>オカヤマケン　マイツキ　リュウドウ　ジンコウ　チョウサ　ケッカ</v>
      </c>
      <c r="D1295" t="str">
        <f>"岡山県企画振興部統計管理課"</f>
        <v>岡山県企画振興部統計管理課</v>
      </c>
      <c r="E1295" t="str">
        <f>"オカヤマケンキカクシンコウブトウケイカンリカ"</f>
        <v>オカヤマケンキカクシンコウブトウケイカンリカ</v>
      </c>
      <c r="F1295" t="str">
        <f>"岡山"</f>
        <v>岡山</v>
      </c>
      <c r="G1295" t="str">
        <f>"月刊"</f>
        <v>月刊</v>
      </c>
      <c r="H1295" t="str">
        <f>"2002222282141"</f>
        <v>2002222282141</v>
      </c>
      <c r="I1295" t="str">
        <f>HYPERLINK("#", "https://opac.libnet.pref.okayama.jp/licsxp-opac/WOpacMsgNewListToTifTilDetailAction.do?tilcod=2002222282141")</f>
        <v>https://opac.libnet.pref.okayama.jp/licsxp-opac/WOpacMsgNewListToTifTilDetailAction.do?tilcod=2002222282141</v>
      </c>
    </row>
    <row r="1296" spans="1:9" x14ac:dyDescent="0.4">
      <c r="A1296" t="str">
        <f>"[岡山県美作高等学校] 学校案内"</f>
        <v>[岡山県美作高等学校] 学校案内</v>
      </c>
      <c r="B1296" s="1" t="str">
        <f t="shared" si="74"/>
        <v>[岡山県美作高等学校] 学校案内</v>
      </c>
      <c r="C1296" t="str">
        <f>"オカヤマケン　ミマサカ　コウトウ　ガッコウ　ガッコウ　アンナイ"</f>
        <v>オカヤマケン　ミマサカ　コウトウ　ガッコウ　ガッコウ　アンナイ</v>
      </c>
      <c r="D1296" t="str">
        <f>"岡山県美作高等学校"</f>
        <v>岡山県美作高等学校</v>
      </c>
      <c r="E1296" t="str">
        <f>"オカヤマケン ミマサカ コウトウ ガッコウ"</f>
        <v>オカヤマケン ミマサカ コウトウ ガッコウ</v>
      </c>
      <c r="F1296" t="str">
        <f>"津山"</f>
        <v>津山</v>
      </c>
      <c r="G1296" t="str">
        <f>"年刊"</f>
        <v>年刊</v>
      </c>
      <c r="H1296" t="str">
        <f>"2002222301236"</f>
        <v>2002222301236</v>
      </c>
      <c r="I1296" t="str">
        <f>HYPERLINK("#", "https://opac.libnet.pref.okayama.jp/licsxp-opac/WOpacMsgNewListToTifTilDetailAction.do?tilcod=2002222301236")</f>
        <v>https://opac.libnet.pref.okayama.jp/licsxp-opac/WOpacMsgNewListToTifTilDetailAction.do?tilcod=2002222301236</v>
      </c>
    </row>
    <row r="1297" spans="1:9" x14ac:dyDescent="0.4">
      <c r="A1297" t="str">
        <f>"岡山県美作高等学校学校要覧"</f>
        <v>岡山県美作高等学校学校要覧</v>
      </c>
      <c r="B1297" s="1" t="str">
        <f t="shared" si="74"/>
        <v>岡山県美作高等学校学校要覧</v>
      </c>
      <c r="C1297" t="str">
        <f>"オカヤマケン　ミマサカ　コウトウ　ガッコウ　ガッコウ　ヨウラン"</f>
        <v>オカヤマケン　ミマサカ　コウトウ　ガッコウ　ガッコウ　ヨウラン</v>
      </c>
      <c r="D1297" t="str">
        <f>"岡山県美作高等学校"</f>
        <v>岡山県美作高等学校</v>
      </c>
      <c r="E1297" t="str">
        <f>"オカヤマケン ミマサカ コウトウ ガッコウ"</f>
        <v>オカヤマケン ミマサカ コウトウ ガッコウ</v>
      </c>
      <c r="F1297" t="str">
        <f>"津山"</f>
        <v>津山</v>
      </c>
      <c r="G1297" t="str">
        <f>"年刊"</f>
        <v>年刊</v>
      </c>
      <c r="H1297" t="str">
        <f>"2002222300587"</f>
        <v>2002222300587</v>
      </c>
      <c r="I1297" t="str">
        <f>HYPERLINK("#", "https://opac.libnet.pref.okayama.jp/licsxp-opac/WOpacMsgNewListToTifTilDetailAction.do?tilcod=2002222300587")</f>
        <v>https://opac.libnet.pref.okayama.jp/licsxp-opac/WOpacMsgNewListToTifTilDetailAction.do?tilcod=2002222300587</v>
      </c>
    </row>
    <row r="1298" spans="1:9" x14ac:dyDescent="0.4">
      <c r="A1298" t="str">
        <f>"〔岡山県美作高等学校〕みまさか"</f>
        <v>〔岡山県美作高等学校〕みまさか</v>
      </c>
      <c r="B1298" s="1" t="str">
        <f t="shared" si="74"/>
        <v>〔岡山県美作高等学校〕みまさか</v>
      </c>
      <c r="C1298" t="str">
        <f>"オカヤマケン　ミマサカコウトウガッコウ＊ミマサカ"</f>
        <v>オカヤマケン　ミマサカコウトウガッコウ＊ミマサカ</v>
      </c>
      <c r="D1298" t="str">
        <f>"岡山県美作高等学校"</f>
        <v>岡山県美作高等学校</v>
      </c>
      <c r="E1298" t="str">
        <f>"オカヤマケン ミマサカ コウトウ ガッコウ"</f>
        <v>オカヤマケン ミマサカ コウトウ ガッコウ</v>
      </c>
      <c r="F1298" t="str">
        <f>"津山"</f>
        <v>津山</v>
      </c>
      <c r="G1298" t="str">
        <f>"年刊"</f>
        <v>年刊</v>
      </c>
      <c r="H1298" t="str">
        <f>"2002222300566"</f>
        <v>2002222300566</v>
      </c>
      <c r="I1298" t="str">
        <f>HYPERLINK("#", "https://opac.libnet.pref.okayama.jp/licsxp-opac/WOpacMsgNewListToTifTilDetailAction.do?tilcod=2002222300566")</f>
        <v>https://opac.libnet.pref.okayama.jp/licsxp-opac/WOpacMsgNewListToTifTilDetailAction.do?tilcod=2002222300566</v>
      </c>
    </row>
    <row r="1299" spans="1:9" x14ac:dyDescent="0.4">
      <c r="A1299" t="str">
        <f>"〔岡山県盲教育後援会〕会報"</f>
        <v>〔岡山県盲教育後援会〕会報</v>
      </c>
      <c r="B1299" s="1" t="str">
        <f t="shared" si="74"/>
        <v>〔岡山県盲教育後援会〕会報</v>
      </c>
      <c r="C1299" t="str">
        <f>"オカヤマケン　モウキョウイク　コウエンカイ　カイホウ"</f>
        <v>オカヤマケン　モウキョウイク　コウエンカイ　カイホウ</v>
      </c>
      <c r="D1299" t="str">
        <f>"岡山県盲教育後援会"</f>
        <v>岡山県盲教育後援会</v>
      </c>
      <c r="E1299" t="str">
        <f>"オカヤマケンモウキョウイクコウエンカイ"</f>
        <v>オカヤマケンモウキョウイクコウエンカイ</v>
      </c>
      <c r="F1299" t="str">
        <f>""</f>
        <v/>
      </c>
      <c r="G1299" t="str">
        <f>"頻度不明"</f>
        <v>頻度不明</v>
      </c>
      <c r="H1299" t="str">
        <f>"2002222281043"</f>
        <v>2002222281043</v>
      </c>
      <c r="I1299" t="str">
        <f>HYPERLINK("#", "https://opac.libnet.pref.okayama.jp/licsxp-opac/WOpacMsgNewListToTifTilDetailAction.do?tilcod=2002222281043")</f>
        <v>https://opac.libnet.pref.okayama.jp/licsxp-opac/WOpacMsgNewListToTifTilDetailAction.do?tilcod=2002222281043</v>
      </c>
    </row>
    <row r="1300" spans="1:9" x14ac:dyDescent="0.4">
      <c r="A1300" t="str">
        <f>"〔岡山県盲人協会〕会報"</f>
        <v>〔岡山県盲人協会〕会報</v>
      </c>
      <c r="B1300" s="1" t="str">
        <f t="shared" si="74"/>
        <v>〔岡山県盲人協会〕会報</v>
      </c>
      <c r="C1300" t="str">
        <f>"オカヤマケン　モウジン　キョウカイ　カイホウ"</f>
        <v>オカヤマケン　モウジン　キョウカイ　カイホウ</v>
      </c>
      <c r="D1300" t="str">
        <f>"岡山県盲人協会"</f>
        <v>岡山県盲人協会</v>
      </c>
      <c r="E1300" t="str">
        <f>"オカヤマケン モウジン キョウカイ"</f>
        <v>オカヤマケン モウジン キョウカイ</v>
      </c>
      <c r="F1300" t="str">
        <f>""</f>
        <v/>
      </c>
      <c r="G1300" t="str">
        <f>"頻度不明"</f>
        <v>頻度不明</v>
      </c>
      <c r="H1300" t="str">
        <f>"2002222281053"</f>
        <v>2002222281053</v>
      </c>
      <c r="I1300" t="str">
        <f>HYPERLINK("#", "https://opac.libnet.pref.okayama.jp/licsxp-opac/WOpacMsgNewListToTifTilDetailAction.do?tilcod=2002222281053")</f>
        <v>https://opac.libnet.pref.okayama.jp/licsxp-opac/WOpacMsgNewListToTifTilDetailAction.do?tilcod=2002222281053</v>
      </c>
    </row>
    <row r="1301" spans="1:9" x14ac:dyDescent="0.4">
      <c r="A1301" t="str">
        <f>"岡山県木連会報"</f>
        <v>岡山県木連会報</v>
      </c>
      <c r="B1301" s="1" t="str">
        <f t="shared" si="74"/>
        <v>岡山県木連会報</v>
      </c>
      <c r="C1301" t="str">
        <f>"オカヤマケン　モクレンカイホウ"</f>
        <v>オカヤマケン　モクレンカイホウ</v>
      </c>
      <c r="D1301" t="str">
        <f>"岡山県木材組合連合会"</f>
        <v>岡山県木材組合連合会</v>
      </c>
      <c r="E1301" t="str">
        <f>"オカヤマケン モクザイ クミアイ レンゴウカイ"</f>
        <v>オカヤマケン モクザイ クミアイ レンゴウカイ</v>
      </c>
      <c r="F1301" t="str">
        <f>""</f>
        <v/>
      </c>
      <c r="G1301" t="str">
        <f>"頻度不明"</f>
        <v>頻度不明</v>
      </c>
      <c r="H1301" t="str">
        <f>"2002222281063"</f>
        <v>2002222281063</v>
      </c>
      <c r="I1301" t="str">
        <f>HYPERLINK("#", "https://opac.libnet.pref.okayama.jp/licsxp-opac/WOpacMsgNewListToTifTilDetailAction.do?tilcod=2002222281063")</f>
        <v>https://opac.libnet.pref.okayama.jp/licsxp-opac/WOpacMsgNewListToTifTilDetailAction.do?tilcod=2002222281063</v>
      </c>
    </row>
    <row r="1302" spans="1:9" x14ac:dyDescent="0.4">
      <c r="A1302" t="str">
        <f>"〔岡山県矢掛商業高等学校郷土研究部〕研究紀要"</f>
        <v>〔岡山県矢掛商業高等学校郷土研究部〕研究紀要</v>
      </c>
      <c r="B1302" s="1" t="str">
        <f t="shared" si="74"/>
        <v>〔岡山県矢掛商業高等学校郷土研究部〕研究紀要</v>
      </c>
      <c r="C1302" t="str">
        <f>"オカヤマケン　ヤカゲ　ショウギョウ　コウトウ　ガッコウ　キョウド　ケンキュウブ＊ケンキュウ　キヨウ"</f>
        <v>オカヤマケン　ヤカゲ　ショウギョウ　コウトウ　ガッコウ　キョウド　ケンキュウブ＊ケンキュウ　キヨウ</v>
      </c>
      <c r="D1302" t="str">
        <f>"岡山県矢掛商業高等学校郷土研究部"</f>
        <v>岡山県矢掛商業高等学校郷土研究部</v>
      </c>
      <c r="E1302" t="str">
        <f>"オカヤマケン ヤカゲ ショウギョウ コウトウ ガッコウ"</f>
        <v>オカヤマケン ヤカゲ ショウギョウ コウトウ ガッコウ</v>
      </c>
      <c r="F1302" t="str">
        <f>"矢掛町（小田郡）"</f>
        <v>矢掛町（小田郡）</v>
      </c>
      <c r="G1302" t="str">
        <f>"頻度不明"</f>
        <v>頻度不明</v>
      </c>
      <c r="H1302" t="str">
        <f>"2002222289513"</f>
        <v>2002222289513</v>
      </c>
      <c r="I1302" t="str">
        <f>HYPERLINK("#", "https://opac.libnet.pref.okayama.jp/licsxp-opac/WOpacMsgNewListToTifTilDetailAction.do?tilcod=2002222289513")</f>
        <v>https://opac.libnet.pref.okayama.jp/licsxp-opac/WOpacMsgNewListToTifTilDetailAction.do?tilcod=2002222289513</v>
      </c>
    </row>
    <row r="1303" spans="1:9" x14ac:dyDescent="0.4">
      <c r="A1303" t="str">
        <f>"〔岡山県矢掛商業高等学校〕紀要"</f>
        <v>〔岡山県矢掛商業高等学校〕紀要</v>
      </c>
      <c r="B1303" s="1" t="str">
        <f t="shared" si="74"/>
        <v>〔岡山県矢掛商業高等学校〕紀要</v>
      </c>
      <c r="C1303" t="str">
        <f>"オカヤマケン　ヤカゲ　ショウギョウ　コウトウ　ガッコウ＊キヨウ"</f>
        <v>オカヤマケン　ヤカゲ　ショウギョウ　コウトウ　ガッコウ＊キヨウ</v>
      </c>
      <c r="D1303" t="str">
        <f>"岡山県矢掛商業高等学校"</f>
        <v>岡山県矢掛商業高等学校</v>
      </c>
      <c r="E1303" t="str">
        <f>"オカヤマケン ヤカゲ ショウギョウ コウトウ ガッコウ"</f>
        <v>オカヤマケン ヤカゲ ショウギョウ コウトウ ガッコウ</v>
      </c>
      <c r="F1303" t="str">
        <f>"矢掛町（小田郡）"</f>
        <v>矢掛町（小田郡）</v>
      </c>
      <c r="G1303" t="str">
        <f>"頻度不明"</f>
        <v>頻度不明</v>
      </c>
      <c r="H1303" t="str">
        <f>"2002222323026"</f>
        <v>2002222323026</v>
      </c>
      <c r="I1303" t="str">
        <f>HYPERLINK("#", "https://opac.libnet.pref.okayama.jp/licsxp-opac/WOpacMsgNewListToTifTilDetailAction.do?tilcod=2002222323026")</f>
        <v>https://opac.libnet.pref.okayama.jp/licsxp-opac/WOpacMsgNewListToTifTilDetailAction.do?tilcod=2002222323026</v>
      </c>
    </row>
    <row r="1304" spans="1:9" x14ac:dyDescent="0.4">
      <c r="A1304" t="str">
        <f>"〔岡山県薬業協会〕会報"</f>
        <v>〔岡山県薬業協会〕会報</v>
      </c>
      <c r="B1304" s="1" t="str">
        <f t="shared" si="74"/>
        <v>〔岡山県薬業協会〕会報</v>
      </c>
      <c r="C1304" t="str">
        <f>"オカヤマケン　ヤクギョウ　キョウカイ　カイホウ"</f>
        <v>オカヤマケン　ヤクギョウ　キョウカイ　カイホウ</v>
      </c>
      <c r="D1304" t="str">
        <f>"岡山県薬業協会"</f>
        <v>岡山県薬業協会</v>
      </c>
      <c r="E1304" t="str">
        <f>"オカヤマケン ヤクギョウ キョウカイ"</f>
        <v>オカヤマケン ヤクギョウ キョウカイ</v>
      </c>
      <c r="F1304" t="str">
        <f>""</f>
        <v/>
      </c>
      <c r="G1304" t="str">
        <f>"年刊"</f>
        <v>年刊</v>
      </c>
      <c r="H1304" t="str">
        <f>"2002222281073"</f>
        <v>2002222281073</v>
      </c>
      <c r="I1304" t="str">
        <f>HYPERLINK("#", "https://opac.libnet.pref.okayama.jp/licsxp-opac/WOpacMsgNewListToTifTilDetailAction.do?tilcod=2002222281073")</f>
        <v>https://opac.libnet.pref.okayama.jp/licsxp-opac/WOpacMsgNewListToTifTilDetailAction.do?tilcod=2002222281073</v>
      </c>
    </row>
    <row r="1305" spans="1:9" x14ac:dyDescent="0.4">
      <c r="A1305" t="str">
        <f>"[岡山県薬剤師協会]会報"</f>
        <v>[岡山県薬剤師協会]会報</v>
      </c>
      <c r="B1305" s="1" t="str">
        <f t="shared" si="74"/>
        <v>[岡山県薬剤師協会]会報</v>
      </c>
      <c r="C1305" t="str">
        <f>"オカヤマケン ヤクザイシ キョウカイ カイホウ"</f>
        <v>オカヤマケン ヤクザイシ キョウカイ カイホウ</v>
      </c>
      <c r="D1305" t="str">
        <f>"岡山県薬剤師協会"</f>
        <v>岡山県薬剤師協会</v>
      </c>
      <c r="E1305" t="str">
        <f>"オカヤマケン ヤクザイシ キョウカイ"</f>
        <v>オカヤマケン ヤクザイシ キョウカイ</v>
      </c>
      <c r="F1305" t="str">
        <f>"岡山"</f>
        <v>岡山</v>
      </c>
      <c r="G1305" t="str">
        <f>"頻度不明"</f>
        <v>頻度不明</v>
      </c>
      <c r="H1305" t="str">
        <f>"2002222336973"</f>
        <v>2002222336973</v>
      </c>
      <c r="I1305" t="str">
        <f>HYPERLINK("#", "https://opac.libnet.pref.okayama.jp/licsxp-opac/WOpacMsgNewListToTifTilDetailAction.do?tilcod=2002222336973")</f>
        <v>https://opac.libnet.pref.okayama.jp/licsxp-opac/WOpacMsgNewListToTifTilDetailAction.do?tilcod=2002222336973</v>
      </c>
    </row>
    <row r="1306" spans="1:9" x14ac:dyDescent="0.4">
      <c r="A1306" t="str">
        <f>"岡山県薬剤師会会報"</f>
        <v>岡山県薬剤師会会報</v>
      </c>
      <c r="B1306" s="1" t="str">
        <f t="shared" si="74"/>
        <v>岡山県薬剤師会会報</v>
      </c>
      <c r="C1306" t="str">
        <f>"オカヤマケン　ヤクザイシカイ　カイホウ"</f>
        <v>オカヤマケン　ヤクザイシカイ　カイホウ</v>
      </c>
      <c r="D1306" t="str">
        <f>"岡山県薬剤師会"</f>
        <v>岡山県薬剤師会</v>
      </c>
      <c r="E1306" t="str">
        <f>"オカヤマケン ヤクザイシカイ"</f>
        <v>オカヤマケン ヤクザイシカイ</v>
      </c>
      <c r="F1306" t="str">
        <f>""</f>
        <v/>
      </c>
      <c r="G1306" t="str">
        <f>"頻度不明"</f>
        <v>頻度不明</v>
      </c>
      <c r="H1306" t="str">
        <f>"2002222281083"</f>
        <v>2002222281083</v>
      </c>
      <c r="I1306" t="str">
        <f>HYPERLINK("#", "https://opac.libnet.pref.okayama.jp/licsxp-opac/WOpacMsgNewListToTifTilDetailAction.do?tilcod=2002222281083")</f>
        <v>https://opac.libnet.pref.okayama.jp/licsxp-opac/WOpacMsgNewListToTifTilDetailAction.do?tilcod=2002222281083</v>
      </c>
    </row>
    <row r="1307" spans="1:9" x14ac:dyDescent="0.4">
      <c r="A1307" t="str">
        <f>"岡山県郵便局ニュース"</f>
        <v>岡山県郵便局ニュース</v>
      </c>
      <c r="B1307" s="1" t="str">
        <f t="shared" si="74"/>
        <v>岡山県郵便局ニュース</v>
      </c>
      <c r="C1307" t="str">
        <f>"オカヤマケン　ユウビンキョク　ニュース"</f>
        <v>オカヤマケン　ユウビンキョク　ニュース</v>
      </c>
      <c r="D1307" t="str">
        <f>"岡山郵便局"</f>
        <v>岡山郵便局</v>
      </c>
      <c r="E1307" t="str">
        <f>"オカヤマユウビンキョク"</f>
        <v>オカヤマユウビンキョク</v>
      </c>
      <c r="F1307" t="str">
        <f>"岡山"</f>
        <v>岡山</v>
      </c>
      <c r="G1307" t="str">
        <f>"月刊"</f>
        <v>月刊</v>
      </c>
      <c r="H1307" t="str">
        <f>"2002222300850"</f>
        <v>2002222300850</v>
      </c>
      <c r="I1307" t="str">
        <f>HYPERLINK("#", "https://opac.libnet.pref.okayama.jp/licsxp-opac/WOpacMsgNewListToTifTilDetailAction.do?tilcod=2002222300850")</f>
        <v>https://opac.libnet.pref.okayama.jp/licsxp-opac/WOpacMsgNewListToTifTilDetailAction.do?tilcod=2002222300850</v>
      </c>
    </row>
    <row r="1308" spans="1:9" x14ac:dyDescent="0.4">
      <c r="A1308" t="str">
        <f>"[岡山県養蜂協会]会報"</f>
        <v>[岡山県養蜂協会]会報</v>
      </c>
      <c r="B1308" s="1" t="str">
        <f t="shared" si="74"/>
        <v>[岡山県養蜂協会]会報</v>
      </c>
      <c r="C1308" t="str">
        <f>"オカヤマケン ヨウホウ キョウカイ カイホウ"</f>
        <v>オカヤマケン ヨウホウ キョウカイ カイホウ</v>
      </c>
      <c r="D1308" t="str">
        <f>"岡山県養蜂協会"</f>
        <v>岡山県養蜂協会</v>
      </c>
      <c r="E1308" t="str">
        <f>"オカヤマケン ヨウホウ キョウカイ"</f>
        <v>オカヤマケン ヨウホウ キョウカイ</v>
      </c>
      <c r="F1308" t="str">
        <f>"岡山"</f>
        <v>岡山</v>
      </c>
      <c r="G1308" t="str">
        <f>"頻度不明"</f>
        <v>頻度不明</v>
      </c>
      <c r="H1308" t="str">
        <f>"2002222343572"</f>
        <v>2002222343572</v>
      </c>
      <c r="I1308" t="str">
        <f>HYPERLINK("#", "https://opac.libnet.pref.okayama.jp/licsxp-opac/WOpacMsgNewListToTifTilDetailAction.do?tilcod=2002222343572")</f>
        <v>https://opac.libnet.pref.okayama.jp/licsxp-opac/WOpacMsgNewListToTifTilDetailAction.do?tilcod=2002222343572</v>
      </c>
    </row>
    <row r="1309" spans="1:9" x14ac:dyDescent="0.4">
      <c r="A1309" t="str">
        <f>"〔岡山県理科教育センター〕所報"</f>
        <v>〔岡山県理科教育センター〕所報</v>
      </c>
      <c r="B1309" s="1" t="str">
        <f t="shared" si="74"/>
        <v>〔岡山県理科教育センター〕所報</v>
      </c>
      <c r="C1309" t="str">
        <f>"オカヤマケン　リカ　キョウイク　センター　ショホウ"</f>
        <v>オカヤマケン　リカ　キョウイク　センター　ショホウ</v>
      </c>
      <c r="D1309" t="str">
        <f>"岡山県理科教育センター"</f>
        <v>岡山県理科教育センター</v>
      </c>
      <c r="E1309" t="str">
        <f>"オカヤマケン リカ キョウイク センター"</f>
        <v>オカヤマケン リカ キョウイク センター</v>
      </c>
      <c r="F1309" t="str">
        <f>""</f>
        <v/>
      </c>
      <c r="G1309" t="str">
        <f>"頻度不明"</f>
        <v>頻度不明</v>
      </c>
      <c r="H1309" t="str">
        <f>"2002222281123"</f>
        <v>2002222281123</v>
      </c>
      <c r="I1309" t="str">
        <f>HYPERLINK("#", "https://opac.libnet.pref.okayama.jp/licsxp-opac/WOpacMsgNewListToTifTilDetailAction.do?tilcod=2002222281123")</f>
        <v>https://opac.libnet.pref.okayama.jp/licsxp-opac/WOpacMsgNewListToTifTilDetailAction.do?tilcod=2002222281123</v>
      </c>
    </row>
    <row r="1310" spans="1:9" x14ac:dyDescent="0.4">
      <c r="A1310" t="str">
        <f>"[岡山県猟友会]会報"</f>
        <v>[岡山県猟友会]会報</v>
      </c>
      <c r="B1310" s="1" t="str">
        <f t="shared" si="74"/>
        <v>[岡山県猟友会]会報</v>
      </c>
      <c r="C1310" t="str">
        <f>"オカヤマケン リョウユウカイ カイホウ"</f>
        <v>オカヤマケン リョウユウカイ カイホウ</v>
      </c>
      <c r="D1310" t="str">
        <f>"岡山県猟友会"</f>
        <v>岡山県猟友会</v>
      </c>
      <c r="E1310" t="str">
        <f>"オカヤマケンリョウユウカイ"</f>
        <v>オカヤマケンリョウユウカイ</v>
      </c>
      <c r="F1310" t="str">
        <f>""</f>
        <v/>
      </c>
      <c r="G1310" t="str">
        <f>"年刊"</f>
        <v>年刊</v>
      </c>
      <c r="H1310" t="str">
        <f>"2002222306483"</f>
        <v>2002222306483</v>
      </c>
      <c r="I1310" t="str">
        <f>HYPERLINK("#", "https://opac.libnet.pref.okayama.jp/licsxp-opac/WOpacMsgNewListToTifTilDetailAction.do?tilcod=2002222306483")</f>
        <v>https://opac.libnet.pref.okayama.jp/licsxp-opac/WOpacMsgNewListToTifTilDetailAction.do?tilcod=2002222306483</v>
      </c>
    </row>
    <row r="1311" spans="1:9" x14ac:dyDescent="0.4">
      <c r="A1311" t="str">
        <f>"岡山県猟友会会報［複製］"</f>
        <v>岡山県猟友会会報［複製］</v>
      </c>
      <c r="B1311" s="1" t="str">
        <f t="shared" si="74"/>
        <v>岡山県猟友会会報［複製］</v>
      </c>
      <c r="C1311" t="str">
        <f>"オカヤマケン　リョウユウカイ　カイホウ　フクセイ"</f>
        <v>オカヤマケン　リョウユウカイ　カイホウ　フクセイ</v>
      </c>
      <c r="D1311" t="str">
        <f>"岡山県猟友会"</f>
        <v>岡山県猟友会</v>
      </c>
      <c r="E1311" t="str">
        <f>"オカヤマケンリョウユウカイ"</f>
        <v>オカヤマケンリョウユウカイ</v>
      </c>
      <c r="F1311" t="str">
        <f>"岡山市"</f>
        <v>岡山市</v>
      </c>
      <c r="G1311" t="str">
        <f>"年刊"</f>
        <v>年刊</v>
      </c>
      <c r="H1311" t="str">
        <f>"2002222282931"</f>
        <v>2002222282931</v>
      </c>
      <c r="I1311" t="str">
        <f>HYPERLINK("#", "https://opac.libnet.pref.okayama.jp/licsxp-opac/WOpacMsgNewListToTifTilDetailAction.do?tilcod=2002222282931")</f>
        <v>https://opac.libnet.pref.okayama.jp/licsxp-opac/WOpacMsgNewListToTifTilDetailAction.do?tilcod=2002222282931</v>
      </c>
    </row>
    <row r="1312" spans="1:9" x14ac:dyDescent="0.4">
      <c r="A1312" t="str">
        <f>"〔岡山県林業試験場〕場報"</f>
        <v>〔岡山県林業試験場〕場報</v>
      </c>
      <c r="B1312" s="1" t="str">
        <f t="shared" si="74"/>
        <v>〔岡山県林業試験場〕場報</v>
      </c>
      <c r="C1312" t="str">
        <f>"オカヤマケン　リンギョウ　シケンジョウ＊ジョウホウ"</f>
        <v>オカヤマケン　リンギョウ　シケンジョウ＊ジョウホウ</v>
      </c>
      <c r="D1312" t="str">
        <f>"岡山県林業試験場"</f>
        <v>岡山県林業試験場</v>
      </c>
      <c r="E1312" t="str">
        <f>"オカヤマケンリンギョウシケンジョウ"</f>
        <v>オカヤマケンリンギョウシケンジョウ</v>
      </c>
      <c r="F1312" t="str">
        <f>"勝央町（勝田郡）"</f>
        <v>勝央町（勝田郡）</v>
      </c>
      <c r="G1312" t="str">
        <f>"年刊"</f>
        <v>年刊</v>
      </c>
      <c r="H1312" t="str">
        <f>"2002222283251"</f>
        <v>2002222283251</v>
      </c>
      <c r="I1312" t="str">
        <f>HYPERLINK("#", "https://opac.libnet.pref.okayama.jp/licsxp-opac/WOpacMsgNewListToTifTilDetailAction.do?tilcod=2002222283251")</f>
        <v>https://opac.libnet.pref.okayama.jp/licsxp-opac/WOpacMsgNewListToTifTilDetailAction.do?tilcod=2002222283251</v>
      </c>
    </row>
    <row r="1313" spans="1:9" x14ac:dyDescent="0.4">
      <c r="A1313" t="str">
        <f>"〔岡山県連合産婆会〕会報"</f>
        <v>〔岡山県連合産婆会〕会報</v>
      </c>
      <c r="B1313" s="1" t="str">
        <f t="shared" si="74"/>
        <v>〔岡山県連合産婆会〕会報</v>
      </c>
      <c r="C1313" t="str">
        <f>"オカヤマケン　レンゴウ　サンバカイ　カイホウ"</f>
        <v>オカヤマケン　レンゴウ　サンバカイ　カイホウ</v>
      </c>
      <c r="D1313" t="str">
        <f>"岡山県連合産婆会"</f>
        <v>岡山県連合産婆会</v>
      </c>
      <c r="E1313" t="str">
        <f>"オカヤマケンレンゴウサンバカイ"</f>
        <v>オカヤマケンレンゴウサンバカイ</v>
      </c>
      <c r="F1313" t="str">
        <f>"岡山"</f>
        <v>岡山</v>
      </c>
      <c r="G1313" t="str">
        <f>"頻度不明"</f>
        <v>頻度不明</v>
      </c>
      <c r="H1313" t="str">
        <f>"2002222301375"</f>
        <v>2002222301375</v>
      </c>
      <c r="I1313" t="str">
        <f>HYPERLINK("#", "https://opac.libnet.pref.okayama.jp/licsxp-opac/WOpacMsgNewListToTifTilDetailAction.do?tilcod=2002222301375")</f>
        <v>https://opac.libnet.pref.okayama.jp/licsxp-opac/WOpacMsgNewListToTifTilDetailAction.do?tilcod=2002222301375</v>
      </c>
    </row>
    <row r="1314" spans="1:9" x14ac:dyDescent="0.4">
      <c r="A1314" t="str">
        <f>"岡山県連合青年団団報"</f>
        <v>岡山県連合青年団団報</v>
      </c>
      <c r="B1314" s="1" t="str">
        <f t="shared" si="74"/>
        <v>岡山県連合青年団団報</v>
      </c>
      <c r="C1314" t="str">
        <f>"オカヤマケン　レンゴウ　セイネンダン　ダンホウ"</f>
        <v>オカヤマケン　レンゴウ　セイネンダン　ダンホウ</v>
      </c>
      <c r="D1314" t="str">
        <f>"岡山県連合青年団"</f>
        <v>岡山県連合青年団</v>
      </c>
      <c r="E1314" t="str">
        <f>"オカヤマケンレンゴウセイネンダン"</f>
        <v>オカヤマケンレンゴウセイネンダン</v>
      </c>
      <c r="F1314" t="str">
        <f>""</f>
        <v/>
      </c>
      <c r="G1314" t="str">
        <f>"頻度不明"</f>
        <v>頻度不明</v>
      </c>
      <c r="H1314" t="str">
        <f>"2002222289753"</f>
        <v>2002222289753</v>
      </c>
      <c r="I1314" t="str">
        <f>HYPERLINK("#", "https://opac.libnet.pref.okayama.jp/licsxp-opac/WOpacMsgNewListToTifTilDetailAction.do?tilcod=2002222289753")</f>
        <v>https://opac.libnet.pref.okayama.jp/licsxp-opac/WOpacMsgNewListToTifTilDetailAction.do?tilcod=2002222289753</v>
      </c>
    </row>
    <row r="1315" spans="1:9" x14ac:dyDescent="0.4">
      <c r="A1315" t="str">
        <f>"岡山県労会議；交流と資料"</f>
        <v>岡山県労会議；交流と資料</v>
      </c>
      <c r="B1315" s="1" t="str">
        <f t="shared" si="74"/>
        <v>岡山県労会議；交流と資料</v>
      </c>
      <c r="C1315" t="str">
        <f>"オカヤマケン ロウ カイギ＊コウリュウ ト シリョウ"</f>
        <v>オカヤマケン ロウ カイギ＊コウリュウ ト シリョウ</v>
      </c>
      <c r="D1315" t="str">
        <f>"岡山県労働組合会議"</f>
        <v>岡山県労働組合会議</v>
      </c>
      <c r="E1315" t="str">
        <f>"オカヤマケン ロウドウ クミアイ カイギ"</f>
        <v>オカヤマケン ロウドウ クミアイ カイギ</v>
      </c>
      <c r="F1315" t="str">
        <f>"岡山"</f>
        <v>岡山</v>
      </c>
      <c r="G1315" t="str">
        <f>"隔月刊"</f>
        <v>隔月刊</v>
      </c>
      <c r="H1315" t="str">
        <f>"2002222312246"</f>
        <v>2002222312246</v>
      </c>
      <c r="I1315" t="str">
        <f>HYPERLINK("#", "https://opac.libnet.pref.okayama.jp/licsxp-opac/WOpacMsgNewListToTifTilDetailAction.do?tilcod=2002222312246")</f>
        <v>https://opac.libnet.pref.okayama.jp/licsxp-opac/WOpacMsgNewListToTifTilDetailAction.do?tilcod=2002222312246</v>
      </c>
    </row>
    <row r="1316" spans="1:9" x14ac:dyDescent="0.4">
      <c r="A1316" t="str">
        <f>"岡山県老人ホーム職員研修レポート集"</f>
        <v>岡山県老人ホーム職員研修レポート集</v>
      </c>
      <c r="B1316" s="1" t="str">
        <f t="shared" si="74"/>
        <v>岡山県老人ホーム職員研修レポート集</v>
      </c>
      <c r="C1316" t="str">
        <f>"オカヤマケン ロウジン ホーム ショクイン ケンシュウ レポートシュウ "</f>
        <v xml:space="preserve">オカヤマケン ロウジン ホーム ショクイン ケンシュウ レポートシュウ </v>
      </c>
      <c r="D1316" t="str">
        <f>"岡山県老人福祉施設協議会"</f>
        <v>岡山県老人福祉施設協議会</v>
      </c>
      <c r="E1316" t="str">
        <f>"オカヤマケン ロウジン フクシ シセツ キョウギカイ"</f>
        <v>オカヤマケン ロウジン フクシ シセツ キョウギカイ</v>
      </c>
      <c r="F1316" t="str">
        <f>"岡山"</f>
        <v>岡山</v>
      </c>
      <c r="G1316" t="str">
        <f>"年刊"</f>
        <v>年刊</v>
      </c>
      <c r="H1316" t="str">
        <f>"2002222320488"</f>
        <v>2002222320488</v>
      </c>
      <c r="I1316" t="str">
        <f>HYPERLINK("#", "https://opac.libnet.pref.okayama.jp/licsxp-opac/WOpacMsgNewListToTifTilDetailAction.do?tilcod=2002222320488")</f>
        <v>https://opac.libnet.pref.okayama.jp/licsxp-opac/WOpacMsgNewListToTifTilDetailAction.do?tilcod=2002222320488</v>
      </c>
    </row>
    <row r="1317" spans="1:9" x14ac:dyDescent="0.4">
      <c r="A1317" t="str">
        <f>"岡山県和牛研究会報"</f>
        <v>岡山県和牛研究会報</v>
      </c>
      <c r="B1317" s="1" t="str">
        <f t="shared" si="74"/>
        <v>岡山県和牛研究会報</v>
      </c>
      <c r="C1317" t="str">
        <f>"オカヤマケン　ワギュウ　ケンキュウ　カイホウ"</f>
        <v>オカヤマケン　ワギュウ　ケンキュウ　カイホウ</v>
      </c>
      <c r="D1317" t="str">
        <f>"岡山県和牛研究会"</f>
        <v>岡山県和牛研究会</v>
      </c>
      <c r="E1317" t="str">
        <f>"オカヤマケンワギュウケンキュウカイ"</f>
        <v>オカヤマケンワギュウケンキュウカイ</v>
      </c>
      <c r="F1317" t="str">
        <f>"〔岡山〕"</f>
        <v>〔岡山〕</v>
      </c>
      <c r="G1317" t="str">
        <f>"年刊"</f>
        <v>年刊</v>
      </c>
      <c r="H1317" t="str">
        <f>"2002222301651"</f>
        <v>2002222301651</v>
      </c>
      <c r="I1317" t="str">
        <f>HYPERLINK("#", "https://opac.libnet.pref.okayama.jp/licsxp-opac/WOpacMsgNewListToTifTilDetailAction.do?tilcod=2002222301651")</f>
        <v>https://opac.libnet.pref.okayama.jp/licsxp-opac/WOpacMsgNewListToTifTilDetailAction.do?tilcod=2002222301651</v>
      </c>
    </row>
    <row r="1318" spans="1:9" x14ac:dyDescent="0.4">
      <c r="A1318" t="str">
        <f>"[岡山県和気郡和気町立藤野小学校]学校要覧"</f>
        <v>[岡山県和気郡和気町立藤野小学校]学校要覧</v>
      </c>
      <c r="B1318" s="1" t="str">
        <f t="shared" si="74"/>
        <v>[岡山県和気郡和気町立藤野小学校]学校要覧</v>
      </c>
      <c r="C1318" t="str">
        <f>"オカヤマケン ワケグン ワケチョウリツ フジノ ショウガッコウ ガッコウ ヨウラン"</f>
        <v>オカヤマケン ワケグン ワケチョウリツ フジノ ショウガッコウ ガッコウ ヨウラン</v>
      </c>
      <c r="D1318" t="str">
        <f>"岡山県和気郡和気町立藤野小学校"</f>
        <v>岡山県和気郡和気町立藤野小学校</v>
      </c>
      <c r="E1318" t="str">
        <f>""</f>
        <v/>
      </c>
      <c r="F1318" t="str">
        <f>""</f>
        <v/>
      </c>
      <c r="G1318" t="str">
        <f>"年刊"</f>
        <v>年刊</v>
      </c>
      <c r="H1318" t="str">
        <f>"2002222338911"</f>
        <v>2002222338911</v>
      </c>
      <c r="I1318" t="str">
        <f>HYPERLINK("#", "https://opac.libnet.pref.okayama.jp/licsxp-opac/WOpacMsgNewListToTifTilDetailAction.do?tilcod=2002222338911")</f>
        <v>https://opac.libnet.pref.okayama.jp/licsxp-opac/WOpacMsgNewListToTifTilDetailAction.do?tilcod=2002222338911</v>
      </c>
    </row>
    <row r="1319" spans="1:9" x14ac:dyDescent="0.4">
      <c r="A1319" t="str">
        <f>"[岡山県和気郡和気町立和気中学校]学校要覧"</f>
        <v>[岡山県和気郡和気町立和気中学校]学校要覧</v>
      </c>
      <c r="B1319" s="1" t="str">
        <f t="shared" si="74"/>
        <v>[岡山県和気郡和気町立和気中学校]学校要覧</v>
      </c>
      <c r="C1319" t="str">
        <f>"オカヤマケン ワケグン ワケチョウリツ ワケ チュウガッコウ ガッコウ ヨウラン"</f>
        <v>オカヤマケン ワケグン ワケチョウリツ ワケ チュウガッコウ ガッコウ ヨウラン</v>
      </c>
      <c r="D1319" t="str">
        <f>"岡山県和気郡和気町立和気中学校"</f>
        <v>岡山県和気郡和気町立和気中学校</v>
      </c>
      <c r="E1319" t="str">
        <f>""</f>
        <v/>
      </c>
      <c r="F1319" t="str">
        <f>""</f>
        <v/>
      </c>
      <c r="G1319" t="str">
        <f>"年刊"</f>
        <v>年刊</v>
      </c>
      <c r="H1319" t="str">
        <f>"2002222338912"</f>
        <v>2002222338912</v>
      </c>
      <c r="I1319" t="str">
        <f>HYPERLINK("#", "https://opac.libnet.pref.okayama.jp/licsxp-opac/WOpacMsgNewListToTifTilDetailAction.do?tilcod=2002222338912")</f>
        <v>https://opac.libnet.pref.okayama.jp/licsxp-opac/WOpacMsgNewListToTifTilDetailAction.do?tilcod=2002222338912</v>
      </c>
    </row>
    <row r="1320" spans="1:9" x14ac:dyDescent="0.4">
      <c r="A1320" t="str">
        <f>"〔岡山県〕統計速報"</f>
        <v>〔岡山県〕統計速報</v>
      </c>
      <c r="B1320" s="1" t="str">
        <f t="shared" si="74"/>
        <v>〔岡山県〕統計速報</v>
      </c>
      <c r="C1320" t="str">
        <f>"オカヤマケン＊トウケイ　ソクホウ"</f>
        <v>オカヤマケン＊トウケイ　ソクホウ</v>
      </c>
      <c r="D1320" t="str">
        <f>"岡山県知事官房統計課"</f>
        <v>岡山県知事官房統計課</v>
      </c>
      <c r="E1320" t="str">
        <f>"オカヤマケン チジ カンボウ トウケイカ"</f>
        <v>オカヤマケン チジ カンボウ トウケイカ</v>
      </c>
      <c r="F1320" t="str">
        <f>"岡山"</f>
        <v>岡山</v>
      </c>
      <c r="G1320" t="str">
        <f t="shared" ref="G1320:G1325" si="75">"頻度不明"</f>
        <v>頻度不明</v>
      </c>
      <c r="H1320" t="str">
        <f>"2002222285053"</f>
        <v>2002222285053</v>
      </c>
      <c r="I1320" t="str">
        <f>HYPERLINK("#", "https://opac.libnet.pref.okayama.jp/licsxp-opac/WOpacMsgNewListToTifTilDetailAction.do?tilcod=2002222285053")</f>
        <v>https://opac.libnet.pref.okayama.jp/licsxp-opac/WOpacMsgNewListToTifTilDetailAction.do?tilcod=2002222285053</v>
      </c>
    </row>
    <row r="1321" spans="1:9" x14ac:dyDescent="0.4">
      <c r="A1321" t="str">
        <f>"[岡山県議会]議会資料"</f>
        <v>[岡山県議会]議会資料</v>
      </c>
      <c r="B1321" s="1" t="str">
        <f t="shared" si="74"/>
        <v>[岡山県議会]議会資料</v>
      </c>
      <c r="C1321" t="str">
        <f>"オカヤマケンギカイ ギカイ シリョウ"</f>
        <v>オカヤマケンギカイ ギカイ シリョウ</v>
      </c>
      <c r="D1321" t="str">
        <f>"岡山県議会事務局"</f>
        <v>岡山県議会事務局</v>
      </c>
      <c r="E1321" t="str">
        <f>"オカヤマケンギカイ ジムキョク"</f>
        <v>オカヤマケンギカイ ジムキョク</v>
      </c>
      <c r="F1321" t="str">
        <f>""</f>
        <v/>
      </c>
      <c r="G1321" t="str">
        <f t="shared" si="75"/>
        <v>頻度不明</v>
      </c>
      <c r="H1321" t="str">
        <f>"2002222289221"</f>
        <v>2002222289221</v>
      </c>
      <c r="I1321" t="str">
        <f>HYPERLINK("#", "https://opac.libnet.pref.okayama.jp/licsxp-opac/WOpacMsgNewListToTifTilDetailAction.do?tilcod=2002222289221")</f>
        <v>https://opac.libnet.pref.okayama.jp/licsxp-opac/WOpacMsgNewListToTifTilDetailAction.do?tilcod=2002222289221</v>
      </c>
    </row>
    <row r="1322" spans="1:9" x14ac:dyDescent="0.4">
      <c r="A1322" t="str">
        <f>"[岡山県議会]議会報"</f>
        <v>[岡山県議会]議会報</v>
      </c>
      <c r="B1322" s="1" t="str">
        <f t="shared" si="74"/>
        <v>[岡山県議会]議会報</v>
      </c>
      <c r="C1322" t="str">
        <f>"オカヤマケンギカイ ギカイホウ"</f>
        <v>オカヤマケンギカイ ギカイホウ</v>
      </c>
      <c r="D1322" t="str">
        <f>"岡山県議会事務局"</f>
        <v>岡山県議会事務局</v>
      </c>
      <c r="E1322" t="str">
        <f>"オカヤマケンギカイ ジムキョク"</f>
        <v>オカヤマケンギカイ ジムキョク</v>
      </c>
      <c r="F1322" t="str">
        <f>""</f>
        <v/>
      </c>
      <c r="G1322" t="str">
        <f t="shared" si="75"/>
        <v>頻度不明</v>
      </c>
      <c r="H1322" t="str">
        <f>"2002222289231"</f>
        <v>2002222289231</v>
      </c>
      <c r="I1322" t="str">
        <f>HYPERLINK("#", "https://opac.libnet.pref.okayama.jp/licsxp-opac/WOpacMsgNewListToTifTilDetailAction.do?tilcod=2002222289231")</f>
        <v>https://opac.libnet.pref.okayama.jp/licsxp-opac/WOpacMsgNewListToTifTilDetailAction.do?tilcod=2002222289231</v>
      </c>
    </row>
    <row r="1323" spans="1:9" x14ac:dyDescent="0.4">
      <c r="A1323" t="str">
        <f>"岡山県史だより"</f>
        <v>岡山県史だより</v>
      </c>
      <c r="B1323" s="1" t="str">
        <f t="shared" si="74"/>
        <v>岡山県史だより</v>
      </c>
      <c r="C1323" t="str">
        <f>"オカヤマケンシ　ダヨリ"</f>
        <v>オカヤマケンシ　ダヨリ</v>
      </c>
      <c r="D1323" t="str">
        <f>"岡山県史編纂推進協議会"</f>
        <v>岡山県史編纂推進協議会</v>
      </c>
      <c r="E1323" t="str">
        <f>"オカヤマケンシヘンサンスイシンキョウギカイ"</f>
        <v>オカヤマケンシヘンサンスイシンキョウギカイ</v>
      </c>
      <c r="F1323" t="str">
        <f>""</f>
        <v/>
      </c>
      <c r="G1323" t="str">
        <f t="shared" si="75"/>
        <v>頻度不明</v>
      </c>
      <c r="H1323" t="str">
        <f>"2002222286511"</f>
        <v>2002222286511</v>
      </c>
      <c r="I1323" t="str">
        <f>HYPERLINK("#", "https://opac.libnet.pref.okayama.jp/licsxp-opac/WOpacMsgNewListToTifTilDetailAction.do?tilcod=2002222286511")</f>
        <v>https://opac.libnet.pref.okayama.jp/licsxp-opac/WOpacMsgNewListToTifTilDetailAction.do?tilcod=2002222286511</v>
      </c>
    </row>
    <row r="1324" spans="1:9" x14ac:dyDescent="0.4">
      <c r="A1324" t="str">
        <f>"岡山県職"</f>
        <v>岡山県職</v>
      </c>
      <c r="B1324" s="1" t="str">
        <f t="shared" si="74"/>
        <v>岡山県職</v>
      </c>
      <c r="C1324" t="str">
        <f>"オカヤマケンショク"</f>
        <v>オカヤマケンショク</v>
      </c>
      <c r="D1324" t="str">
        <f>"岡山県職員組合"</f>
        <v>岡山県職員組合</v>
      </c>
      <c r="E1324" t="str">
        <f>"オカヤマケン ショクイン クミアイ"</f>
        <v>オカヤマケン ショクイン クミアイ</v>
      </c>
      <c r="F1324" t="str">
        <f>"岡山"</f>
        <v>岡山</v>
      </c>
      <c r="G1324" t="str">
        <f t="shared" si="75"/>
        <v>頻度不明</v>
      </c>
      <c r="H1324" t="str">
        <f>"2002222287663"</f>
        <v>2002222287663</v>
      </c>
      <c r="I1324" t="str">
        <f>HYPERLINK("#", "https://opac.libnet.pref.okayama.jp/licsxp-opac/WOpacMsgNewListToTifTilDetailAction.do?tilcod=2002222287663")</f>
        <v>https://opac.libnet.pref.okayama.jp/licsxp-opac/WOpacMsgNewListToTifTilDetailAction.do?tilcod=2002222287663</v>
      </c>
    </row>
    <row r="1325" spans="1:9" x14ac:dyDescent="0.4">
      <c r="A1325" t="str">
        <f>"岡山県人"</f>
        <v>岡山県人</v>
      </c>
      <c r="B1325" s="1" t="str">
        <f t="shared" si="74"/>
        <v>岡山県人</v>
      </c>
      <c r="C1325" t="str">
        <f>"オカヤマケンジン"</f>
        <v>オカヤマケンジン</v>
      </c>
      <c r="D1325" t="str">
        <f>"全国岡山県人社"</f>
        <v>全国岡山県人社</v>
      </c>
      <c r="E1325" t="str">
        <f>"ゼンコクオカヤマケンジンシャ"</f>
        <v>ゼンコクオカヤマケンジンシャ</v>
      </c>
      <c r="F1325" t="str">
        <f>""</f>
        <v/>
      </c>
      <c r="G1325" t="str">
        <f t="shared" si="75"/>
        <v>頻度不明</v>
      </c>
      <c r="H1325" t="str">
        <f>"2002222286711"</f>
        <v>2002222286711</v>
      </c>
      <c r="I1325" t="str">
        <f>HYPERLINK("#", "https://opac.libnet.pref.okayama.jp/licsxp-opac/WOpacMsgNewListToTifTilDetailAction.do?tilcod=2002222286711")</f>
        <v>https://opac.libnet.pref.okayama.jp/licsxp-opac/WOpacMsgNewListToTifTilDetailAction.do?tilcod=2002222286711</v>
      </c>
    </row>
    <row r="1326" spans="1:9" x14ac:dyDescent="0.4">
      <c r="A1326" t="str">
        <f>"〔岡山県高梁中学校有終会〕有終"</f>
        <v>〔岡山県高梁中学校有終会〕有終</v>
      </c>
      <c r="B1326" s="1" t="str">
        <f t="shared" si="74"/>
        <v>〔岡山県高梁中学校有終会〕有終</v>
      </c>
      <c r="C1326" t="str">
        <f>"オカヤマケンタカハシチュウガッコウユウシュウカイ＊ユウシュウ"</f>
        <v>オカヤマケンタカハシチュウガッコウユウシュウカイ＊ユウシュウ</v>
      </c>
      <c r="D1326" t="str">
        <f>"高梁中学校有終会"</f>
        <v>高梁中学校有終会</v>
      </c>
      <c r="E1326" t="str">
        <f>"タカハシチュウガッコウユウシュウカイ"</f>
        <v>タカハシチュウガッコウユウシュウカイ</v>
      </c>
      <c r="F1326" t="str">
        <f>"高梁"</f>
        <v>高梁</v>
      </c>
      <c r="G1326" t="str">
        <f>"年刊"</f>
        <v>年刊</v>
      </c>
      <c r="H1326" t="str">
        <f>"2002222281134"</f>
        <v>2002222281134</v>
      </c>
      <c r="I1326" t="str">
        <f>HYPERLINK("#", "https://opac.libnet.pref.okayama.jp/licsxp-opac/WOpacMsgNewListToTifTilDetailAction.do?tilcod=2002222281134")</f>
        <v>https://opac.libnet.pref.okayama.jp/licsxp-opac/WOpacMsgNewListToTifTilDetailAction.do?tilcod=2002222281134</v>
      </c>
    </row>
    <row r="1327" spans="1:9" x14ac:dyDescent="0.4">
      <c r="A1327" t="str">
        <f>"岡山県婦協新聞"</f>
        <v>岡山県婦協新聞</v>
      </c>
      <c r="B1327" s="1" t="str">
        <f t="shared" si="74"/>
        <v>岡山県婦協新聞</v>
      </c>
      <c r="C1327" t="str">
        <f>"オカヤマケンフキョウ　シンブン"</f>
        <v>オカヤマケンフキョウ　シンブン</v>
      </c>
      <c r="D1327" t="str">
        <f>"岡山県婦人協議会"</f>
        <v>岡山県婦人協議会</v>
      </c>
      <c r="E1327" t="str">
        <f>"オカヤマケンフジンキョウギカイ"</f>
        <v>オカヤマケンフジンキョウギカイ</v>
      </c>
      <c r="F1327" t="str">
        <f>"〔岡山〕"</f>
        <v>〔岡山〕</v>
      </c>
      <c r="G1327" t="str">
        <f>"年２回刊"</f>
        <v>年２回刊</v>
      </c>
      <c r="H1327" t="str">
        <f>"2002222300819"</f>
        <v>2002222300819</v>
      </c>
      <c r="I1327" t="str">
        <f>HYPERLINK("#", "https://opac.libnet.pref.okayama.jp/licsxp-opac/WOpacMsgNewListToTifTilDetailAction.do?tilcod=2002222300819")</f>
        <v>https://opac.libnet.pref.okayama.jp/licsxp-opac/WOpacMsgNewListToTifTilDetailAction.do?tilcod=2002222300819</v>
      </c>
    </row>
    <row r="1328" spans="1:9" x14ac:dyDescent="0.4">
      <c r="A1328" t="str">
        <f>"〔岡山県立井原高等学校〕いばら・しつき"</f>
        <v>〔岡山県立井原高等学校〕いばら・しつき</v>
      </c>
      <c r="B1328" s="1" t="str">
        <f t="shared" si="74"/>
        <v>〔岡山県立井原高等学校〕いばら・しつき</v>
      </c>
      <c r="C1328" t="str">
        <f>"オカヤマケンリツ　イバラ　コウトウ　ガッコウ　イバラ　シツキ"</f>
        <v>オカヤマケンリツ　イバラ　コウトウ　ガッコウ　イバラ　シツキ</v>
      </c>
      <c r="D1328" t="str">
        <f>"井原高等学校郷土史研究部"</f>
        <v>井原高等学校郷土史研究部</v>
      </c>
      <c r="E1328" t="str">
        <f>"イバラ コウトウ ガッコウ キョウドシ ケンキュウブ"</f>
        <v>イバラ コウトウ ガッコウ キョウドシ ケンキュウブ</v>
      </c>
      <c r="F1328" t="str">
        <f>""</f>
        <v/>
      </c>
      <c r="G1328" t="str">
        <f>"頻度不明"</f>
        <v>頻度不明</v>
      </c>
      <c r="H1328" t="str">
        <f>"2002222288663"</f>
        <v>2002222288663</v>
      </c>
      <c r="I1328" t="str">
        <f>HYPERLINK("#", "https://opac.libnet.pref.okayama.jp/licsxp-opac/WOpacMsgNewListToTifTilDetailAction.do?tilcod=2002222288663")</f>
        <v>https://opac.libnet.pref.okayama.jp/licsxp-opac/WOpacMsgNewListToTifTilDetailAction.do?tilcod=2002222288663</v>
      </c>
    </row>
    <row r="1329" spans="1:9" x14ac:dyDescent="0.4">
      <c r="A1329" t="str">
        <f>"[岡山県立岡山朝日高等学校]　朝日高校JRC機関誌"</f>
        <v>[岡山県立岡山朝日高等学校]　朝日高校JRC機関誌</v>
      </c>
      <c r="B1329" s="1" t="str">
        <f t="shared" si="74"/>
        <v>[岡山県立岡山朝日高等学校]　朝日高校JRC機関誌</v>
      </c>
      <c r="C1329" t="str">
        <f>"オカヤマケンリツ オカヤマ アサヒ コウトウ ガッコウ アサヒ コウコウ ジェイ アール シー キカンシ"</f>
        <v>オカヤマケンリツ オカヤマ アサヒ コウトウ ガッコウ アサヒ コウコウ ジェイ アール シー キカンシ</v>
      </c>
      <c r="D1329" t="str">
        <f>"岡山朝日高等学校JRC（青少年赤十字団）"</f>
        <v>岡山朝日高等学校JRC（青少年赤十字団）</v>
      </c>
      <c r="E1329" t="str">
        <f>"オカヤマ アサヒ コウトウ ガッコウ ジェイ アール シー(セイショウネン セキジュウジ ダン)"</f>
        <v>オカヤマ アサヒ コウトウ ガッコウ ジェイ アール シー(セイショウネン セキジュウジ ダン)</v>
      </c>
      <c r="F1329" t="str">
        <f t="shared" ref="F1329:F1353" si="76">"岡山"</f>
        <v>岡山</v>
      </c>
      <c r="G1329" t="str">
        <f>"年刊"</f>
        <v>年刊</v>
      </c>
      <c r="H1329" t="str">
        <f>"2002222328449"</f>
        <v>2002222328449</v>
      </c>
      <c r="I1329" t="str">
        <f>HYPERLINK("#", "https://opac.libnet.pref.okayama.jp/licsxp-opac/WOpacMsgNewListToTifTilDetailAction.do?tilcod=2002222328449")</f>
        <v>https://opac.libnet.pref.okayama.jp/licsxp-opac/WOpacMsgNewListToTifTilDetailAction.do?tilcod=2002222328449</v>
      </c>
    </row>
    <row r="1330" spans="1:9" x14ac:dyDescent="0.4">
      <c r="A1330" t="str">
        <f>"[岡山県立岡山朝日高等学校]麦"</f>
        <v>[岡山県立岡山朝日高等学校]麦</v>
      </c>
      <c r="B1330" s="1" t="str">
        <f t="shared" si="74"/>
        <v>[岡山県立岡山朝日高等学校]麦</v>
      </c>
      <c r="C1330" t="str">
        <f>"オカヤマケンリツ　オカヤマ　アサヒ　コウトウ　ガッコウ　ムギ"</f>
        <v>オカヤマケンリツ　オカヤマ　アサヒ　コウトウ　ガッコウ　ムギ</v>
      </c>
      <c r="D1330" t="str">
        <f>"岡山県立岡山朝日高等学校政治経済部(ユネスコ研究会)"</f>
        <v>岡山県立岡山朝日高等学校政治経済部(ユネスコ研究会)</v>
      </c>
      <c r="E1330" t="str">
        <f>"オカヤマケンリツ オカヤマ アサヒ コウトウ ガッコウ セイジ ケイザイブ"</f>
        <v>オカヤマケンリツ オカヤマ アサヒ コウトウ ガッコウ セイジ ケイザイブ</v>
      </c>
      <c r="F1330" t="str">
        <f t="shared" si="76"/>
        <v>岡山</v>
      </c>
      <c r="G1330" t="str">
        <f>"頻度不明"</f>
        <v>頻度不明</v>
      </c>
      <c r="H1330" t="str">
        <f>"2002222324590"</f>
        <v>2002222324590</v>
      </c>
      <c r="I1330" t="str">
        <f>HYPERLINK("#", "https://opac.libnet.pref.okayama.jp/licsxp-opac/WOpacMsgNewListToTifTilDetailAction.do?tilcod=2002222324590")</f>
        <v>https://opac.libnet.pref.okayama.jp/licsxp-opac/WOpacMsgNewListToTifTilDetailAction.do?tilcod=2002222324590</v>
      </c>
    </row>
    <row r="1331" spans="1:9" x14ac:dyDescent="0.4">
      <c r="A1331" t="str">
        <f>"[岡山県立岡山朝日高等学校]烏城"</f>
        <v>[岡山県立岡山朝日高等学校]烏城</v>
      </c>
      <c r="B1331" s="1" t="str">
        <f t="shared" si="74"/>
        <v>[岡山県立岡山朝日高等学校]烏城</v>
      </c>
      <c r="C1331" t="str">
        <f>"オカヤマケンリツ オカヤマ アサヒ コウトウ ガッコウ＊ウジョウ"</f>
        <v>オカヤマケンリツ オカヤマ アサヒ コウトウ ガッコウ＊ウジョウ</v>
      </c>
      <c r="D1331" t="str">
        <f>"岡山朝日高等学校"</f>
        <v>岡山朝日高等学校</v>
      </c>
      <c r="E1331" t="str">
        <f>"オカヤマ アサヒ コウトウ ガッコウ"</f>
        <v>オカヤマ アサヒ コウトウ ガッコウ</v>
      </c>
      <c r="F1331" t="str">
        <f t="shared" si="76"/>
        <v>岡山</v>
      </c>
      <c r="G1331" t="str">
        <f>"年刊"</f>
        <v>年刊</v>
      </c>
      <c r="H1331" t="str">
        <f>"2002222288673"</f>
        <v>2002222288673</v>
      </c>
      <c r="I1331" t="str">
        <f>HYPERLINK("#", "https://opac.libnet.pref.okayama.jp/licsxp-opac/WOpacMsgNewListToTifTilDetailAction.do?tilcod=2002222288673")</f>
        <v>https://opac.libnet.pref.okayama.jp/licsxp-opac/WOpacMsgNewListToTifTilDetailAction.do?tilcod=2002222288673</v>
      </c>
    </row>
    <row r="1332" spans="1:9" x14ac:dyDescent="0.4">
      <c r="A1332" t="str">
        <f>"〔岡山県立岡山一宮高等学校〕いちのみや紀要"</f>
        <v>〔岡山県立岡山一宮高等学校〕いちのみや紀要</v>
      </c>
      <c r="B1332" s="1" t="str">
        <f t="shared" si="74"/>
        <v>〔岡山県立岡山一宮高等学校〕いちのみや紀要</v>
      </c>
      <c r="C1332" t="str">
        <f>"オカヤマケンリツ オカヤマ イチノミヤ コウトウ ガッコウ イチノミヤ キヨウ"</f>
        <v>オカヤマケンリツ オカヤマ イチノミヤ コウトウ ガッコウ イチノミヤ キヨウ</v>
      </c>
      <c r="D1332" t="str">
        <f>"岡山一宮高等学校"</f>
        <v>岡山一宮高等学校</v>
      </c>
      <c r="E1332" t="str">
        <f>"オカヤマ イチノミヤ コウトウ ガッコウ"</f>
        <v>オカヤマ イチノミヤ コウトウ ガッコウ</v>
      </c>
      <c r="F1332" t="str">
        <f t="shared" si="76"/>
        <v>岡山</v>
      </c>
      <c r="G1332" t="str">
        <f>"年刊"</f>
        <v>年刊</v>
      </c>
      <c r="H1332" t="str">
        <f>"2002222333832"</f>
        <v>2002222333832</v>
      </c>
      <c r="I1332" t="str">
        <f>HYPERLINK("#", "https://opac.libnet.pref.okayama.jp/licsxp-opac/WOpacMsgNewListToTifTilDetailAction.do?tilcod=2002222333832")</f>
        <v>https://opac.libnet.pref.okayama.jp/licsxp-opac/WOpacMsgNewListToTifTilDetailAction.do?tilcod=2002222333832</v>
      </c>
    </row>
    <row r="1333" spans="1:9" x14ac:dyDescent="0.4">
      <c r="A1333" t="str">
        <f>"〔岡山県立岡山一宮高等学校〕いちのみやレポート"</f>
        <v>〔岡山県立岡山一宮高等学校〕いちのみやレポート</v>
      </c>
      <c r="B1333" s="1" t="str">
        <f t="shared" si="74"/>
        <v>〔岡山県立岡山一宮高等学校〕いちのみやレポート</v>
      </c>
      <c r="C1333" t="str">
        <f>"オカヤマケンリツ　オカヤマ　イチノミヤ　コウトウ　ガッコウ　イチノミヤ　レポート"</f>
        <v>オカヤマケンリツ　オカヤマ　イチノミヤ　コウトウ　ガッコウ　イチノミヤ　レポート</v>
      </c>
      <c r="D1333" t="str">
        <f>"岡山一宮高等学校"</f>
        <v>岡山一宮高等学校</v>
      </c>
      <c r="E1333" t="str">
        <f>"オカヤマ イチノミヤ コウトウ ガッコウ"</f>
        <v>オカヤマ イチノミヤ コウトウ ガッコウ</v>
      </c>
      <c r="F1333" t="str">
        <f t="shared" si="76"/>
        <v>岡山</v>
      </c>
      <c r="G1333" t="str">
        <f>"年刊"</f>
        <v>年刊</v>
      </c>
      <c r="H1333" t="str">
        <f>"2002222280051"</f>
        <v>2002222280051</v>
      </c>
      <c r="I1333" t="str">
        <f>HYPERLINK("#", "https://opac.libnet.pref.okayama.jp/licsxp-opac/WOpacMsgNewListToTifTilDetailAction.do?tilcod=2002222280051")</f>
        <v>https://opac.libnet.pref.okayama.jp/licsxp-opac/WOpacMsgNewListToTifTilDetailAction.do?tilcod=2002222280051</v>
      </c>
    </row>
    <row r="1334" spans="1:9" x14ac:dyDescent="0.4">
      <c r="A1334" t="str">
        <f>"〔岡山県立岡山一宮高等学校〕いちのみや"</f>
        <v>〔岡山県立岡山一宮高等学校〕いちのみや</v>
      </c>
      <c r="B1334" s="1" t="str">
        <f t="shared" si="74"/>
        <v>〔岡山県立岡山一宮高等学校〕いちのみや</v>
      </c>
      <c r="C1334" t="str">
        <f>"オカヤマケンリツ　オカヤマ　イチノミヤ　コウトウ　ガッコウ＊イチノミヤ"</f>
        <v>オカヤマケンリツ　オカヤマ　イチノミヤ　コウトウ　ガッコウ＊イチノミヤ</v>
      </c>
      <c r="D1334" t="str">
        <f>"岡山一宮高等学校"</f>
        <v>岡山一宮高等学校</v>
      </c>
      <c r="E1334" t="str">
        <f>"オカヤマ イチノミヤ コウトウ ガッコウ"</f>
        <v>オカヤマ イチノミヤ コウトウ ガッコウ</v>
      </c>
      <c r="F1334" t="str">
        <f t="shared" si="76"/>
        <v>岡山</v>
      </c>
      <c r="G1334" t="str">
        <f>"年刊"</f>
        <v>年刊</v>
      </c>
      <c r="H1334" t="str">
        <f>"2002222280041"</f>
        <v>2002222280041</v>
      </c>
      <c r="I1334" t="str">
        <f>HYPERLINK("#", "https://opac.libnet.pref.okayama.jp/licsxp-opac/WOpacMsgNewListToTifTilDetailAction.do?tilcod=2002222280041")</f>
        <v>https://opac.libnet.pref.okayama.jp/licsxp-opac/WOpacMsgNewListToTifTilDetailAction.do?tilcod=2002222280041</v>
      </c>
    </row>
    <row r="1335" spans="1:9" x14ac:dyDescent="0.4">
      <c r="A1335" t="str">
        <f>"〔岡山県立岡山城東高等学校〕研究紀要"</f>
        <v>〔岡山県立岡山城東高等学校〕研究紀要</v>
      </c>
      <c r="B1335" s="1" t="str">
        <f t="shared" si="74"/>
        <v>〔岡山県立岡山城東高等学校〕研究紀要</v>
      </c>
      <c r="C1335" t="str">
        <f>"オカヤマケンリツ　オカヤマ　ジョウトウ　コウトウ　ガッコウ　ケンキュウ　キヨウ"</f>
        <v>オカヤマケンリツ　オカヤマ　ジョウトウ　コウトウ　ガッコウ　ケンキュウ　キヨウ</v>
      </c>
      <c r="D1335" t="str">
        <f>"岡山城東高等学校"</f>
        <v>岡山城東高等学校</v>
      </c>
      <c r="E1335" t="str">
        <f>"オカヤマ ジョウトウ コウトウ ガッコウ"</f>
        <v>オカヤマ ジョウトウ コウトウ ガッコウ</v>
      </c>
      <c r="F1335" t="str">
        <f t="shared" si="76"/>
        <v>岡山</v>
      </c>
      <c r="G1335" t="str">
        <f>"年刊"</f>
        <v>年刊</v>
      </c>
      <c r="H1335" t="str">
        <f>"2002222280071"</f>
        <v>2002222280071</v>
      </c>
      <c r="I1335" t="str">
        <f>HYPERLINK("#", "https://opac.libnet.pref.okayama.jp/licsxp-opac/WOpacMsgNewListToTifTilDetailAction.do?tilcod=2002222280071")</f>
        <v>https://opac.libnet.pref.okayama.jp/licsxp-opac/WOpacMsgNewListToTifTilDetailAction.do?tilcod=2002222280071</v>
      </c>
    </row>
    <row r="1336" spans="1:9" x14ac:dyDescent="0.4">
      <c r="A1336" t="str">
        <f>"岡山県立岡山城東高等学校同窓会報"</f>
        <v>岡山県立岡山城東高等学校同窓会報</v>
      </c>
      <c r="B1336" s="1" t="str">
        <f t="shared" si="74"/>
        <v>岡山県立岡山城東高等学校同窓会報</v>
      </c>
      <c r="C1336" t="str">
        <f>"オカヤマケンリツ オカヤマ ジョウトウ コウトウ ガッコウ ドウソウカイホウ"</f>
        <v>オカヤマケンリツ オカヤマ ジョウトウ コウトウ ガッコウ ドウソウカイホウ</v>
      </c>
      <c r="D1336" t="str">
        <f>"岡山城東高等学校"</f>
        <v>岡山城東高等学校</v>
      </c>
      <c r="E1336" t="str">
        <f>"オカヤマ ジョウトウ コウトウ ガッコウ"</f>
        <v>オカヤマ ジョウトウ コウトウ ガッコウ</v>
      </c>
      <c r="F1336" t="str">
        <f t="shared" si="76"/>
        <v>岡山</v>
      </c>
      <c r="G1336" t="str">
        <f>"頻度不明"</f>
        <v>頻度不明</v>
      </c>
      <c r="H1336" t="str">
        <f>"2002222342010"</f>
        <v>2002222342010</v>
      </c>
      <c r="I1336" t="str">
        <f>HYPERLINK("#", "https://opac.libnet.pref.okayama.jp/licsxp-opac/WOpacMsgNewListToTifTilDetailAction.do?tilcod=2002222342010")</f>
        <v>https://opac.libnet.pref.okayama.jp/licsxp-opac/WOpacMsgNewListToTifTilDetailAction.do?tilcod=2002222342010</v>
      </c>
    </row>
    <row r="1337" spans="1:9" x14ac:dyDescent="0.4">
      <c r="A1337" t="str">
        <f>"〔岡山県立岡山城東高等学校〕城東"</f>
        <v>〔岡山県立岡山城東高等学校〕城東</v>
      </c>
      <c r="B1337" s="1" t="str">
        <f t="shared" si="74"/>
        <v>〔岡山県立岡山城東高等学校〕城東</v>
      </c>
      <c r="C1337" t="str">
        <f>"オカヤマケンリツ　オカヤマ　ジョウトウ　コウトウ　ガッコウ＊ジョウトウ"</f>
        <v>オカヤマケンリツ　オカヤマ　ジョウトウ　コウトウ　ガッコウ＊ジョウトウ</v>
      </c>
      <c r="D1337" t="str">
        <f>"岡山城東高等学校"</f>
        <v>岡山城東高等学校</v>
      </c>
      <c r="E1337" t="str">
        <f>"オカヤマ ジョウトウ コウトウ ガッコウ"</f>
        <v>オカヤマ ジョウトウ コウトウ ガッコウ</v>
      </c>
      <c r="F1337" t="str">
        <f t="shared" si="76"/>
        <v>岡山</v>
      </c>
      <c r="G1337" t="str">
        <f>"年刊"</f>
        <v>年刊</v>
      </c>
      <c r="H1337" t="str">
        <f>"2002222280461"</f>
        <v>2002222280461</v>
      </c>
      <c r="I1337" t="str">
        <f>HYPERLINK("#", "https://opac.libnet.pref.okayama.jp/licsxp-opac/WOpacMsgNewListToTifTilDetailAction.do?tilcod=2002222280461")</f>
        <v>https://opac.libnet.pref.okayama.jp/licsxp-opac/WOpacMsgNewListToTifTilDetailAction.do?tilcod=2002222280461</v>
      </c>
    </row>
    <row r="1338" spans="1:9" x14ac:dyDescent="0.4">
      <c r="A1338" t="str">
        <f>"〔岡山県立岡山操山中学校・高等学校〕操山"</f>
        <v>〔岡山県立岡山操山中学校・高等学校〕操山</v>
      </c>
      <c r="B1338" s="1" t="str">
        <f t="shared" si="74"/>
        <v>〔岡山県立岡山操山中学校・高等学校〕操山</v>
      </c>
      <c r="C1338" t="str">
        <f>"オカヤマケンリツ　オカヤマ　ソウザン　コウトウ　ガッコウ＊ソウザン"</f>
        <v>オカヤマケンリツ　オカヤマ　ソウザン　コウトウ　ガッコウ＊ソウザン</v>
      </c>
      <c r="D1338" t="str">
        <f>"岡山県立岡山操山中学校・高等学校「操山」編集委員会"</f>
        <v>岡山県立岡山操山中学校・高等学校「操山」編集委員会</v>
      </c>
      <c r="E1338" t="str">
        <f>"オカヤマケンリツオカヤマソウザンチュウガッコウコウトウガッコウソウザンヘンシュウイインカイ"</f>
        <v>オカヤマケンリツオカヤマソウザンチュウガッコウコウトウガッコウソウザンヘンシュウイインカイ</v>
      </c>
      <c r="F1338" t="str">
        <f t="shared" si="76"/>
        <v>岡山</v>
      </c>
      <c r="G1338" t="str">
        <f>"年刊"</f>
        <v>年刊</v>
      </c>
      <c r="H1338" t="str">
        <f>"2002222280511"</f>
        <v>2002222280511</v>
      </c>
      <c r="I1338" t="str">
        <f>HYPERLINK("#", "https://opac.libnet.pref.okayama.jp/licsxp-opac/WOpacMsgNewListToTifTilDetailAction.do?tilcod=2002222280511")</f>
        <v>https://opac.libnet.pref.okayama.jp/licsxp-opac/WOpacMsgNewListToTifTilDetailAction.do?tilcod=2002222280511</v>
      </c>
    </row>
    <row r="1339" spans="1:9" x14ac:dyDescent="0.4">
      <c r="A1339" t="str">
        <f>"〔岡山県立岡山操山高等学校〕操山通信"</f>
        <v>〔岡山県立岡山操山高等学校〕操山通信</v>
      </c>
      <c r="B1339" s="1" t="str">
        <f t="shared" si="74"/>
        <v>〔岡山県立岡山操山高等学校〕操山通信</v>
      </c>
      <c r="C1339" t="str">
        <f>"オカヤマケンリツ　オカヤマ　ソウザン　コウトウ　ガッコウ＊ソウザン　ツウシン"</f>
        <v>オカヤマケンリツ　オカヤマ　ソウザン　コウトウ　ガッコウ＊ソウザン　ツウシン</v>
      </c>
      <c r="D1339" t="str">
        <f>"岡山操山高等学校通信制課程"</f>
        <v>岡山操山高等学校通信制課程</v>
      </c>
      <c r="E1339" t="str">
        <f>"オカヤマソウザンコウトウガッコウツウシンセイカテイ"</f>
        <v>オカヤマソウザンコウトウガッコウツウシンセイカテイ</v>
      </c>
      <c r="F1339" t="str">
        <f t="shared" si="76"/>
        <v>岡山</v>
      </c>
      <c r="G1339" t="str">
        <f>"不定期刊"</f>
        <v>不定期刊</v>
      </c>
      <c r="H1339" t="str">
        <f>"2002222280851"</f>
        <v>2002222280851</v>
      </c>
      <c r="I1339" t="str">
        <f>HYPERLINK("#", "https://opac.libnet.pref.okayama.jp/licsxp-opac/WOpacMsgNewListToTifTilDetailAction.do?tilcod=2002222280851")</f>
        <v>https://opac.libnet.pref.okayama.jp/licsxp-opac/WOpacMsgNewListToTifTilDetailAction.do?tilcod=2002222280851</v>
      </c>
    </row>
    <row r="1340" spans="1:9" x14ac:dyDescent="0.4">
      <c r="A1340" t="str">
        <f>"〔岡山県立岡山操山高等学校〕操山論叢"</f>
        <v>〔岡山県立岡山操山高等学校〕操山論叢</v>
      </c>
      <c r="B1340" s="1" t="str">
        <f t="shared" si="74"/>
        <v>〔岡山県立岡山操山高等学校〕操山論叢</v>
      </c>
      <c r="C1340" t="str">
        <f>"オカヤマケンリツ　オカヤマ　ソウザン　コウトウ　ガッコウ＊ソウザン　ロンソウ"</f>
        <v>オカヤマケンリツ　オカヤマ　ソウザン　コウトウ　ガッコウ＊ソウザン　ロンソウ</v>
      </c>
      <c r="D1340" t="str">
        <f>"岡山操山高等学校"</f>
        <v>岡山操山高等学校</v>
      </c>
      <c r="E1340" t="str">
        <f>"オカヤマソウザンコウトウガッコウ"</f>
        <v>オカヤマソウザンコウトウガッコウ</v>
      </c>
      <c r="F1340" t="str">
        <f t="shared" si="76"/>
        <v>岡山</v>
      </c>
      <c r="G1340" t="str">
        <f t="shared" ref="G1340:G1354" si="77">"年刊"</f>
        <v>年刊</v>
      </c>
      <c r="H1340" t="str">
        <f>"2002222280521"</f>
        <v>2002222280521</v>
      </c>
      <c r="I1340" t="str">
        <f>HYPERLINK("#", "https://opac.libnet.pref.okayama.jp/licsxp-opac/WOpacMsgNewListToTifTilDetailAction.do?tilcod=2002222280521")</f>
        <v>https://opac.libnet.pref.okayama.jp/licsxp-opac/WOpacMsgNewListToTifTilDetailAction.do?tilcod=2002222280521</v>
      </c>
    </row>
    <row r="1341" spans="1:9" x14ac:dyDescent="0.4">
      <c r="A1341" t="str">
        <f>"〔岡山県立岡山大安寺高等学校〕紀要"</f>
        <v>〔岡山県立岡山大安寺高等学校〕紀要</v>
      </c>
      <c r="B1341" s="1" t="str">
        <f t="shared" si="74"/>
        <v>〔岡山県立岡山大安寺高等学校〕紀要</v>
      </c>
      <c r="C1341" t="str">
        <f>"オカヤマケンリツ　オカヤマ　ダイアンジ　コウトウ　ガッコウ＊キヨウ"</f>
        <v>オカヤマケンリツ　オカヤマ　ダイアンジ　コウトウ　ガッコウ＊キヨウ</v>
      </c>
      <c r="D1341" t="str">
        <f>"岡山大安寺高等学校"</f>
        <v>岡山大安寺高等学校</v>
      </c>
      <c r="E1341" t="str">
        <f>"オカヤマ ダイアンジ コウトウ ガッコウ"</f>
        <v>オカヤマ ダイアンジ コウトウ ガッコウ</v>
      </c>
      <c r="F1341" t="str">
        <f t="shared" si="76"/>
        <v>岡山</v>
      </c>
      <c r="G1341" t="str">
        <f t="shared" si="77"/>
        <v>年刊</v>
      </c>
      <c r="H1341" t="str">
        <f>"2002222280141"</f>
        <v>2002222280141</v>
      </c>
      <c r="I1341" t="str">
        <f>HYPERLINK("#", "https://opac.libnet.pref.okayama.jp/licsxp-opac/WOpacMsgNewListToTifTilDetailAction.do?tilcod=2002222280141")</f>
        <v>https://opac.libnet.pref.okayama.jp/licsxp-opac/WOpacMsgNewListToTifTilDetailAction.do?tilcod=2002222280141</v>
      </c>
    </row>
    <row r="1342" spans="1:9" x14ac:dyDescent="0.4">
      <c r="A1342" t="str">
        <f>"〔岡山県立岡山大安寺高等学校〕しこん"</f>
        <v>〔岡山県立岡山大安寺高等学校〕しこん</v>
      </c>
      <c r="B1342" s="1" t="str">
        <f t="shared" si="74"/>
        <v>〔岡山県立岡山大安寺高等学校〕しこん</v>
      </c>
      <c r="C1342" t="str">
        <f>"オカヤマケンリツ　オカヤマ　ダイアンジ　コウトウ　ガッコウ＊シコン"</f>
        <v>オカヤマケンリツ　オカヤマ　ダイアンジ　コウトウ　ガッコウ＊シコン</v>
      </c>
      <c r="D1342" t="str">
        <f>"岡山大安寺高等学校"</f>
        <v>岡山大安寺高等学校</v>
      </c>
      <c r="E1342" t="str">
        <f>"オカヤマ ダイアンジ コウトウ ガッコウ"</f>
        <v>オカヤマ ダイアンジ コウトウ ガッコウ</v>
      </c>
      <c r="F1342" t="str">
        <f t="shared" si="76"/>
        <v>岡山</v>
      </c>
      <c r="G1342" t="str">
        <f t="shared" si="77"/>
        <v>年刊</v>
      </c>
      <c r="H1342" t="str">
        <f>"2002222280381"</f>
        <v>2002222280381</v>
      </c>
      <c r="I1342" t="str">
        <f>HYPERLINK("#", "https://opac.libnet.pref.okayama.jp/licsxp-opac/WOpacMsgNewListToTifTilDetailAction.do?tilcod=2002222280381")</f>
        <v>https://opac.libnet.pref.okayama.jp/licsxp-opac/WOpacMsgNewListToTifTilDetailAction.do?tilcod=2002222280381</v>
      </c>
    </row>
    <row r="1343" spans="1:9" x14ac:dyDescent="0.4">
      <c r="A1343" t="str">
        <f>"[岡山県立岡山大安寺中等教育学校] 紀要"</f>
        <v>[岡山県立岡山大安寺中等教育学校] 紀要</v>
      </c>
      <c r="B1343" s="1" t="str">
        <f t="shared" si="74"/>
        <v>[岡山県立岡山大安寺中等教育学校] 紀要</v>
      </c>
      <c r="C1343" t="str">
        <f>"オカヤマケンリツ オカヤマ ダイアンジ チュウトウ キョウイク ガッコウ＊キヨウ"</f>
        <v>オカヤマケンリツ オカヤマ ダイアンジ チュウトウ キョウイク ガッコウ＊キヨウ</v>
      </c>
      <c r="D1343" t="str">
        <f>"岡山大安寺中等教育学校"</f>
        <v>岡山大安寺中等教育学校</v>
      </c>
      <c r="E1343" t="str">
        <f>"オカヤマ ダイアンジ チュウトウ キョウイク ガッコウ"</f>
        <v>オカヤマ ダイアンジ チュウトウ キョウイク ガッコウ</v>
      </c>
      <c r="F1343" t="str">
        <f t="shared" si="76"/>
        <v>岡山</v>
      </c>
      <c r="G1343" t="str">
        <f t="shared" si="77"/>
        <v>年刊</v>
      </c>
      <c r="H1343" t="str">
        <f>"2002222334967"</f>
        <v>2002222334967</v>
      </c>
      <c r="I1343" t="str">
        <f>HYPERLINK("#", "https://opac.libnet.pref.okayama.jp/licsxp-opac/WOpacMsgNewListToTifTilDetailAction.do?tilcod=2002222334967")</f>
        <v>https://opac.libnet.pref.okayama.jp/licsxp-opac/WOpacMsgNewListToTifTilDetailAction.do?tilcod=2002222334967</v>
      </c>
    </row>
    <row r="1344" spans="1:9" x14ac:dyDescent="0.4">
      <c r="A1344" t="str">
        <f>"〔岡山県立岡山西支援学校〕ともに歩む"</f>
        <v>〔岡山県立岡山西支援学校〕ともに歩む</v>
      </c>
      <c r="B1344" s="1" t="str">
        <f t="shared" si="74"/>
        <v>〔岡山県立岡山西支援学校〕ともに歩む</v>
      </c>
      <c r="C1344" t="str">
        <f>"オカヤマケンリツ　オカヤマ　ニシ　シエン　ガッコウ＊トモ　ニ　アユム"</f>
        <v>オカヤマケンリツ　オカヤマ　ニシ　シエン　ガッコウ＊トモ　ニ　アユム</v>
      </c>
      <c r="D1344" t="str">
        <f>"岡山西支援学校"</f>
        <v>岡山西支援学校</v>
      </c>
      <c r="E1344" t="str">
        <f>"オカヤマ ニシ シエン ガッコウ"</f>
        <v>オカヤマ ニシ シエン ガッコウ</v>
      </c>
      <c r="F1344" t="str">
        <f t="shared" si="76"/>
        <v>岡山</v>
      </c>
      <c r="G1344" t="str">
        <f t="shared" si="77"/>
        <v>年刊</v>
      </c>
      <c r="H1344" t="str">
        <f>"2002222315729"</f>
        <v>2002222315729</v>
      </c>
      <c r="I1344" t="str">
        <f>HYPERLINK("#", "https://opac.libnet.pref.okayama.jp/licsxp-opac/WOpacMsgNewListToTifTilDetailAction.do?tilcod=2002222315729")</f>
        <v>https://opac.libnet.pref.okayama.jp/licsxp-opac/WOpacMsgNewListToTifTilDetailAction.do?tilcod=2002222315729</v>
      </c>
    </row>
    <row r="1345" spans="1:9" x14ac:dyDescent="0.4">
      <c r="A1345" t="str">
        <f>"〔岡山県立岡山西養護学校〕薫"</f>
        <v>〔岡山県立岡山西養護学校〕薫</v>
      </c>
      <c r="B1345" s="1" t="str">
        <f t="shared" si="74"/>
        <v>〔岡山県立岡山西養護学校〕薫</v>
      </c>
      <c r="C1345" t="str">
        <f>"オカヤマケンリツ　オカヤマ　ニシ　ヨウゴ　ガッコウ＊カオル"</f>
        <v>オカヤマケンリツ　オカヤマ　ニシ　ヨウゴ　ガッコウ＊カオル</v>
      </c>
      <c r="D1345" t="str">
        <f>"岡山西養護学校"</f>
        <v>岡山西養護学校</v>
      </c>
      <c r="E1345" t="str">
        <f>"オカヤマニシヨウゴガッコウ"</f>
        <v>オカヤマニシヨウゴガッコウ</v>
      </c>
      <c r="F1345" t="str">
        <f t="shared" si="76"/>
        <v>岡山</v>
      </c>
      <c r="G1345" t="str">
        <f t="shared" si="77"/>
        <v>年刊</v>
      </c>
      <c r="H1345" t="str">
        <f>"2002222289643"</f>
        <v>2002222289643</v>
      </c>
      <c r="I1345" t="str">
        <f>HYPERLINK("#", "https://opac.libnet.pref.okayama.jp/licsxp-opac/WOpacMsgNewListToTifTilDetailAction.do?tilcod=2002222289643")</f>
        <v>https://opac.libnet.pref.okayama.jp/licsxp-opac/WOpacMsgNewListToTifTilDetailAction.do?tilcod=2002222289643</v>
      </c>
    </row>
    <row r="1346" spans="1:9" x14ac:dyDescent="0.4">
      <c r="A1346" t="str">
        <f>"〔岡山県立岡山西養護学校〕ともに歩む"</f>
        <v>〔岡山県立岡山西養護学校〕ともに歩む</v>
      </c>
      <c r="B1346" s="1" t="str">
        <f t="shared" si="74"/>
        <v>〔岡山県立岡山西養護学校〕ともに歩む</v>
      </c>
      <c r="C1346" t="str">
        <f>"オカヤマケンリツ　オカヤマ　ニシ　ヨウゴ　ガッコウ＊トモ　ニ　アユム"</f>
        <v>オカヤマケンリツ　オカヤマ　ニシ　ヨウゴ　ガッコウ＊トモ　ニ　アユム</v>
      </c>
      <c r="D1346" t="str">
        <f>"岡山西養護学校"</f>
        <v>岡山西養護学校</v>
      </c>
      <c r="E1346" t="str">
        <f>"オカヤマニシヨウゴガッコウ"</f>
        <v>オカヤマニシヨウゴガッコウ</v>
      </c>
      <c r="F1346" t="str">
        <f t="shared" si="76"/>
        <v>岡山</v>
      </c>
      <c r="G1346" t="str">
        <f t="shared" si="77"/>
        <v>年刊</v>
      </c>
      <c r="H1346" t="str">
        <f>"2002222280801"</f>
        <v>2002222280801</v>
      </c>
      <c r="I1346" t="str">
        <f>HYPERLINK("#", "https://opac.libnet.pref.okayama.jp/licsxp-opac/WOpacMsgNewListToTifTilDetailAction.do?tilcod=2002222280801")</f>
        <v>https://opac.libnet.pref.okayama.jp/licsxp-opac/WOpacMsgNewListToTifTilDetailAction.do?tilcod=2002222280801</v>
      </c>
    </row>
    <row r="1347" spans="1:9" x14ac:dyDescent="0.4">
      <c r="A1347" t="str">
        <f>"〔岡山県立岡山西養護学校〕模索する教育"</f>
        <v>〔岡山県立岡山西養護学校〕模索する教育</v>
      </c>
      <c r="B1347" s="1" t="str">
        <f t="shared" si="74"/>
        <v>〔岡山県立岡山西養護学校〕模索する教育</v>
      </c>
      <c r="C1347" t="str">
        <f>"オカヤマケンリツ　オカヤマ　ニシ　ヨウゴ　ガッコウ＊モサクスル　キョウイク"</f>
        <v>オカヤマケンリツ　オカヤマ　ニシ　ヨウゴ　ガッコウ＊モサクスル　キョウイク</v>
      </c>
      <c r="D1347" t="str">
        <f>"岡山西養護学校"</f>
        <v>岡山西養護学校</v>
      </c>
      <c r="E1347" t="str">
        <f>"オカヤマニシヨウゴガッコウ"</f>
        <v>オカヤマニシヨウゴガッコウ</v>
      </c>
      <c r="F1347" t="str">
        <f t="shared" si="76"/>
        <v>岡山</v>
      </c>
      <c r="G1347" t="str">
        <f t="shared" si="77"/>
        <v>年刊</v>
      </c>
      <c r="H1347" t="str">
        <f>"2002222286513"</f>
        <v>2002222286513</v>
      </c>
      <c r="I1347" t="str">
        <f>HYPERLINK("#", "https://opac.libnet.pref.okayama.jp/licsxp-opac/WOpacMsgNewListToTifTilDetailAction.do?tilcod=2002222286513")</f>
        <v>https://opac.libnet.pref.okayama.jp/licsxp-opac/WOpacMsgNewListToTifTilDetailAction.do?tilcod=2002222286513</v>
      </c>
    </row>
    <row r="1348" spans="1:9" x14ac:dyDescent="0.4">
      <c r="A1348" t="str">
        <f>"〔岡山県立岡山東商業高等学校〕年輪"</f>
        <v>〔岡山県立岡山東商業高等学校〕年輪</v>
      </c>
      <c r="B1348" s="1" t="str">
        <f t="shared" ref="B1348:B1411" si="78">HYPERLINK("#", A1348)</f>
        <v>〔岡山県立岡山東商業高等学校〕年輪</v>
      </c>
      <c r="C1348" t="str">
        <f>"オカヤマケンリツ　オカヤマ　ヒガシ　ショウギョウ　コウトウ　ガッコウ＊ネンリン"</f>
        <v>オカヤマケンリツ　オカヤマ　ヒガシ　ショウギョウ　コウトウ　ガッコウ＊ネンリン</v>
      </c>
      <c r="D1348" t="str">
        <f>"岡山東商業高等学校"</f>
        <v>岡山東商業高等学校</v>
      </c>
      <c r="E1348" t="str">
        <f>"オカヤマ ヒガシ ショウギョウ コウトウ ガッコウ"</f>
        <v>オカヤマ ヒガシ ショウギョウ コウトウ ガッコウ</v>
      </c>
      <c r="F1348" t="str">
        <f t="shared" si="76"/>
        <v>岡山</v>
      </c>
      <c r="G1348" t="str">
        <f t="shared" si="77"/>
        <v>年刊</v>
      </c>
      <c r="H1348" t="str">
        <f>"2002222280231"</f>
        <v>2002222280231</v>
      </c>
      <c r="I1348" t="str">
        <f>HYPERLINK("#", "https://opac.libnet.pref.okayama.jp/licsxp-opac/WOpacMsgNewListToTifTilDetailAction.do?tilcod=2002222280231")</f>
        <v>https://opac.libnet.pref.okayama.jp/licsxp-opac/WOpacMsgNewListToTifTilDetailAction.do?tilcod=2002222280231</v>
      </c>
    </row>
    <row r="1349" spans="1:9" x14ac:dyDescent="0.4">
      <c r="A1349" t="str">
        <f>"〔岡山県立岡山芳泉高等学校〕芳泉"</f>
        <v>〔岡山県立岡山芳泉高等学校〕芳泉</v>
      </c>
      <c r="B1349" s="1" t="str">
        <f t="shared" si="78"/>
        <v>〔岡山県立岡山芳泉高等学校〕芳泉</v>
      </c>
      <c r="C1349" t="str">
        <f>"オカヤマケンリツ　オカヤマ　ホウセン　コウトウ　ガッコウ＊ホウセン"</f>
        <v>オカヤマケンリツ　オカヤマ　ホウセン　コウトウ　ガッコウ＊ホウセン</v>
      </c>
      <c r="D1349" t="str">
        <f>"岡山芳泉高等学校"</f>
        <v>岡山芳泉高等学校</v>
      </c>
      <c r="E1349" t="str">
        <f>"オカヤマ ホウセン コウトウ ガッコウ"</f>
        <v>オカヤマ ホウセン コウトウ ガッコウ</v>
      </c>
      <c r="F1349" t="str">
        <f t="shared" si="76"/>
        <v>岡山</v>
      </c>
      <c r="G1349" t="str">
        <f t="shared" si="77"/>
        <v>年刊</v>
      </c>
      <c r="H1349" t="str">
        <f>"2002222280641"</f>
        <v>2002222280641</v>
      </c>
      <c r="I1349" t="str">
        <f>HYPERLINK("#", "https://opac.libnet.pref.okayama.jp/licsxp-opac/WOpacMsgNewListToTifTilDetailAction.do?tilcod=2002222280641")</f>
        <v>https://opac.libnet.pref.okayama.jp/licsxp-opac/WOpacMsgNewListToTifTilDetailAction.do?tilcod=2002222280641</v>
      </c>
    </row>
    <row r="1350" spans="1:9" x14ac:dyDescent="0.4">
      <c r="A1350" t="str">
        <f>"〔岡山県立岡山芳泉高等学校〕芳泉紀要"</f>
        <v>〔岡山県立岡山芳泉高等学校〕芳泉紀要</v>
      </c>
      <c r="B1350" s="1" t="str">
        <f t="shared" si="78"/>
        <v>〔岡山県立岡山芳泉高等学校〕芳泉紀要</v>
      </c>
      <c r="C1350" t="str">
        <f>"オカヤマケンリツ　オカヤマ　ホウセン　コウトウ　ガッコウ＊ホウセン　キヨウ"</f>
        <v>オカヤマケンリツ　オカヤマ　ホウセン　コウトウ　ガッコウ＊ホウセン　キヨウ</v>
      </c>
      <c r="D1350" t="str">
        <f>"岡山芳泉高等学校"</f>
        <v>岡山芳泉高等学校</v>
      </c>
      <c r="E1350" t="str">
        <f>"オカヤマ ホウセン コウトウ ガッコウ"</f>
        <v>オカヤマ ホウセン コウトウ ガッコウ</v>
      </c>
      <c r="F1350" t="str">
        <f t="shared" si="76"/>
        <v>岡山</v>
      </c>
      <c r="G1350" t="str">
        <f t="shared" si="77"/>
        <v>年刊</v>
      </c>
      <c r="H1350" t="str">
        <f>"2002222282601"</f>
        <v>2002222282601</v>
      </c>
      <c r="I1350" t="str">
        <f>HYPERLINK("#", "https://opac.libnet.pref.okayama.jp/licsxp-opac/WOpacMsgNewListToTifTilDetailAction.do?tilcod=2002222282601")</f>
        <v>https://opac.libnet.pref.okayama.jp/licsxp-opac/WOpacMsgNewListToTifTilDetailAction.do?tilcod=2002222282601</v>
      </c>
    </row>
    <row r="1351" spans="1:9" x14ac:dyDescent="0.4">
      <c r="A1351" t="str">
        <f>"[岡山県立岡山南高等学校]誠友"</f>
        <v>[岡山県立岡山南高等学校]誠友</v>
      </c>
      <c r="B1351" s="1" t="str">
        <f t="shared" si="78"/>
        <v>[岡山県立岡山南高等学校]誠友</v>
      </c>
      <c r="C1351" t="str">
        <f>"オカヤマケンリツ オカヤマ ミナミ コウトウ ガッコウ＊セイユウ"</f>
        <v>オカヤマケンリツ オカヤマ ミナミ コウトウ ガッコウ＊セイユウ</v>
      </c>
      <c r="D1351" t="str">
        <f>"岡山南高等学校"</f>
        <v>岡山南高等学校</v>
      </c>
      <c r="E1351" t="str">
        <f>"オカヤマミナミコウトウガッコウ"</f>
        <v>オカヤマミナミコウトウガッコウ</v>
      </c>
      <c r="F1351" t="str">
        <f t="shared" si="76"/>
        <v>岡山</v>
      </c>
      <c r="G1351" t="str">
        <f t="shared" si="77"/>
        <v>年刊</v>
      </c>
      <c r="H1351" t="str">
        <f>"2002222284671"</f>
        <v>2002222284671</v>
      </c>
      <c r="I1351" t="str">
        <f>HYPERLINK("#", "https://opac.libnet.pref.okayama.jp/licsxp-opac/WOpacMsgNewListToTifTilDetailAction.do?tilcod=2002222284671")</f>
        <v>https://opac.libnet.pref.okayama.jp/licsxp-opac/WOpacMsgNewListToTifTilDetailAction.do?tilcod=2002222284671</v>
      </c>
    </row>
    <row r="1352" spans="1:9" x14ac:dyDescent="0.4">
      <c r="A1352" t="str">
        <f>"〔岡山県立岡山盲学校〕あかとんぼ"</f>
        <v>〔岡山県立岡山盲学校〕あかとんぼ</v>
      </c>
      <c r="B1352" s="1" t="str">
        <f t="shared" si="78"/>
        <v>〔岡山県立岡山盲学校〕あかとんぼ</v>
      </c>
      <c r="C1352" t="str">
        <f>"オカヤマケンリツ　オカヤマ　モウガッコウ＊アカトンボ"</f>
        <v>オカヤマケンリツ　オカヤマ　モウガッコウ＊アカトンボ</v>
      </c>
      <c r="D1352" t="str">
        <f>"岡山県立岡山盲学校"</f>
        <v>岡山県立岡山盲学校</v>
      </c>
      <c r="E1352" t="str">
        <f>"オカヤマケンリツ オカヤマ モウガッコウ"</f>
        <v>オカヤマケンリツ オカヤマ モウガッコウ</v>
      </c>
      <c r="F1352" t="str">
        <f t="shared" si="76"/>
        <v>岡山</v>
      </c>
      <c r="G1352" t="str">
        <f t="shared" si="77"/>
        <v>年刊</v>
      </c>
      <c r="H1352" t="str">
        <f>"2002222280031"</f>
        <v>2002222280031</v>
      </c>
      <c r="I1352" t="str">
        <f>HYPERLINK("#", "https://opac.libnet.pref.okayama.jp/licsxp-opac/WOpacMsgNewListToTifTilDetailAction.do?tilcod=2002222280031")</f>
        <v>https://opac.libnet.pref.okayama.jp/licsxp-opac/WOpacMsgNewListToTifTilDetailAction.do?tilcod=2002222280031</v>
      </c>
    </row>
    <row r="1353" spans="1:9" x14ac:dyDescent="0.4">
      <c r="A1353" t="str">
        <f>"〔岡山県立岡山養護学校〕研究紀要"</f>
        <v>〔岡山県立岡山養護学校〕研究紀要</v>
      </c>
      <c r="B1353" s="1" t="str">
        <f t="shared" si="78"/>
        <v>〔岡山県立岡山養護学校〕研究紀要</v>
      </c>
      <c r="C1353" t="str">
        <f>"オカヤマケンリツ　オカヤマ　ヨウゴ　ガッコウ＊ケンキュウ　キヨウ"</f>
        <v>オカヤマケンリツ　オカヤマ　ヨウゴ　ガッコウ＊ケンキュウ　キヨウ</v>
      </c>
      <c r="D1353" t="str">
        <f>"岡山養護学校"</f>
        <v>岡山養護学校</v>
      </c>
      <c r="E1353" t="str">
        <f>"オカヤマ ヨウゴ ガッコウ"</f>
        <v>オカヤマ ヨウゴ ガッコウ</v>
      </c>
      <c r="F1353" t="str">
        <f t="shared" si="76"/>
        <v>岡山</v>
      </c>
      <c r="G1353" t="str">
        <f t="shared" si="77"/>
        <v>年刊</v>
      </c>
      <c r="H1353" t="str">
        <f>"2002222289653"</f>
        <v>2002222289653</v>
      </c>
      <c r="I1353" t="str">
        <f>HYPERLINK("#", "https://opac.libnet.pref.okayama.jp/licsxp-opac/WOpacMsgNewListToTifTilDetailAction.do?tilcod=2002222289653")</f>
        <v>https://opac.libnet.pref.okayama.jp/licsxp-opac/WOpacMsgNewListToTifTilDetailAction.do?tilcod=2002222289653</v>
      </c>
    </row>
    <row r="1354" spans="1:9" x14ac:dyDescent="0.4">
      <c r="A1354" t="str">
        <f>"[岡山県立邑久高等学校]邑久高紀"</f>
        <v>[岡山県立邑久高等学校]邑久高紀</v>
      </c>
      <c r="B1354" s="1" t="str">
        <f t="shared" si="78"/>
        <v>[岡山県立邑久高等学校]邑久高紀</v>
      </c>
      <c r="C1354" t="str">
        <f>"オカヤマケンリツ オク コウトウ ガッコウ＊オク コウキ"</f>
        <v>オカヤマケンリツ オク コウトウ ガッコウ＊オク コウキ</v>
      </c>
      <c r="D1354" t="str">
        <f>"邑久高等学校"</f>
        <v>邑久高等学校</v>
      </c>
      <c r="E1354" t="str">
        <f>"オク コウトウ ガッコウ"</f>
        <v>オク コウトウ ガッコウ</v>
      </c>
      <c r="F1354" t="str">
        <f>"瀬戸内"</f>
        <v>瀬戸内</v>
      </c>
      <c r="G1354" t="str">
        <f t="shared" si="77"/>
        <v>年刊</v>
      </c>
      <c r="H1354" t="str">
        <f>"2002222281691"</f>
        <v>2002222281691</v>
      </c>
      <c r="I1354" t="str">
        <f>HYPERLINK("#", "https://opac.libnet.pref.okayama.jp/licsxp-opac/WOpacMsgNewListToTifTilDetailAction.do?tilcod=2002222281691")</f>
        <v>https://opac.libnet.pref.okayama.jp/licsxp-opac/WOpacMsgNewListToTifTilDetailAction.do?tilcod=2002222281691</v>
      </c>
    </row>
    <row r="1355" spans="1:9" x14ac:dyDescent="0.4">
      <c r="A1355" t="str">
        <f>"[岡山県立邑久高等学校]研究紀要　保健体育科"</f>
        <v>[岡山県立邑久高等学校]研究紀要　保健体育科</v>
      </c>
      <c r="B1355" s="1" t="str">
        <f t="shared" si="78"/>
        <v>[岡山県立邑久高等学校]研究紀要　保健体育科</v>
      </c>
      <c r="C1355" t="str">
        <f>"オカヤマケンリツ オク コウトウ ガッコウ＊ケンキュウ キヨウ ホケン タイイクカ"</f>
        <v>オカヤマケンリツ オク コウトウ ガッコウ＊ケンキュウ キヨウ ホケン タイイクカ</v>
      </c>
      <c r="D1355" t="str">
        <f>"邑久高等学校"</f>
        <v>邑久高等学校</v>
      </c>
      <c r="E1355" t="str">
        <f>"オク コウトウ ガッコウ"</f>
        <v>オク コウトウ ガッコウ</v>
      </c>
      <c r="F1355" t="str">
        <f>"邑久町(邑久郡)"</f>
        <v>邑久町(邑久郡)</v>
      </c>
      <c r="G1355" t="str">
        <f>"頻度不明"</f>
        <v>頻度不明</v>
      </c>
      <c r="H1355" t="str">
        <f>"2002222288713"</f>
        <v>2002222288713</v>
      </c>
      <c r="I1355" t="str">
        <f>HYPERLINK("#", "https://opac.libnet.pref.okayama.jp/licsxp-opac/WOpacMsgNewListToTifTilDetailAction.do?tilcod=2002222288713")</f>
        <v>https://opac.libnet.pref.okayama.jp/licsxp-opac/WOpacMsgNewListToTifTilDetailAction.do?tilcod=2002222288713</v>
      </c>
    </row>
    <row r="1356" spans="1:9" x14ac:dyDescent="0.4">
      <c r="A1356" t="str">
        <f>"[岡山県立邑久高等学校]点滴"</f>
        <v>[岡山県立邑久高等学校]点滴</v>
      </c>
      <c r="B1356" s="1" t="str">
        <f t="shared" si="78"/>
        <v>[岡山県立邑久高等学校]点滴</v>
      </c>
      <c r="C1356" t="str">
        <f>"オカヤマケンリツ オク コウトウ ガッコウ＊テンテキ"</f>
        <v>オカヤマケンリツ オク コウトウ ガッコウ＊テンテキ</v>
      </c>
      <c r="D1356" t="str">
        <f>"邑久高等学校"</f>
        <v>邑久高等学校</v>
      </c>
      <c r="E1356" t="str">
        <f>"オク コウトウ ガッコウ"</f>
        <v>オク コウトウ ガッコウ</v>
      </c>
      <c r="F1356" t="str">
        <f>"邑久町(邑久郡)"</f>
        <v>邑久町(邑久郡)</v>
      </c>
      <c r="G1356" t="str">
        <f>"頻度不明"</f>
        <v>頻度不明</v>
      </c>
      <c r="H1356" t="str">
        <f>"2002222288703"</f>
        <v>2002222288703</v>
      </c>
      <c r="I1356" t="str">
        <f>HYPERLINK("#", "https://opac.libnet.pref.okayama.jp/licsxp-opac/WOpacMsgNewListToTifTilDetailAction.do?tilcod=2002222288703")</f>
        <v>https://opac.libnet.pref.okayama.jp/licsxp-opac/WOpacMsgNewListToTifTilDetailAction.do?tilcod=2002222288703</v>
      </c>
    </row>
    <row r="1357" spans="1:9" x14ac:dyDescent="0.4">
      <c r="A1357" t="str">
        <f>"〔岡山県立落合高等学校〕おちあい"</f>
        <v>〔岡山県立落合高等学校〕おちあい</v>
      </c>
      <c r="B1357" s="1" t="str">
        <f t="shared" si="78"/>
        <v>〔岡山県立落合高等学校〕おちあい</v>
      </c>
      <c r="C1357" t="str">
        <f>"オカヤマケンリツ　オチアイ　コウトウ　ガッコウ＊オチアイ"</f>
        <v>オカヤマケンリツ　オチアイ　コウトウ　ガッコウ＊オチアイ</v>
      </c>
      <c r="D1357" t="str">
        <f>"落合高等学校"</f>
        <v>落合高等学校</v>
      </c>
      <c r="E1357" t="str">
        <f>"オチアイコウトウガッコウ"</f>
        <v>オチアイコウトウガッコウ</v>
      </c>
      <c r="F1357" t="str">
        <f>"落合町（真庭郡）"</f>
        <v>落合町（真庭郡）</v>
      </c>
      <c r="G1357" t="str">
        <f>"頻度不明"</f>
        <v>頻度不明</v>
      </c>
      <c r="H1357" t="str">
        <f>"2002222288753"</f>
        <v>2002222288753</v>
      </c>
      <c r="I1357" t="str">
        <f>HYPERLINK("#", "https://opac.libnet.pref.okayama.jp/licsxp-opac/WOpacMsgNewListToTifTilDetailAction.do?tilcod=2002222288753")</f>
        <v>https://opac.libnet.pref.okayama.jp/licsxp-opac/WOpacMsgNewListToTifTilDetailAction.do?tilcod=2002222288753</v>
      </c>
    </row>
    <row r="1358" spans="1:9" x14ac:dyDescent="0.4">
      <c r="A1358" t="str">
        <f>"〔岡山県立笠岡工業高等学校〕御岳（みたけ）"</f>
        <v>〔岡山県立笠岡工業高等学校〕御岳（みたけ）</v>
      </c>
      <c r="B1358" s="1" t="str">
        <f t="shared" si="78"/>
        <v>〔岡山県立笠岡工業高等学校〕御岳（みたけ）</v>
      </c>
      <c r="C1358" t="str">
        <f>"オカヤマケンリツ　カサオカ　コウギョウ　コウトウ　ガッコウ＊ミタケ"</f>
        <v>オカヤマケンリツ　カサオカ　コウギョウ　コウトウ　ガッコウ＊ミタケ</v>
      </c>
      <c r="D1358" t="str">
        <f>"笠岡工業高等学校"</f>
        <v>笠岡工業高等学校</v>
      </c>
      <c r="E1358" t="str">
        <f>"カサオカコウギョウコウトウガッコウ"</f>
        <v>カサオカコウギョウコウトウガッコウ</v>
      </c>
      <c r="F1358" t="str">
        <f>"笠岡"</f>
        <v>笠岡</v>
      </c>
      <c r="G1358" t="str">
        <f>"年刊"</f>
        <v>年刊</v>
      </c>
      <c r="H1358" t="str">
        <f>"2002222288233"</f>
        <v>2002222288233</v>
      </c>
      <c r="I1358" t="str">
        <f>HYPERLINK("#", "https://opac.libnet.pref.okayama.jp/licsxp-opac/WOpacMsgNewListToTifTilDetailAction.do?tilcod=2002222288233")</f>
        <v>https://opac.libnet.pref.okayama.jp/licsxp-opac/WOpacMsgNewListToTifTilDetailAction.do?tilcod=2002222288233</v>
      </c>
    </row>
    <row r="1359" spans="1:9" x14ac:dyDescent="0.4">
      <c r="A1359" t="str">
        <f>"〔岡山県立笠岡高等学校〕千鳥"</f>
        <v>〔岡山県立笠岡高等学校〕千鳥</v>
      </c>
      <c r="B1359" s="1" t="str">
        <f t="shared" si="78"/>
        <v>〔岡山県立笠岡高等学校〕千鳥</v>
      </c>
      <c r="C1359" t="str">
        <f>"オカヤマケンリツ　カサオカ　コウトウ　ガッコウ＊チドリ"</f>
        <v>オカヤマケンリツ　カサオカ　コウトウ　ガッコウ＊チドリ</v>
      </c>
      <c r="D1359" t="str">
        <f>"笠岡高等学校"</f>
        <v>笠岡高等学校</v>
      </c>
      <c r="E1359" t="str">
        <f>"カサオカ コウトウ ガッコウ"</f>
        <v>カサオカ コウトウ ガッコウ</v>
      </c>
      <c r="F1359" t="str">
        <f>"笠岡"</f>
        <v>笠岡</v>
      </c>
      <c r="G1359" t="str">
        <f>"年刊"</f>
        <v>年刊</v>
      </c>
      <c r="H1359" t="str">
        <f>"2002222280621"</f>
        <v>2002222280621</v>
      </c>
      <c r="I1359" t="str">
        <f>HYPERLINK("#", "https://opac.libnet.pref.okayama.jp/licsxp-opac/WOpacMsgNewListToTifTilDetailAction.do?tilcod=2002222280621")</f>
        <v>https://opac.libnet.pref.okayama.jp/licsxp-opac/WOpacMsgNewListToTifTilDetailAction.do?tilcod=2002222280621</v>
      </c>
    </row>
    <row r="1360" spans="1:9" x14ac:dyDescent="0.4">
      <c r="A1360" t="str">
        <f>"〔岡山県立笠岡商業高等学校〕吸江"</f>
        <v>〔岡山県立笠岡商業高等学校〕吸江</v>
      </c>
      <c r="B1360" s="1" t="str">
        <f t="shared" si="78"/>
        <v>〔岡山県立笠岡商業高等学校〕吸江</v>
      </c>
      <c r="C1360" t="str">
        <f>"オカヤマケンリツ　カサオカ　ショウギョウ　コウトウ　ガッコウ＊キュウコウ"</f>
        <v>オカヤマケンリツ　カサオカ　ショウギョウ　コウトウ　ガッコウ＊キュウコウ</v>
      </c>
      <c r="D1360" t="str">
        <f>"笠岡商業高等学校"</f>
        <v>笠岡商業高等学校</v>
      </c>
      <c r="E1360" t="str">
        <f>"カサオカ ショウギョウ コウトウ ガッコウ"</f>
        <v>カサオカ ショウギョウ コウトウ ガッコウ</v>
      </c>
      <c r="F1360" t="str">
        <f>"笠岡"</f>
        <v>笠岡</v>
      </c>
      <c r="G1360" t="str">
        <f>"年刊"</f>
        <v>年刊</v>
      </c>
      <c r="H1360" t="str">
        <f>"2002222281164"</f>
        <v>2002222281164</v>
      </c>
      <c r="I1360" t="str">
        <f>HYPERLINK("#", "https://opac.libnet.pref.okayama.jp/licsxp-opac/WOpacMsgNewListToTifTilDetailAction.do?tilcod=2002222281164")</f>
        <v>https://opac.libnet.pref.okayama.jp/licsxp-opac/WOpacMsgNewListToTifTilDetailAction.do?tilcod=2002222281164</v>
      </c>
    </row>
    <row r="1361" spans="1:9" x14ac:dyDescent="0.4">
      <c r="A1361" t="str">
        <f>"〔岡山県立勝間田高等学校〕紀要"</f>
        <v>〔岡山県立勝間田高等学校〕紀要</v>
      </c>
      <c r="B1361" s="1" t="str">
        <f t="shared" si="78"/>
        <v>〔岡山県立勝間田高等学校〕紀要</v>
      </c>
      <c r="C1361" t="str">
        <f>"オカヤマケンリツ カツマタ コウトウ ガッコウ キヨウ"</f>
        <v>オカヤマケンリツ カツマタ コウトウ ガッコウ キヨウ</v>
      </c>
      <c r="D1361" t="str">
        <f>"勝間田高等学校"</f>
        <v>勝間田高等学校</v>
      </c>
      <c r="E1361" t="str">
        <f>"カツマダ コウトウ ガッコウ"</f>
        <v>カツマダ コウトウ ガッコウ</v>
      </c>
      <c r="F1361" t="str">
        <f>""</f>
        <v/>
      </c>
      <c r="G1361" t="str">
        <f>"頻度不明"</f>
        <v>頻度不明</v>
      </c>
      <c r="H1361" t="str">
        <f>"2002222325306"</f>
        <v>2002222325306</v>
      </c>
      <c r="I1361" t="str">
        <f>HYPERLINK("#", "https://opac.libnet.pref.okayama.jp/licsxp-opac/WOpacMsgNewListToTifTilDetailAction.do?tilcod=2002222325306")</f>
        <v>https://opac.libnet.pref.okayama.jp/licsxp-opac/WOpacMsgNewListToTifTilDetailAction.do?tilcod=2002222325306</v>
      </c>
    </row>
    <row r="1362" spans="1:9" x14ac:dyDescent="0.4">
      <c r="A1362" t="str">
        <f>"〔岡山県立勝間田高等学校〕渓流；生徒会機関誌"</f>
        <v>〔岡山県立勝間田高等学校〕渓流；生徒会機関誌</v>
      </c>
      <c r="B1362" s="1" t="str">
        <f t="shared" si="78"/>
        <v>〔岡山県立勝間田高等学校〕渓流；生徒会機関誌</v>
      </c>
      <c r="C1362" t="str">
        <f>"オカヤマケンリツ　カツマタ　コウトウ　ガッコウ＊ケイリュウ＊セイトカイ　キカンシ"</f>
        <v>オカヤマケンリツ　カツマタ　コウトウ　ガッコウ＊ケイリュウ＊セイトカイ　キカンシ</v>
      </c>
      <c r="D1362" t="str">
        <f>"勝間田高等学校生徒会"</f>
        <v>勝間田高等学校生徒会</v>
      </c>
      <c r="E1362" t="str">
        <f>"カツマダ コウトウ ガッコウ セイトカイ"</f>
        <v>カツマダ コウトウ ガッコウ セイトカイ</v>
      </c>
      <c r="F1362" t="str">
        <f>"津山"</f>
        <v>津山</v>
      </c>
      <c r="G1362" t="str">
        <f>"頻度不明"</f>
        <v>頻度不明</v>
      </c>
      <c r="H1362" t="str">
        <f>"2002222280293"</f>
        <v>2002222280293</v>
      </c>
      <c r="I1362" t="str">
        <f>HYPERLINK("#", "https://opac.libnet.pref.okayama.jp/licsxp-opac/WOpacMsgNewListToTifTilDetailAction.do?tilcod=2002222280293")</f>
        <v>https://opac.libnet.pref.okayama.jp/licsxp-opac/WOpacMsgNewListToTifTilDetailAction.do?tilcod=2002222280293</v>
      </c>
    </row>
    <row r="1363" spans="1:9" x14ac:dyDescent="0.4">
      <c r="A1363" t="str">
        <f>"〔岡山県立勝間田高等学校〕研究紀要"</f>
        <v>〔岡山県立勝間田高等学校〕研究紀要</v>
      </c>
      <c r="B1363" s="1" t="str">
        <f t="shared" si="78"/>
        <v>〔岡山県立勝間田高等学校〕研究紀要</v>
      </c>
      <c r="C1363" t="str">
        <f>"オカヤマケンリツ　カツマタ　コウトウ　ガッコウ＊ケンキュウ　キヨウ"</f>
        <v>オカヤマケンリツ　カツマタ　コウトウ　ガッコウ＊ケンキュウ　キヨウ</v>
      </c>
      <c r="D1363" t="str">
        <f>"勝間田高等学校"</f>
        <v>勝間田高等学校</v>
      </c>
      <c r="E1363" t="str">
        <f>"カツマダ コウトウ ガッコウ"</f>
        <v>カツマダ コウトウ ガッコウ</v>
      </c>
      <c r="F1363" t="str">
        <f>""</f>
        <v/>
      </c>
      <c r="G1363" t="str">
        <f>"頻度不明"</f>
        <v>頻度不明</v>
      </c>
      <c r="H1363" t="str">
        <f>"2002222288733"</f>
        <v>2002222288733</v>
      </c>
      <c r="I1363" t="str">
        <f>HYPERLINK("#", "https://opac.libnet.pref.okayama.jp/licsxp-opac/WOpacMsgNewListToTifTilDetailAction.do?tilcod=2002222288733")</f>
        <v>https://opac.libnet.pref.okayama.jp/licsxp-opac/WOpacMsgNewListToTifTilDetailAction.do?tilcod=2002222288733</v>
      </c>
    </row>
    <row r="1364" spans="1:9" x14ac:dyDescent="0.4">
      <c r="A1364" t="str">
        <f>"[岡山県立勝山高等学校校誌]鼓山"</f>
        <v>[岡山県立勝山高等学校校誌]鼓山</v>
      </c>
      <c r="B1364" s="1" t="str">
        <f t="shared" si="78"/>
        <v>[岡山県立勝山高等学校校誌]鼓山</v>
      </c>
      <c r="C1364" t="str">
        <f>"オカヤマケンリツ カツヤマ コウトウ ガッコウ コウシ コザン"</f>
        <v>オカヤマケンリツ カツヤマ コウトウ ガッコウ コウシ コザン</v>
      </c>
      <c r="D1364" t="str">
        <f>"勝山高等学校"</f>
        <v>勝山高等学校</v>
      </c>
      <c r="E1364" t="str">
        <f>"カツヤマ コウトウ ガッコウ"</f>
        <v>カツヤマ コウトウ ガッコウ</v>
      </c>
      <c r="F1364" t="str">
        <f>"真庭"</f>
        <v>真庭</v>
      </c>
      <c r="G1364" t="str">
        <f>"年刊"</f>
        <v>年刊</v>
      </c>
      <c r="H1364" t="str">
        <f>"2002222320326"</f>
        <v>2002222320326</v>
      </c>
      <c r="I1364" t="str">
        <f>HYPERLINK("#", "https://opac.libnet.pref.okayama.jp/licsxp-opac/WOpacMsgNewListToTifTilDetailAction.do?tilcod=2002222320326")</f>
        <v>https://opac.libnet.pref.okayama.jp/licsxp-opac/WOpacMsgNewListToTifTilDetailAction.do?tilcod=2002222320326</v>
      </c>
    </row>
    <row r="1365" spans="1:9" x14ac:dyDescent="0.4">
      <c r="A1365" t="str">
        <f>"〔岡山県立勝山高等学校湯原分校〕いでゆ；湯高の教育"</f>
        <v>〔岡山県立勝山高等学校湯原分校〕いでゆ；湯高の教育</v>
      </c>
      <c r="B1365" s="1" t="str">
        <f t="shared" si="78"/>
        <v>〔岡山県立勝山高等学校湯原分校〕いでゆ；湯高の教育</v>
      </c>
      <c r="C1365" t="str">
        <f>"オカヤマケンリツ　カツヤマ　コウトウ　ガッコウ　ユバラ　ブンコウ＊イデユ　ユコウ　ノ　キョウイク"</f>
        <v>オカヤマケンリツ　カツヤマ　コウトウ　ガッコウ　ユバラ　ブンコウ＊イデユ　ユコウ　ノ　キョウイク</v>
      </c>
      <c r="D1365" t="str">
        <f>"勝山高等学校湯原分校"</f>
        <v>勝山高等学校湯原分校</v>
      </c>
      <c r="E1365" t="str">
        <f>"カツヤマコウトウガッコウユバラブンコウ"</f>
        <v>カツヤマコウトウガッコウユバラブンコウ</v>
      </c>
      <c r="F1365" t="str">
        <f>""</f>
        <v/>
      </c>
      <c r="G1365" t="str">
        <f>"頻度不明"</f>
        <v>頻度不明</v>
      </c>
      <c r="H1365" t="str">
        <f>"2002222288743"</f>
        <v>2002222288743</v>
      </c>
      <c r="I1365" t="str">
        <f>HYPERLINK("#", "https://opac.libnet.pref.okayama.jp/licsxp-opac/WOpacMsgNewListToTifTilDetailAction.do?tilcod=2002222288743")</f>
        <v>https://opac.libnet.pref.okayama.jp/licsxp-opac/WOpacMsgNewListToTifTilDetailAction.do?tilcod=2002222288743</v>
      </c>
    </row>
    <row r="1366" spans="1:9" x14ac:dyDescent="0.4">
      <c r="A1366" t="str">
        <f>"〔岡山県立金川高等学校〕紀要玉松"</f>
        <v>〔岡山県立金川高等学校〕紀要玉松</v>
      </c>
      <c r="B1366" s="1" t="str">
        <f t="shared" si="78"/>
        <v>〔岡山県立金川高等学校〕紀要玉松</v>
      </c>
      <c r="C1366" t="str">
        <f>"オカヤマケンリツ　カナガワ　コウトウ　ガッコウ＊キヨウ　タママツ"</f>
        <v>オカヤマケンリツ　カナガワ　コウトウ　ガッコウ＊キヨウ　タママツ</v>
      </c>
      <c r="D1366" t="str">
        <f>"金川高等学校"</f>
        <v>金川高等学校</v>
      </c>
      <c r="E1366" t="str">
        <f>"カナガワ コウトウ ガッコウ"</f>
        <v>カナガワ コウトウ ガッコウ</v>
      </c>
      <c r="F1366" t="str">
        <f>""</f>
        <v/>
      </c>
      <c r="G1366" t="str">
        <f>"年刊"</f>
        <v>年刊</v>
      </c>
      <c r="H1366" t="str">
        <f>"2002222288763"</f>
        <v>2002222288763</v>
      </c>
      <c r="I1366" t="str">
        <f>HYPERLINK("#", "https://opac.libnet.pref.okayama.jp/licsxp-opac/WOpacMsgNewListToTifTilDetailAction.do?tilcod=2002222288763")</f>
        <v>https://opac.libnet.pref.okayama.jp/licsxp-opac/WOpacMsgNewListToTifTilDetailAction.do?tilcod=2002222288763</v>
      </c>
    </row>
    <row r="1367" spans="1:9" x14ac:dyDescent="0.4">
      <c r="A1367" t="str">
        <f>"岡山県立鴨方高等学校研究紀要"</f>
        <v>岡山県立鴨方高等学校研究紀要</v>
      </c>
      <c r="B1367" s="1" t="str">
        <f t="shared" si="78"/>
        <v>岡山県立鴨方高等学校研究紀要</v>
      </c>
      <c r="C1367" t="str">
        <f>"オカヤマケンリツ　カモガタ　コウトウ　ガッコウ　ケンキュウ　キヨウ"</f>
        <v>オカヤマケンリツ　カモガタ　コウトウ　ガッコウ　ケンキュウ　キヨウ</v>
      </c>
      <c r="D1367" t="str">
        <f>"鴨方高等学校"</f>
        <v>鴨方高等学校</v>
      </c>
      <c r="E1367" t="str">
        <f>"カモガタコウトウガッコウ"</f>
        <v>カモガタコウトウガッコウ</v>
      </c>
      <c r="F1367" t="str">
        <f>""</f>
        <v/>
      </c>
      <c r="G1367" t="str">
        <f>"年刊"</f>
        <v>年刊</v>
      </c>
      <c r="H1367" t="str">
        <f>"2002222288773"</f>
        <v>2002222288773</v>
      </c>
      <c r="I1367" t="str">
        <f>HYPERLINK("#", "https://opac.libnet.pref.okayama.jp/licsxp-opac/WOpacMsgNewListToTifTilDetailAction.do?tilcod=2002222288773")</f>
        <v>https://opac.libnet.pref.okayama.jp/licsxp-opac/WOpacMsgNewListToTifTilDetailAction.do?tilcod=2002222288773</v>
      </c>
    </row>
    <row r="1368" spans="1:9" x14ac:dyDescent="0.4">
      <c r="A1368" t="str">
        <f>"〔岡山県立鴨方高等学校〕校誌遙照"</f>
        <v>〔岡山県立鴨方高等学校〕校誌遙照</v>
      </c>
      <c r="B1368" s="1" t="str">
        <f t="shared" si="78"/>
        <v>〔岡山県立鴨方高等学校〕校誌遙照</v>
      </c>
      <c r="C1368" t="str">
        <f>"オカヤマケンリツ　カモガタ　コウトウ　ガッコウ＊コウシ　ヨウショウ"</f>
        <v>オカヤマケンリツ　カモガタ　コウトウ　ガッコウ＊コウシ　ヨウショウ</v>
      </c>
      <c r="D1368" t="str">
        <f>"鴨方高等学校"</f>
        <v>鴨方高等学校</v>
      </c>
      <c r="E1368" t="str">
        <f>"カモガタコウトウガッコウ"</f>
        <v>カモガタコウトウガッコウ</v>
      </c>
      <c r="F1368" t="str">
        <f>"鴨方町（浅口郡）"</f>
        <v>鴨方町（浅口郡）</v>
      </c>
      <c r="G1368" t="str">
        <f>"年刊"</f>
        <v>年刊</v>
      </c>
      <c r="H1368" t="str">
        <f>"2002222280171"</f>
        <v>2002222280171</v>
      </c>
      <c r="I1368" t="str">
        <f>HYPERLINK("#", "https://opac.libnet.pref.okayama.jp/licsxp-opac/WOpacMsgNewListToTifTilDetailAction.do?tilcod=2002222280171")</f>
        <v>https://opac.libnet.pref.okayama.jp/licsxp-opac/WOpacMsgNewListToTifTilDetailAction.do?tilcod=2002222280171</v>
      </c>
    </row>
    <row r="1369" spans="1:9" x14ac:dyDescent="0.4">
      <c r="A1369" t="str">
        <f>"〔岡山県立吉備北陵高等学校〕北陵"</f>
        <v>〔岡山県立吉備北陵高等学校〕北陵</v>
      </c>
      <c r="B1369" s="1" t="str">
        <f t="shared" si="78"/>
        <v>〔岡山県立吉備北陵高等学校〕北陵</v>
      </c>
      <c r="C1369" t="str">
        <f>"オカヤマケンリツ　キビ　ホクリョウ　コウトウ　ガッコウ＊ホクリョウ"</f>
        <v>オカヤマケンリツ　キビ　ホクリョウ　コウトウ　ガッコウ＊ホクリョウ</v>
      </c>
      <c r="D1369" t="str">
        <f>"吉備北陵高等学校"</f>
        <v>吉備北陵高等学校</v>
      </c>
      <c r="E1369" t="str">
        <f>"キビホクリョウコウトウガッコウ"</f>
        <v>キビホクリョウコウトウガッコウ</v>
      </c>
      <c r="F1369" t="str">
        <f>"賀陽町（上房郡）"</f>
        <v>賀陽町（上房郡）</v>
      </c>
      <c r="G1369" t="str">
        <f>"頻度不明"</f>
        <v>頻度不明</v>
      </c>
      <c r="H1369" t="str">
        <f>"2002222288783"</f>
        <v>2002222288783</v>
      </c>
      <c r="I1369" t="str">
        <f>HYPERLINK("#", "https://opac.libnet.pref.okayama.jp/licsxp-opac/WOpacMsgNewListToTifTilDetailAction.do?tilcod=2002222288783")</f>
        <v>https://opac.libnet.pref.okayama.jp/licsxp-opac/WOpacMsgNewListToTifTilDetailAction.do?tilcod=2002222288783</v>
      </c>
    </row>
    <row r="1370" spans="1:9" x14ac:dyDescent="0.4">
      <c r="A1370" t="str">
        <f>"岡山県立記録資料館紀要"</f>
        <v>岡山県立記録資料館紀要</v>
      </c>
      <c r="B1370" s="1" t="str">
        <f t="shared" si="78"/>
        <v>岡山県立記録資料館紀要</v>
      </c>
      <c r="C1370" t="str">
        <f>"オカヤマケンリツ　キロク　シリョウカン　キヨウ"</f>
        <v>オカヤマケンリツ　キロク　シリョウカン　キヨウ</v>
      </c>
      <c r="D1370" t="str">
        <f>"岡山県立記録資料館"</f>
        <v>岡山県立記録資料館</v>
      </c>
      <c r="E1370" t="str">
        <f>"オカヤマケンリツ キロク シリョウカン"</f>
        <v>オカヤマケンリツ キロク シリョウカン</v>
      </c>
      <c r="F1370" t="str">
        <f>"岡山"</f>
        <v>岡山</v>
      </c>
      <c r="G1370" t="str">
        <f>"頻度不明"</f>
        <v>頻度不明</v>
      </c>
      <c r="H1370" t="str">
        <f>"2002222301284"</f>
        <v>2002222301284</v>
      </c>
      <c r="I1370" t="str">
        <f>HYPERLINK("#", "https://opac.libnet.pref.okayama.jp/licsxp-opac/WOpacMsgNewListToTifTilDetailAction.do?tilcod=2002222301284")</f>
        <v>https://opac.libnet.pref.okayama.jp/licsxp-opac/WOpacMsgNewListToTifTilDetailAction.do?tilcod=2002222301284</v>
      </c>
    </row>
    <row r="1371" spans="1:9" x14ac:dyDescent="0.4">
      <c r="A1371" t="str">
        <f>"岡山県立記録資料館だより"</f>
        <v>岡山県立記録資料館だより</v>
      </c>
      <c r="B1371" s="1" t="str">
        <f t="shared" si="78"/>
        <v>岡山県立記録資料館だより</v>
      </c>
      <c r="C1371" t="str">
        <f>"オカヤマケンリツ　キロク　シリョウカン　ダヨリ"</f>
        <v>オカヤマケンリツ　キロク　シリョウカン　ダヨリ</v>
      </c>
      <c r="D1371" t="str">
        <f>"岡山県立記録資料館"</f>
        <v>岡山県立記録資料館</v>
      </c>
      <c r="E1371" t="str">
        <f>"オカヤマケンリツ キロク シリョウカン"</f>
        <v>オカヤマケンリツ キロク シリョウカン</v>
      </c>
      <c r="F1371" t="str">
        <f>"岡山"</f>
        <v>岡山</v>
      </c>
      <c r="G1371" t="str">
        <f>"年刊"</f>
        <v>年刊</v>
      </c>
      <c r="H1371" t="str">
        <f>"2002222300861"</f>
        <v>2002222300861</v>
      </c>
      <c r="I1371" t="str">
        <f>HYPERLINK("#", "https://opac.libnet.pref.okayama.jp/licsxp-opac/WOpacMsgNewListToTifTilDetailAction.do?tilcod=2002222300861")</f>
        <v>https://opac.libnet.pref.okayama.jp/licsxp-opac/WOpacMsgNewListToTifTilDetailAction.do?tilcod=2002222300861</v>
      </c>
    </row>
    <row r="1372" spans="1:9" x14ac:dyDescent="0.4">
      <c r="A1372" t="str">
        <f>"〔岡山県立久世高等学校〕ふるさと"</f>
        <v>〔岡山県立久世高等学校〕ふるさと</v>
      </c>
      <c r="B1372" s="1" t="str">
        <f t="shared" si="78"/>
        <v>〔岡山県立久世高等学校〕ふるさと</v>
      </c>
      <c r="C1372" t="str">
        <f>"オカヤマケンリツ　クセ　コウトウガッコウ＊フルサト"</f>
        <v>オカヤマケンリツ　クセ　コウトウガッコウ＊フルサト</v>
      </c>
      <c r="D1372" t="str">
        <f>""</f>
        <v/>
      </c>
      <c r="E1372" t="str">
        <f>""</f>
        <v/>
      </c>
      <c r="F1372" t="str">
        <f>""</f>
        <v/>
      </c>
      <c r="G1372" t="str">
        <f>"頻度不明"</f>
        <v>頻度不明</v>
      </c>
      <c r="H1372" t="str">
        <f>"2002222280174"</f>
        <v>2002222280174</v>
      </c>
      <c r="I1372" t="str">
        <f>HYPERLINK("#", "https://opac.libnet.pref.okayama.jp/licsxp-opac/WOpacMsgNewListToTifTilDetailAction.do?tilcod=2002222280174")</f>
        <v>https://opac.libnet.pref.okayama.jp/licsxp-opac/WOpacMsgNewListToTifTilDetailAction.do?tilcod=2002222280174</v>
      </c>
    </row>
    <row r="1373" spans="1:9" x14ac:dyDescent="0.4">
      <c r="A1373" t="str">
        <f>"[岡山県立倉敷天城高等学校]学園通信"</f>
        <v>[岡山県立倉敷天城高等学校]学園通信</v>
      </c>
      <c r="B1373" s="1" t="str">
        <f t="shared" si="78"/>
        <v>[岡山県立倉敷天城高等学校]学園通信</v>
      </c>
      <c r="C1373" t="str">
        <f>"オカヤマケンリツ クラシキ アマキ コウトウ ガッコウ ガクエン ツウシン"</f>
        <v>オカヤマケンリツ クラシキ アマキ コウトウ ガッコウ ガクエン ツウシン</v>
      </c>
      <c r="D1373" t="str">
        <f>"倉敷天城高等学校"</f>
        <v>倉敷天城高等学校</v>
      </c>
      <c r="E1373" t="str">
        <f>"クラシキ アマキ コウトウ ガッコウ"</f>
        <v>クラシキ アマキ コウトウ ガッコウ</v>
      </c>
      <c r="F1373" t="str">
        <f>""</f>
        <v/>
      </c>
      <c r="G1373" t="str">
        <f>"頻度不明"</f>
        <v>頻度不明</v>
      </c>
      <c r="H1373" t="str">
        <f>"2002222287763"</f>
        <v>2002222287763</v>
      </c>
      <c r="I1373" t="str">
        <f>HYPERLINK("#", "https://opac.libnet.pref.okayama.jp/licsxp-opac/WOpacMsgNewListToTifTilDetailAction.do?tilcod=2002222287763")</f>
        <v>https://opac.libnet.pref.okayama.jp/licsxp-opac/WOpacMsgNewListToTifTilDetailAction.do?tilcod=2002222287763</v>
      </c>
    </row>
    <row r="1374" spans="1:9" x14ac:dyDescent="0.4">
      <c r="A1374" t="str">
        <f>"[岡山県立倉敷天城高等学校]理数科集録"</f>
        <v>[岡山県立倉敷天城高等学校]理数科集録</v>
      </c>
      <c r="B1374" s="1" t="str">
        <f t="shared" si="78"/>
        <v>[岡山県立倉敷天城高等学校]理数科集録</v>
      </c>
      <c r="C1374" t="str">
        <f>"オカヤマケンリツ クラシキ アマキ コウトウ ガッコウ リスウカ シュウロク"</f>
        <v>オカヤマケンリツ クラシキ アマキ コウトウ ガッコウ リスウカ シュウロク</v>
      </c>
      <c r="D1374" t="str">
        <f>"倉敷天城高等学校"</f>
        <v>倉敷天城高等学校</v>
      </c>
      <c r="E1374" t="str">
        <f>"クラシキ アマキ コウトウ ガッコウ"</f>
        <v>クラシキ アマキ コウトウ ガッコウ</v>
      </c>
      <c r="F1374" t="str">
        <f t="shared" ref="F1374:F1380" si="79">"倉敷"</f>
        <v>倉敷</v>
      </c>
      <c r="G1374" t="str">
        <f>"年刊"</f>
        <v>年刊</v>
      </c>
      <c r="H1374" t="str">
        <f>"2002222284921"</f>
        <v>2002222284921</v>
      </c>
      <c r="I1374" t="str">
        <f>HYPERLINK("#", "https://opac.libnet.pref.okayama.jp/licsxp-opac/WOpacMsgNewListToTifTilDetailAction.do?tilcod=2002222284921")</f>
        <v>https://opac.libnet.pref.okayama.jp/licsxp-opac/WOpacMsgNewListToTifTilDetailAction.do?tilcod=2002222284921</v>
      </c>
    </row>
    <row r="1375" spans="1:9" x14ac:dyDescent="0.4">
      <c r="A1375" t="str">
        <f>"[岡山県立倉敷天城高等学校]理数科NEWS"</f>
        <v>[岡山県立倉敷天城高等学校]理数科NEWS</v>
      </c>
      <c r="B1375" s="1" t="str">
        <f t="shared" si="78"/>
        <v>[岡山県立倉敷天城高等学校]理数科NEWS</v>
      </c>
      <c r="C1375" t="str">
        <f>"オカヤマケンリツ クラシキ アマキ コウトウ ガッコウ＊リスウカ ニュース"</f>
        <v>オカヤマケンリツ クラシキ アマキ コウトウ ガッコウ＊リスウカ ニュース</v>
      </c>
      <c r="D1375" t="str">
        <f>"倉敷天城高等学校理数科"</f>
        <v>倉敷天城高等学校理数科</v>
      </c>
      <c r="E1375" t="str">
        <f>"クラシキ アマキ コウトウ ガッコウ リスウカ"</f>
        <v>クラシキ アマキ コウトウ ガッコウ リスウカ</v>
      </c>
      <c r="F1375" t="str">
        <f t="shared" si="79"/>
        <v>倉敷</v>
      </c>
      <c r="G1375" t="str">
        <f>"月刊"</f>
        <v>月刊</v>
      </c>
      <c r="H1375" t="str">
        <f>"2002222329686"</f>
        <v>2002222329686</v>
      </c>
      <c r="I1375" t="str">
        <f>HYPERLINK("#", "https://opac.libnet.pref.okayama.jp/licsxp-opac/WOpacMsgNewListToTifTilDetailAction.do?tilcod=2002222329686")</f>
        <v>https://opac.libnet.pref.okayama.jp/licsxp-opac/WOpacMsgNewListToTifTilDetailAction.do?tilcod=2002222329686</v>
      </c>
    </row>
    <row r="1376" spans="1:9" x14ac:dyDescent="0.4">
      <c r="A1376" t="str">
        <f>"[岡山県立倉敷天城高等学校]藤門"</f>
        <v>[岡山県立倉敷天城高等学校]藤門</v>
      </c>
      <c r="B1376" s="1" t="str">
        <f t="shared" si="78"/>
        <v>[岡山県立倉敷天城高等学校]藤門</v>
      </c>
      <c r="C1376" t="str">
        <f>"オカヤマケンリツ クラシキ アマキ コウトウガッコウ＊トウモン"</f>
        <v>オカヤマケンリツ クラシキ アマキ コウトウガッコウ＊トウモン</v>
      </c>
      <c r="D1376" t="str">
        <f>"倉敷天城中学校・高等学校"</f>
        <v>倉敷天城中学校・高等学校</v>
      </c>
      <c r="E1376" t="str">
        <f>"クラシキアマキチュウガッコウコウトウガッコウ"</f>
        <v>クラシキアマキチュウガッコウコウトウガッコウ</v>
      </c>
      <c r="F1376" t="str">
        <f t="shared" si="79"/>
        <v>倉敷</v>
      </c>
      <c r="G1376" t="str">
        <f>"年刊"</f>
        <v>年刊</v>
      </c>
      <c r="H1376" t="str">
        <f>"2002222280181"</f>
        <v>2002222280181</v>
      </c>
      <c r="I1376" t="str">
        <f>HYPERLINK("#", "https://opac.libnet.pref.okayama.jp/licsxp-opac/WOpacMsgNewListToTifTilDetailAction.do?tilcod=2002222280181")</f>
        <v>https://opac.libnet.pref.okayama.jp/licsxp-opac/WOpacMsgNewListToTifTilDetailAction.do?tilcod=2002222280181</v>
      </c>
    </row>
    <row r="1377" spans="1:9" x14ac:dyDescent="0.4">
      <c r="A1377" t="str">
        <f>"〔岡山県立倉敷工業高等学校〕倉工の教育"</f>
        <v>〔岡山県立倉敷工業高等学校〕倉工の教育</v>
      </c>
      <c r="B1377" s="1" t="str">
        <f t="shared" si="78"/>
        <v>〔岡山県立倉敷工業高等学校〕倉工の教育</v>
      </c>
      <c r="C1377" t="str">
        <f>"オカヤマケンリツ　クラシキ　コウギョウ　コウトウ　ガッコウ＊クラコウ　ノ　キョウイク"</f>
        <v>オカヤマケンリツ　クラシキ　コウギョウ　コウトウ　ガッコウ＊クラコウ　ノ　キョウイク</v>
      </c>
      <c r="D1377" t="str">
        <f>"岡山県立倉敷工業高等学校"</f>
        <v>岡山県立倉敷工業高等学校</v>
      </c>
      <c r="E1377" t="str">
        <f>"オカヤマケンリツ クラシキ コウギョウ コウトウ ガッコウ"</f>
        <v>オカヤマケンリツ クラシキ コウギョウ コウトウ ガッコウ</v>
      </c>
      <c r="F1377" t="str">
        <f t="shared" si="79"/>
        <v>倉敷</v>
      </c>
      <c r="G1377" t="str">
        <f>"頻度不明"</f>
        <v>頻度不明</v>
      </c>
      <c r="H1377" t="str">
        <f>"2002222282831"</f>
        <v>2002222282831</v>
      </c>
      <c r="I1377" t="str">
        <f>HYPERLINK("#", "https://opac.libnet.pref.okayama.jp/licsxp-opac/WOpacMsgNewListToTifTilDetailAction.do?tilcod=2002222282831")</f>
        <v>https://opac.libnet.pref.okayama.jp/licsxp-opac/WOpacMsgNewListToTifTilDetailAction.do?tilcod=2002222282831</v>
      </c>
    </row>
    <row r="1378" spans="1:9" x14ac:dyDescent="0.4">
      <c r="A1378" t="str">
        <f>"〔岡山県立倉敷工業高等学校〕生徒会記録"</f>
        <v>〔岡山県立倉敷工業高等学校〕生徒会記録</v>
      </c>
      <c r="B1378" s="1" t="str">
        <f t="shared" si="78"/>
        <v>〔岡山県立倉敷工業高等学校〕生徒会記録</v>
      </c>
      <c r="C1378" t="str">
        <f>"オカヤマケンリツ　クラシキ　コウギョウ　コウトウ　ガッコウ＊セイトカイ　キロク"</f>
        <v>オカヤマケンリツ　クラシキ　コウギョウ　コウトウ　ガッコウ＊セイトカイ　キロク</v>
      </c>
      <c r="D1378" t="str">
        <f>"岡山県立倉敷工業高等学校生徒会"</f>
        <v>岡山県立倉敷工業高等学校生徒会</v>
      </c>
      <c r="E1378" t="str">
        <f>"オカヤマケンリツクラシキコウギョウコウトウガッコウセイトカイ"</f>
        <v>オカヤマケンリツクラシキコウギョウコウトウガッコウセイトカイ</v>
      </c>
      <c r="F1378" t="str">
        <f t="shared" si="79"/>
        <v>倉敷</v>
      </c>
      <c r="G1378" t="str">
        <f>"頻度不明"</f>
        <v>頻度不明</v>
      </c>
      <c r="H1378" t="str">
        <f>"2002222288793"</f>
        <v>2002222288793</v>
      </c>
      <c r="I1378" t="str">
        <f>HYPERLINK("#", "https://opac.libnet.pref.okayama.jp/licsxp-opac/WOpacMsgNewListToTifTilDetailAction.do?tilcod=2002222288793")</f>
        <v>https://opac.libnet.pref.okayama.jp/licsxp-opac/WOpacMsgNewListToTifTilDetailAction.do?tilcod=2002222288793</v>
      </c>
    </row>
    <row r="1379" spans="1:9" x14ac:dyDescent="0.4">
      <c r="A1379" t="str">
        <f>"〔岡山県立倉敷古城池高等学校〕紀要"</f>
        <v>〔岡山県立倉敷古城池高等学校〕紀要</v>
      </c>
      <c r="B1379" s="1" t="str">
        <f t="shared" si="78"/>
        <v>〔岡山県立倉敷古城池高等学校〕紀要</v>
      </c>
      <c r="C1379" t="str">
        <f>"オカヤマケンリツ　クラシキ　コジョウイケ　コウトウ　ガッコウ＊キヨウ"</f>
        <v>オカヤマケンリツ　クラシキ　コジョウイケ　コウトウ　ガッコウ＊キヨウ</v>
      </c>
      <c r="D1379" t="str">
        <f>"倉敷古城池高等学校"</f>
        <v>倉敷古城池高等学校</v>
      </c>
      <c r="E1379" t="str">
        <f>"クラシキ コジョウイケ コウトウ ガッコウ"</f>
        <v>クラシキ コジョウイケ コウトウ ガッコウ</v>
      </c>
      <c r="F1379" t="str">
        <f t="shared" si="79"/>
        <v>倉敷</v>
      </c>
      <c r="G1379" t="str">
        <f>"年刊"</f>
        <v>年刊</v>
      </c>
      <c r="H1379" t="str">
        <f>"2002222284801"</f>
        <v>2002222284801</v>
      </c>
      <c r="I1379" t="str">
        <f>HYPERLINK("#", "https://opac.libnet.pref.okayama.jp/licsxp-opac/WOpacMsgNewListToTifTilDetailAction.do?tilcod=2002222284801")</f>
        <v>https://opac.libnet.pref.okayama.jp/licsxp-opac/WOpacMsgNewListToTifTilDetailAction.do?tilcod=2002222284801</v>
      </c>
    </row>
    <row r="1380" spans="1:9" x14ac:dyDescent="0.4">
      <c r="A1380" t="str">
        <f>"〔岡山県立倉敷古城池高等学校〕古城池"</f>
        <v>〔岡山県立倉敷古城池高等学校〕古城池</v>
      </c>
      <c r="B1380" s="1" t="str">
        <f t="shared" si="78"/>
        <v>〔岡山県立倉敷古城池高等学校〕古城池</v>
      </c>
      <c r="C1380" t="str">
        <f>"オカヤマケンリツ　クラシキ　コジョウイケ　コウトウ　ガッコウ＊コジョウイケ"</f>
        <v>オカヤマケンリツ　クラシキ　コジョウイケ　コウトウ　ガッコウ＊コジョウイケ</v>
      </c>
      <c r="D1380" t="str">
        <f>"倉敷古城池高等学校"</f>
        <v>倉敷古城池高等学校</v>
      </c>
      <c r="E1380" t="str">
        <f>"クラシキ コジョウイケ コウトウ ガッコウ"</f>
        <v>クラシキ コジョウイケ コウトウ ガッコウ</v>
      </c>
      <c r="F1380" t="str">
        <f t="shared" si="79"/>
        <v>倉敷</v>
      </c>
      <c r="G1380" t="str">
        <f>"年刊"</f>
        <v>年刊</v>
      </c>
      <c r="H1380" t="str">
        <f>"2002222288803"</f>
        <v>2002222288803</v>
      </c>
      <c r="I1380" t="str">
        <f>HYPERLINK("#", "https://opac.libnet.pref.okayama.jp/licsxp-opac/WOpacMsgNewListToTifTilDetailAction.do?tilcod=2002222288803")</f>
        <v>https://opac.libnet.pref.okayama.jp/licsxp-opac/WOpacMsgNewListToTifTilDetailAction.do?tilcod=2002222288803</v>
      </c>
    </row>
    <row r="1381" spans="1:9" x14ac:dyDescent="0.4">
      <c r="A1381" t="str">
        <f>"[岡山県立倉敷商業高等学校]読書感想文集"</f>
        <v>[岡山県立倉敷商業高等学校]読書感想文集</v>
      </c>
      <c r="B1381" s="1" t="str">
        <f t="shared" si="78"/>
        <v>[岡山県立倉敷商業高等学校]読書感想文集</v>
      </c>
      <c r="C1381" t="str">
        <f>"オカヤマケンリツ クラシキ ショウギョウ コウトウ ガッコウ ドクショ カンソウ ブンシュウ"</f>
        <v>オカヤマケンリツ クラシキ ショウギョウ コウトウ ガッコウ ドクショ カンソウ ブンシュウ</v>
      </c>
      <c r="D1381" t="str">
        <f>"倉敷商業高等学校"</f>
        <v>倉敷商業高等学校</v>
      </c>
      <c r="E1381" t="str">
        <f>"クラシキ ショウギョウ コウトウ ガッコウ"</f>
        <v>クラシキ ショウギョウ コウトウ ガッコウ</v>
      </c>
      <c r="F1381" t="str">
        <f>""</f>
        <v/>
      </c>
      <c r="G1381" t="str">
        <f>"頻度不明"</f>
        <v>頻度不明</v>
      </c>
      <c r="H1381" t="str">
        <f>"2002222285183"</f>
        <v>2002222285183</v>
      </c>
      <c r="I1381" t="str">
        <f>HYPERLINK("#", "https://opac.libnet.pref.okayama.jp/licsxp-opac/WOpacMsgNewListToTifTilDetailAction.do?tilcod=2002222285183")</f>
        <v>https://opac.libnet.pref.okayama.jp/licsxp-opac/WOpacMsgNewListToTifTilDetailAction.do?tilcod=2002222285183</v>
      </c>
    </row>
    <row r="1382" spans="1:9" x14ac:dyDescent="0.4">
      <c r="A1382" t="str">
        <f>"[岡山県立倉敷商業高等学校]倉商紀要"</f>
        <v>[岡山県立倉敷商業高等学校]倉商紀要</v>
      </c>
      <c r="B1382" s="1" t="str">
        <f t="shared" si="78"/>
        <v>[岡山県立倉敷商業高等学校]倉商紀要</v>
      </c>
      <c r="C1382" t="str">
        <f>"オカヤマケンリツ クラシキ ショウギョウ コウトウ ガッコウ＊クラショウ キヨウ"</f>
        <v>オカヤマケンリツ クラシキ ショウギョウ コウトウ ガッコウ＊クラショウ キヨウ</v>
      </c>
      <c r="D1382" t="str">
        <f>"倉敷商業高等学校"</f>
        <v>倉敷商業高等学校</v>
      </c>
      <c r="E1382" t="str">
        <f>"クラシキ ショウギョウ コウトウ ガッコウ"</f>
        <v>クラシキ ショウギョウ コウトウ ガッコウ</v>
      </c>
      <c r="F1382" t="str">
        <f t="shared" ref="F1382:F1390" si="80">"倉敷"</f>
        <v>倉敷</v>
      </c>
      <c r="G1382" t="str">
        <f>"年刊"</f>
        <v>年刊</v>
      </c>
      <c r="H1382" t="str">
        <f>"2002222288813"</f>
        <v>2002222288813</v>
      </c>
      <c r="I1382" t="str">
        <f>HYPERLINK("#", "https://opac.libnet.pref.okayama.jp/licsxp-opac/WOpacMsgNewListToTifTilDetailAction.do?tilcod=2002222288813")</f>
        <v>https://opac.libnet.pref.okayama.jp/licsxp-opac/WOpacMsgNewListToTifTilDetailAction.do?tilcod=2002222288813</v>
      </c>
    </row>
    <row r="1383" spans="1:9" x14ac:dyDescent="0.4">
      <c r="A1383" t="str">
        <f>"[岡山県立倉敷商業高等学校]松柏"</f>
        <v>[岡山県立倉敷商業高等学校]松柏</v>
      </c>
      <c r="B1383" s="1" t="str">
        <f t="shared" si="78"/>
        <v>[岡山県立倉敷商業高等学校]松柏</v>
      </c>
      <c r="C1383" t="str">
        <f>"オカヤマケンリツ クラシキ ショウギョウ コウトウ ガッコウ＊ショウハク"</f>
        <v>オカヤマケンリツ クラシキ ショウギョウ コウトウ ガッコウ＊ショウハク</v>
      </c>
      <c r="D1383" t="str">
        <f>"倉敷商業高等学校"</f>
        <v>倉敷商業高等学校</v>
      </c>
      <c r="E1383" t="str">
        <f>"クラシキ ショウギョウ コウトウ ガッコウ"</f>
        <v>クラシキ ショウギョウ コウトウ ガッコウ</v>
      </c>
      <c r="F1383" t="str">
        <f t="shared" si="80"/>
        <v>倉敷</v>
      </c>
      <c r="G1383" t="str">
        <f>"年刊"</f>
        <v>年刊</v>
      </c>
      <c r="H1383" t="str">
        <f>"2002222280471"</f>
        <v>2002222280471</v>
      </c>
      <c r="I1383" t="str">
        <f>HYPERLINK("#", "https://opac.libnet.pref.okayama.jp/licsxp-opac/WOpacMsgNewListToTifTilDetailAction.do?tilcod=2002222280471")</f>
        <v>https://opac.libnet.pref.okayama.jp/licsxp-opac/WOpacMsgNewListToTifTilDetailAction.do?tilcod=2002222280471</v>
      </c>
    </row>
    <row r="1384" spans="1:9" x14ac:dyDescent="0.4">
      <c r="A1384" t="str">
        <f>"[岡山県立倉敷商業高等学校]しらかべ"</f>
        <v>[岡山県立倉敷商業高等学校]しらかべ</v>
      </c>
      <c r="B1384" s="1" t="str">
        <f t="shared" si="78"/>
        <v>[岡山県立倉敷商業高等学校]しらかべ</v>
      </c>
      <c r="C1384" t="str">
        <f>"オカヤマケンリツ クラシキ ショウギョウ コウトウ ガッコウ＊シラカベ"</f>
        <v>オカヤマケンリツ クラシキ ショウギョウ コウトウ ガッコウ＊シラカベ</v>
      </c>
      <c r="D1384" t="str">
        <f>"倉敷商業高等学校郷土史研究部"</f>
        <v>倉敷商業高等学校郷土史研究部</v>
      </c>
      <c r="E1384" t="str">
        <f>"クラシキショウギョウコウトウガッコウキョウドシケンキュウブ"</f>
        <v>クラシキショウギョウコウトウガッコウキョウドシケンキュウブ</v>
      </c>
      <c r="F1384" t="str">
        <f t="shared" si="80"/>
        <v>倉敷</v>
      </c>
      <c r="G1384" t="str">
        <f>"頻度不明"</f>
        <v>頻度不明</v>
      </c>
      <c r="H1384" t="str">
        <f>"2002222287453"</f>
        <v>2002222287453</v>
      </c>
      <c r="I1384" t="str">
        <f>HYPERLINK("#", "https://opac.libnet.pref.okayama.jp/licsxp-opac/WOpacMsgNewListToTifTilDetailAction.do?tilcod=2002222287453")</f>
        <v>https://opac.libnet.pref.okayama.jp/licsxp-opac/WOpacMsgNewListToTifTilDetailAction.do?tilcod=2002222287453</v>
      </c>
    </row>
    <row r="1385" spans="1:9" x14ac:dyDescent="0.4">
      <c r="A1385" t="str">
        <f>"〔岡山県立倉敷青陵高等学校〕青陵"</f>
        <v>〔岡山県立倉敷青陵高等学校〕青陵</v>
      </c>
      <c r="B1385" s="1" t="str">
        <f t="shared" si="78"/>
        <v>〔岡山県立倉敷青陵高等学校〕青陵</v>
      </c>
      <c r="C1385" t="str">
        <f>"オカヤマケンリツ　クラシキ　セイリョウ　コウトウ　ガッコウ＊セイリョウ"</f>
        <v>オカヤマケンリツ　クラシキ　セイリョウ　コウトウ　ガッコウ＊セイリョウ</v>
      </c>
      <c r="D1385" t="str">
        <f>"倉敷青陵高等学校"</f>
        <v>倉敷青陵高等学校</v>
      </c>
      <c r="E1385" t="str">
        <f>"クラシキ セイリョウ コウトウ ガッコウ"</f>
        <v>クラシキ セイリョウ コウトウ ガッコウ</v>
      </c>
      <c r="F1385" t="str">
        <f t="shared" si="80"/>
        <v>倉敷</v>
      </c>
      <c r="G1385" t="str">
        <f>"年刊"</f>
        <v>年刊</v>
      </c>
      <c r="H1385" t="str">
        <f>"2002222288823"</f>
        <v>2002222288823</v>
      </c>
      <c r="I1385" t="str">
        <f>HYPERLINK("#", "https://opac.libnet.pref.okayama.jp/licsxp-opac/WOpacMsgNewListToTifTilDetailAction.do?tilcod=2002222288823")</f>
        <v>https://opac.libnet.pref.okayama.jp/licsxp-opac/WOpacMsgNewListToTifTilDetailAction.do?tilcod=2002222288823</v>
      </c>
    </row>
    <row r="1386" spans="1:9" x14ac:dyDescent="0.4">
      <c r="A1386" t="str">
        <f>"〔岡山県立倉敷青陵高等学校〕青陵紀要"</f>
        <v>〔岡山県立倉敷青陵高等学校〕青陵紀要</v>
      </c>
      <c r="B1386" s="1" t="str">
        <f t="shared" si="78"/>
        <v>〔岡山県立倉敷青陵高等学校〕青陵紀要</v>
      </c>
      <c r="C1386" t="str">
        <f>"オカヤマケンリツ　クラシキ　セイリョウ　コウトウ　ガッコウ＊セイリョウ　キヨウ"</f>
        <v>オカヤマケンリツ　クラシキ　セイリョウ　コウトウ　ガッコウ＊セイリョウ　キヨウ</v>
      </c>
      <c r="D1386" t="str">
        <f>"倉敷青陵高等学校"</f>
        <v>倉敷青陵高等学校</v>
      </c>
      <c r="E1386" t="str">
        <f>"クラシキ セイリョウ コウトウ ガッコウ"</f>
        <v>クラシキ セイリョウ コウトウ ガッコウ</v>
      </c>
      <c r="F1386" t="str">
        <f t="shared" si="80"/>
        <v>倉敷</v>
      </c>
      <c r="G1386" t="str">
        <f>"年刊"</f>
        <v>年刊</v>
      </c>
      <c r="H1386" t="str">
        <f>"2002222280821"</f>
        <v>2002222280821</v>
      </c>
      <c r="I1386" t="str">
        <f>HYPERLINK("#", "https://opac.libnet.pref.okayama.jp/licsxp-opac/WOpacMsgNewListToTifTilDetailAction.do?tilcod=2002222280821")</f>
        <v>https://opac.libnet.pref.okayama.jp/licsxp-opac/WOpacMsgNewListToTifTilDetailAction.do?tilcod=2002222280821</v>
      </c>
    </row>
    <row r="1387" spans="1:9" x14ac:dyDescent="0.4">
      <c r="A1387" t="str">
        <f>"〔岡山県立倉敷青陵高等学校〕青陵文芸"</f>
        <v>〔岡山県立倉敷青陵高等学校〕青陵文芸</v>
      </c>
      <c r="B1387" s="1" t="str">
        <f t="shared" si="78"/>
        <v>〔岡山県立倉敷青陵高等学校〕青陵文芸</v>
      </c>
      <c r="C1387" t="str">
        <f>"オカヤマケンリツ　クラシキ　セイリョウ　コウトウ　ガッコウ＊セイリョウ　ブンゲイ"</f>
        <v>オカヤマケンリツ　クラシキ　セイリョウ　コウトウ　ガッコウ＊セイリョウ　ブンゲイ</v>
      </c>
      <c r="D1387" t="str">
        <f>"倉敷青陵高等学校文学部"</f>
        <v>倉敷青陵高等学校文学部</v>
      </c>
      <c r="E1387" t="str">
        <f>"クラシキセイリョウコウトウガッコウブンガクブ"</f>
        <v>クラシキセイリョウコウトウガッコウブンガクブ</v>
      </c>
      <c r="F1387" t="str">
        <f t="shared" si="80"/>
        <v>倉敷</v>
      </c>
      <c r="G1387" t="str">
        <f>"頻度不明"</f>
        <v>頻度不明</v>
      </c>
      <c r="H1387" t="str">
        <f>"2002222283383"</f>
        <v>2002222283383</v>
      </c>
      <c r="I1387" t="str">
        <f>HYPERLINK("#", "https://opac.libnet.pref.okayama.jp/licsxp-opac/WOpacMsgNewListToTifTilDetailAction.do?tilcod=2002222283383")</f>
        <v>https://opac.libnet.pref.okayama.jp/licsxp-opac/WOpacMsgNewListToTifTilDetailAction.do?tilcod=2002222283383</v>
      </c>
    </row>
    <row r="1388" spans="1:9" x14ac:dyDescent="0.4">
      <c r="A1388" t="str">
        <f>"〔岡山県立倉敷まきび支援学校〕 学校案内"</f>
        <v>〔岡山県立倉敷まきび支援学校〕 学校案内</v>
      </c>
      <c r="B1388" s="1" t="str">
        <f t="shared" si="78"/>
        <v>〔岡山県立倉敷まきび支援学校〕 学校案内</v>
      </c>
      <c r="C1388" t="str">
        <f>"オカヤマケンリツ クラシキ マキビ シエン ガッコウ ガッコウ アンナイ"</f>
        <v>オカヤマケンリツ クラシキ マキビ シエン ガッコウ ガッコウ アンナイ</v>
      </c>
      <c r="D1388" t="str">
        <f>"倉敷まきび支援学校"</f>
        <v>倉敷まきび支援学校</v>
      </c>
      <c r="E1388" t="str">
        <f>"クラシキ マキビ シエン ガッコウ"</f>
        <v>クラシキ マキビ シエン ガッコウ</v>
      </c>
      <c r="F1388" t="str">
        <f t="shared" si="80"/>
        <v>倉敷</v>
      </c>
      <c r="G1388" t="str">
        <f>"年刊"</f>
        <v>年刊</v>
      </c>
      <c r="H1388" t="str">
        <f>"2002222320348"</f>
        <v>2002222320348</v>
      </c>
      <c r="I1388" t="str">
        <f>HYPERLINK("#", "https://opac.libnet.pref.okayama.jp/licsxp-opac/WOpacMsgNewListToTifTilDetailAction.do?tilcod=2002222320348")</f>
        <v>https://opac.libnet.pref.okayama.jp/licsxp-opac/WOpacMsgNewListToTifTilDetailAction.do?tilcod=2002222320348</v>
      </c>
    </row>
    <row r="1389" spans="1:9" x14ac:dyDescent="0.4">
      <c r="A1389" t="str">
        <f>"[岡山県立倉敷まきび支援学校]学校要覧"</f>
        <v>[岡山県立倉敷まきび支援学校]学校要覧</v>
      </c>
      <c r="B1389" s="1" t="str">
        <f t="shared" si="78"/>
        <v>[岡山県立倉敷まきび支援学校]学校要覧</v>
      </c>
      <c r="C1389" t="str">
        <f>"オカヤマケンリツ クラシキ マキビ シエン ガッコウ ガッコウ ヨウラン"</f>
        <v>オカヤマケンリツ クラシキ マキビ シエン ガッコウ ガッコウ ヨウラン</v>
      </c>
      <c r="D1389" t="str">
        <f>"倉敷まきび支援学校"</f>
        <v>倉敷まきび支援学校</v>
      </c>
      <c r="E1389" t="str">
        <f>"クラシキ マキビ シエン ガッコウ"</f>
        <v>クラシキ マキビ シエン ガッコウ</v>
      </c>
      <c r="F1389" t="str">
        <f t="shared" si="80"/>
        <v>倉敷</v>
      </c>
      <c r="G1389" t="str">
        <f>"年刊"</f>
        <v>年刊</v>
      </c>
      <c r="H1389" t="str">
        <f>"2002222320347"</f>
        <v>2002222320347</v>
      </c>
      <c r="I1389" t="str">
        <f>HYPERLINK("#", "https://opac.libnet.pref.okayama.jp/licsxp-opac/WOpacMsgNewListToTifTilDetailAction.do?tilcod=2002222320347")</f>
        <v>https://opac.libnet.pref.okayama.jp/licsxp-opac/WOpacMsgNewListToTifTilDetailAction.do?tilcod=2002222320347</v>
      </c>
    </row>
    <row r="1390" spans="1:9" x14ac:dyDescent="0.4">
      <c r="A1390" t="str">
        <f>"〔岡山県立倉敷南高等学校〕楠"</f>
        <v>〔岡山県立倉敷南高等学校〕楠</v>
      </c>
      <c r="B1390" s="1" t="str">
        <f t="shared" si="78"/>
        <v>〔岡山県立倉敷南高等学校〕楠</v>
      </c>
      <c r="C1390" t="str">
        <f>"オカヤマケンリツ　クラシキ　ミナミ　コウトウ　ガッコウ＊クスノキ"</f>
        <v>オカヤマケンリツ　クラシキ　ミナミ　コウトウ　ガッコウ＊クスノキ</v>
      </c>
      <c r="D1390" t="str">
        <f>"倉敷南高等学校"</f>
        <v>倉敷南高等学校</v>
      </c>
      <c r="E1390" t="str">
        <f>"クラシキ ミナミ コウトウ ガッコウ"</f>
        <v>クラシキ ミナミ コウトウ ガッコウ</v>
      </c>
      <c r="F1390" t="str">
        <f t="shared" si="80"/>
        <v>倉敷</v>
      </c>
      <c r="G1390" t="str">
        <f>"年刊"</f>
        <v>年刊</v>
      </c>
      <c r="H1390" t="str">
        <f>"2002222280091"</f>
        <v>2002222280091</v>
      </c>
      <c r="I1390" t="str">
        <f>HYPERLINK("#", "https://opac.libnet.pref.okayama.jp/licsxp-opac/WOpacMsgNewListToTifTilDetailAction.do?tilcod=2002222280091")</f>
        <v>https://opac.libnet.pref.okayama.jp/licsxp-opac/WOpacMsgNewListToTifTilDetailAction.do?tilcod=2002222280091</v>
      </c>
    </row>
    <row r="1391" spans="1:9" x14ac:dyDescent="0.4">
      <c r="A1391" t="str">
        <f>"〔岡山県立興陽高等学校〕紀要"</f>
        <v>〔岡山県立興陽高等学校〕紀要</v>
      </c>
      <c r="B1391" s="1" t="str">
        <f t="shared" si="78"/>
        <v>〔岡山県立興陽高等学校〕紀要</v>
      </c>
      <c r="C1391" t="str">
        <f>"オカヤマケンリツ　コウヨウ　コウトウ　ガッコウ＊キヨウ"</f>
        <v>オカヤマケンリツ　コウヨウ　コウトウ　ガッコウ＊キヨウ</v>
      </c>
      <c r="D1391" t="str">
        <f>"興陽高等学校"</f>
        <v>興陽高等学校</v>
      </c>
      <c r="E1391" t="str">
        <f>"コウヨウ コウトウ ガッコウ"</f>
        <v>コウヨウ コウトウ ガッコウ</v>
      </c>
      <c r="F1391" t="str">
        <f>"岡山"</f>
        <v>岡山</v>
      </c>
      <c r="G1391" t="str">
        <f>"頻度不明"</f>
        <v>頻度不明</v>
      </c>
      <c r="H1391" t="str">
        <f>"2002222287783"</f>
        <v>2002222287783</v>
      </c>
      <c r="I1391" t="str">
        <f>HYPERLINK("#", "https://opac.libnet.pref.okayama.jp/licsxp-opac/WOpacMsgNewListToTifTilDetailAction.do?tilcod=2002222287783")</f>
        <v>https://opac.libnet.pref.okayama.jp/licsxp-opac/WOpacMsgNewListToTifTilDetailAction.do?tilcod=2002222287783</v>
      </c>
    </row>
    <row r="1392" spans="1:9" x14ac:dyDescent="0.4">
      <c r="A1392" t="str">
        <f>"岡山県立興陽高等学校農業研究部報"</f>
        <v>岡山県立興陽高等学校農業研究部報</v>
      </c>
      <c r="B1392" s="1" t="str">
        <f t="shared" si="78"/>
        <v>岡山県立興陽高等学校農業研究部報</v>
      </c>
      <c r="C1392" t="str">
        <f>"オカヤマケンリツ　コウヨウ　コウトウ　ガッコウ＊ノウギョウ　ケンキュウブホウ"</f>
        <v>オカヤマケンリツ　コウヨウ　コウトウ　ガッコウ＊ノウギョウ　ケンキュウブホウ</v>
      </c>
      <c r="D1392" t="str">
        <f>"興陽高等学校"</f>
        <v>興陽高等学校</v>
      </c>
      <c r="E1392" t="str">
        <f>"コウヨウ コウトウ ガッコウ"</f>
        <v>コウヨウ コウトウ ガッコウ</v>
      </c>
      <c r="F1392" t="str">
        <f>""</f>
        <v/>
      </c>
      <c r="G1392" t="str">
        <f>"頻度不明"</f>
        <v>頻度不明</v>
      </c>
      <c r="H1392" t="str">
        <f>"2002222288833"</f>
        <v>2002222288833</v>
      </c>
      <c r="I1392" t="str">
        <f>HYPERLINK("#", "https://opac.libnet.pref.okayama.jp/licsxp-opac/WOpacMsgNewListToTifTilDetailAction.do?tilcod=2002222288833")</f>
        <v>https://opac.libnet.pref.okayama.jp/licsxp-opac/WOpacMsgNewListToTifTilDetailAction.do?tilcod=2002222288833</v>
      </c>
    </row>
    <row r="1393" spans="1:9" x14ac:dyDescent="0.4">
      <c r="A1393" t="str">
        <f>"〔岡山県立興陽高等学校〕研究集録"</f>
        <v>〔岡山県立興陽高等学校〕研究集録</v>
      </c>
      <c r="B1393" s="1" t="str">
        <f t="shared" si="78"/>
        <v>〔岡山県立興陽高等学校〕研究集録</v>
      </c>
      <c r="C1393" t="str">
        <f>"オカヤマケンリツ　コウヨウ　コウトウガッコウ＊ケンキュウ　シュウロク"</f>
        <v>オカヤマケンリツ　コウヨウ　コウトウガッコウ＊ケンキュウ　シュウロク</v>
      </c>
      <c r="D1393" t="str">
        <f>"興陽高等学校"</f>
        <v>興陽高等学校</v>
      </c>
      <c r="E1393" t="str">
        <f>"コウヨウ コウトウ ガッコウ"</f>
        <v>コウヨウ コウトウ ガッコウ</v>
      </c>
      <c r="F1393" t="str">
        <f>"岡山"</f>
        <v>岡山</v>
      </c>
      <c r="G1393" t="str">
        <f>"年刊"</f>
        <v>年刊</v>
      </c>
      <c r="H1393" t="str">
        <f>"2002222294111"</f>
        <v>2002222294111</v>
      </c>
      <c r="I1393" t="str">
        <f>HYPERLINK("#", "https://opac.libnet.pref.okayama.jp/licsxp-opac/WOpacMsgNewListToTifTilDetailAction.do?tilcod=2002222294111")</f>
        <v>https://opac.libnet.pref.okayama.jp/licsxp-opac/WOpacMsgNewListToTifTilDetailAction.do?tilcod=2002222294111</v>
      </c>
    </row>
    <row r="1394" spans="1:9" x14ac:dyDescent="0.4">
      <c r="A1394" t="str">
        <f>"〔岡山県立児島高等学校〕泉"</f>
        <v>〔岡山県立児島高等学校〕泉</v>
      </c>
      <c r="B1394" s="1" t="str">
        <f t="shared" si="78"/>
        <v>〔岡山県立児島高等学校〕泉</v>
      </c>
      <c r="C1394" t="str">
        <f>"オカヤマケンリツ　コジマ　コウトウ　ガッコウ＊イズミ"</f>
        <v>オカヤマケンリツ　コジマ　コウトウ　ガッコウ＊イズミ</v>
      </c>
      <c r="D1394" t="str">
        <f>"児島高等学校文芸部"</f>
        <v>児島高等学校文芸部</v>
      </c>
      <c r="E1394" t="str">
        <f>"コジマコウトウガッコウブンゲイブ"</f>
        <v>コジマコウトウガッコウブンゲイブ</v>
      </c>
      <c r="F1394" t="str">
        <f>"倉敷"</f>
        <v>倉敷</v>
      </c>
      <c r="G1394" t="str">
        <f>"年刊"</f>
        <v>年刊</v>
      </c>
      <c r="H1394" t="str">
        <f>"2002222301419"</f>
        <v>2002222301419</v>
      </c>
      <c r="I1394" t="str">
        <f>HYPERLINK("#", "https://opac.libnet.pref.okayama.jp/licsxp-opac/WOpacMsgNewListToTifTilDetailAction.do?tilcod=2002222301419")</f>
        <v>https://opac.libnet.pref.okayama.jp/licsxp-opac/WOpacMsgNewListToTifTilDetailAction.do?tilcod=2002222301419</v>
      </c>
    </row>
    <row r="1395" spans="1:9" x14ac:dyDescent="0.4">
      <c r="A1395" t="str">
        <f>"〔岡山県立児島高等学校〕紀要"</f>
        <v>〔岡山県立児島高等学校〕紀要</v>
      </c>
      <c r="B1395" s="1" t="str">
        <f t="shared" si="78"/>
        <v>〔岡山県立児島高等学校〕紀要</v>
      </c>
      <c r="C1395" t="str">
        <f>"オカヤマケンリツ　コジマ　コウトウ　ガッコウ＊キヨウ"</f>
        <v>オカヤマケンリツ　コジマ　コウトウ　ガッコウ＊キヨウ</v>
      </c>
      <c r="D1395" t="str">
        <f>"児島高等学校"</f>
        <v>児島高等学校</v>
      </c>
      <c r="E1395" t="str">
        <f>"コジマコウトウガッコウ"</f>
        <v>コジマコウトウガッコウ</v>
      </c>
      <c r="F1395" t="str">
        <f>"倉敷"</f>
        <v>倉敷</v>
      </c>
      <c r="G1395" t="str">
        <f>"頻度不明"</f>
        <v>頻度不明</v>
      </c>
      <c r="H1395" t="str">
        <f>"2002222288843"</f>
        <v>2002222288843</v>
      </c>
      <c r="I1395" t="str">
        <f>HYPERLINK("#", "https://opac.libnet.pref.okayama.jp/licsxp-opac/WOpacMsgNewListToTifTilDetailAction.do?tilcod=2002222288843")</f>
        <v>https://opac.libnet.pref.okayama.jp/licsxp-opac/WOpacMsgNewListToTifTilDetailAction.do?tilcod=2002222288843</v>
      </c>
    </row>
    <row r="1396" spans="1:9" x14ac:dyDescent="0.4">
      <c r="A1396" t="str">
        <f>"〔岡山県立児島高等学校〕竜王"</f>
        <v>〔岡山県立児島高等学校〕竜王</v>
      </c>
      <c r="B1396" s="1" t="str">
        <f t="shared" si="78"/>
        <v>〔岡山県立児島高等学校〕竜王</v>
      </c>
      <c r="C1396" t="str">
        <f>"オカヤマケンリツ　コジマ　コウトウ　ガッコウ＊リュウオウ"</f>
        <v>オカヤマケンリツ　コジマ　コウトウ　ガッコウ＊リュウオウ</v>
      </c>
      <c r="D1396" t="str">
        <f>"児島高等学校"</f>
        <v>児島高等学校</v>
      </c>
      <c r="E1396" t="str">
        <f>"コジマコウトウガッコウ"</f>
        <v>コジマコウトウガッコウ</v>
      </c>
      <c r="F1396" t="str">
        <f>"倉敷"</f>
        <v>倉敷</v>
      </c>
      <c r="G1396" t="str">
        <f>"年刊"</f>
        <v>年刊</v>
      </c>
      <c r="H1396" t="str">
        <f>"2002222282631"</f>
        <v>2002222282631</v>
      </c>
      <c r="I1396" t="str">
        <f>HYPERLINK("#", "https://opac.libnet.pref.okayama.jp/licsxp-opac/WOpacMsgNewListToTifTilDetailAction.do?tilcod=2002222282631")</f>
        <v>https://opac.libnet.pref.okayama.jp/licsxp-opac/WOpacMsgNewListToTifTilDetailAction.do?tilcod=2002222282631</v>
      </c>
    </row>
    <row r="1397" spans="1:9" x14ac:dyDescent="0.4">
      <c r="A1397" t="str">
        <f>"〔岡山県立琴浦高等学校〕坂"</f>
        <v>〔岡山県立琴浦高等学校〕坂</v>
      </c>
      <c r="B1397" s="1" t="str">
        <f t="shared" si="78"/>
        <v>〔岡山県立琴浦高等学校〕坂</v>
      </c>
      <c r="C1397" t="str">
        <f>"オカヤマケンリツ　コトウラ　コウトウガッコウ＊サカ"</f>
        <v>オカヤマケンリツ　コトウラ　コウトウガッコウ＊サカ</v>
      </c>
      <c r="D1397" t="str">
        <f>"琴浦高等学校"</f>
        <v>琴浦高等学校</v>
      </c>
      <c r="E1397" t="str">
        <f>"コトウラ コウトウ ガッコウ"</f>
        <v>コトウラ コウトウ ガッコウ</v>
      </c>
      <c r="F1397" t="str">
        <f>"倉敷"</f>
        <v>倉敷</v>
      </c>
      <c r="G1397" t="str">
        <f>"年刊"</f>
        <v>年刊</v>
      </c>
      <c r="H1397" t="str">
        <f>"2002222280341"</f>
        <v>2002222280341</v>
      </c>
      <c r="I1397" t="str">
        <f>HYPERLINK("#", "https://opac.libnet.pref.okayama.jp/licsxp-opac/WOpacMsgNewListToTifTilDetailAction.do?tilcod=2002222280341")</f>
        <v>https://opac.libnet.pref.okayama.jp/licsxp-opac/WOpacMsgNewListToTifTilDetailAction.do?tilcod=2002222280341</v>
      </c>
    </row>
    <row r="1398" spans="1:9" x14ac:dyDescent="0.4">
      <c r="A1398" t="str">
        <f>"岡山県立西大寺高等学校紀要"</f>
        <v>岡山県立西大寺高等学校紀要</v>
      </c>
      <c r="B1398" s="1" t="str">
        <f t="shared" si="78"/>
        <v>岡山県立西大寺高等学校紀要</v>
      </c>
      <c r="C1398" t="str">
        <f>"オカヤマケンリツ　サイダイジ　コウトウ　ガッコウ　キヨウ"</f>
        <v>オカヤマケンリツ　サイダイジ　コウトウ　ガッコウ　キヨウ</v>
      </c>
      <c r="D1398" t="str">
        <f>"西大寺高等学校"</f>
        <v>西大寺高等学校</v>
      </c>
      <c r="E1398" t="str">
        <f>"サイダイジ コウトウ ガッコウ"</f>
        <v>サイダイジ コウトウ ガッコウ</v>
      </c>
      <c r="F1398" t="str">
        <f>"岡山"</f>
        <v>岡山</v>
      </c>
      <c r="G1398" t="str">
        <f>"年刊"</f>
        <v>年刊</v>
      </c>
      <c r="H1398" t="str">
        <f>"2002222288853"</f>
        <v>2002222288853</v>
      </c>
      <c r="I1398" t="str">
        <f>HYPERLINK("#", "https://opac.libnet.pref.okayama.jp/licsxp-opac/WOpacMsgNewListToTifTilDetailAction.do?tilcod=2002222288853")</f>
        <v>https://opac.libnet.pref.okayama.jp/licsxp-opac/WOpacMsgNewListToTifTilDetailAction.do?tilcod=2002222288853</v>
      </c>
    </row>
    <row r="1399" spans="1:9" x14ac:dyDescent="0.4">
      <c r="A1399" t="str">
        <f>"〔岡山県立西大寺高等学校〕職員研修誌西大寺"</f>
        <v>〔岡山県立西大寺高等学校〕職員研修誌西大寺</v>
      </c>
      <c r="B1399" s="1" t="str">
        <f t="shared" si="78"/>
        <v>〔岡山県立西大寺高等学校〕職員研修誌西大寺</v>
      </c>
      <c r="C1399" t="str">
        <f>"オカヤマケンリツ　サイダイジ　コウトウ　ガッコウ＊ショクイン　ケンシュウシ　サイダイジ"</f>
        <v>オカヤマケンリツ　サイダイジ　コウトウ　ガッコウ＊ショクイン　ケンシュウシ　サイダイジ</v>
      </c>
      <c r="D1399" t="str">
        <f>"西大寺高等学校"</f>
        <v>西大寺高等学校</v>
      </c>
      <c r="E1399" t="str">
        <f>"サイダイジ コウトウ ガッコウ"</f>
        <v>サイダイジ コウトウ ガッコウ</v>
      </c>
      <c r="F1399" t="str">
        <f>"岡山"</f>
        <v>岡山</v>
      </c>
      <c r="G1399" t="str">
        <f>"頻度不明"</f>
        <v>頻度不明</v>
      </c>
      <c r="H1399" t="str">
        <f>"2002222288863"</f>
        <v>2002222288863</v>
      </c>
      <c r="I1399" t="str">
        <f>HYPERLINK("#", "https://opac.libnet.pref.okayama.jp/licsxp-opac/WOpacMsgNewListToTifTilDetailAction.do?tilcod=2002222288863")</f>
        <v>https://opac.libnet.pref.okayama.jp/licsxp-opac/WOpacMsgNewListToTifTilDetailAction.do?tilcod=2002222288863</v>
      </c>
    </row>
    <row r="1400" spans="1:9" x14ac:dyDescent="0.4">
      <c r="A1400" t="str">
        <f>"[岡山県立青年学校教員養成所]同窓会誌"</f>
        <v>[岡山県立青年学校教員養成所]同窓会誌</v>
      </c>
      <c r="B1400" s="1" t="str">
        <f t="shared" si="78"/>
        <v>[岡山県立青年学校教員養成所]同窓会誌</v>
      </c>
      <c r="C1400" t="str">
        <f>"オカヤマケンリツ セイネン ガッコウ キョウイン ヨウセイジョ ドウソウカイシ"</f>
        <v>オカヤマケンリツ セイネン ガッコウ キョウイン ヨウセイジョ ドウソウカイシ</v>
      </c>
      <c r="D1400" t="str">
        <f>"岡山県立青年学校教員養成所"</f>
        <v>岡山県立青年学校教員養成所</v>
      </c>
      <c r="E1400" t="str">
        <f>"オカヤマケンリツ セイネン ガッコウ キョウイン ヨウセイジョ"</f>
        <v>オカヤマケンリツ セイネン ガッコウ キョウイン ヨウセイジョ</v>
      </c>
      <c r="F1400" t="str">
        <f>""</f>
        <v/>
      </c>
      <c r="G1400" t="str">
        <f>"頻度不明"</f>
        <v>頻度不明</v>
      </c>
      <c r="H1400" t="str">
        <f>"2002222334571"</f>
        <v>2002222334571</v>
      </c>
      <c r="I1400" t="str">
        <f>HYPERLINK("#", "https://opac.libnet.pref.okayama.jp/licsxp-opac/WOpacMsgNewListToTifTilDetailAction.do?tilcod=2002222334571")</f>
        <v>https://opac.libnet.pref.okayama.jp/licsxp-opac/WOpacMsgNewListToTifTilDetailAction.do?tilcod=2002222334571</v>
      </c>
    </row>
    <row r="1401" spans="1:9" x14ac:dyDescent="0.4">
      <c r="A1401" t="str">
        <f>"〔岡山県立瀬戸高等学校〕瀬戸"</f>
        <v>〔岡山県立瀬戸高等学校〕瀬戸</v>
      </c>
      <c r="B1401" s="1" t="str">
        <f t="shared" si="78"/>
        <v>〔岡山県立瀬戸高等学校〕瀬戸</v>
      </c>
      <c r="C1401" t="str">
        <f>"オカヤマケンリツ　セト　コウトウ　ガッコウ＊セト"</f>
        <v>オカヤマケンリツ　セト　コウトウ　ガッコウ＊セト</v>
      </c>
      <c r="D1401" t="str">
        <f>"瀬戸高等学校"</f>
        <v>瀬戸高等学校</v>
      </c>
      <c r="E1401" t="str">
        <f>"セトコウトウガッコウ"</f>
        <v>セトコウトウガッコウ</v>
      </c>
      <c r="F1401" t="str">
        <f>"岡山"</f>
        <v>岡山</v>
      </c>
      <c r="G1401" t="str">
        <f>"年刊"</f>
        <v>年刊</v>
      </c>
      <c r="H1401" t="str">
        <f>"2002222280101"</f>
        <v>2002222280101</v>
      </c>
      <c r="I1401" t="str">
        <f>HYPERLINK("#", "https://opac.libnet.pref.okayama.jp/licsxp-opac/WOpacMsgNewListToTifTilDetailAction.do?tilcod=2002222280101")</f>
        <v>https://opac.libnet.pref.okayama.jp/licsxp-opac/WOpacMsgNewListToTifTilDetailAction.do?tilcod=2002222280101</v>
      </c>
    </row>
    <row r="1402" spans="1:9" x14ac:dyDescent="0.4">
      <c r="A1402" t="str">
        <f>"〔岡山県立瀬戸南高等学校〕紀要"</f>
        <v>〔岡山県立瀬戸南高等学校〕紀要</v>
      </c>
      <c r="B1402" s="1" t="str">
        <f t="shared" si="78"/>
        <v>〔岡山県立瀬戸南高等学校〕紀要</v>
      </c>
      <c r="C1402" t="str">
        <f>"オカヤマケンリツ　セトミナミ　コウトウ　ガッコウ＊キヨウ"</f>
        <v>オカヤマケンリツ　セトミナミ　コウトウ　ガッコウ＊キヨウ</v>
      </c>
      <c r="D1402" t="str">
        <f>"瀬戸南高等学校"</f>
        <v>瀬戸南高等学校</v>
      </c>
      <c r="E1402" t="str">
        <f>"セト ミナミ コウトウ ガッコウ"</f>
        <v>セト ミナミ コウトウ ガッコウ</v>
      </c>
      <c r="F1402" t="str">
        <f>""</f>
        <v/>
      </c>
      <c r="G1402" t="str">
        <f>"年刊"</f>
        <v>年刊</v>
      </c>
      <c r="H1402" t="str">
        <f>"2002222288893"</f>
        <v>2002222288893</v>
      </c>
      <c r="I1402" t="str">
        <f>HYPERLINK("#", "https://opac.libnet.pref.okayama.jp/licsxp-opac/WOpacMsgNewListToTifTilDetailAction.do?tilcod=2002222288893")</f>
        <v>https://opac.libnet.pref.okayama.jp/licsxp-opac/WOpacMsgNewListToTifTilDetailAction.do?tilcod=2002222288893</v>
      </c>
    </row>
    <row r="1403" spans="1:9" x14ac:dyDescent="0.4">
      <c r="A1403" t="str">
        <f>"〔岡山県立瀬戸南高等学校〕桃源"</f>
        <v>〔岡山県立瀬戸南高等学校〕桃源</v>
      </c>
      <c r="B1403" s="1" t="str">
        <f t="shared" si="78"/>
        <v>〔岡山県立瀬戸南高等学校〕桃源</v>
      </c>
      <c r="C1403" t="str">
        <f>"オカヤマケンリツ　セトミナミ　コウトウガッコウ＊トウゲン"</f>
        <v>オカヤマケンリツ　セトミナミ　コウトウガッコウ＊トウゲン</v>
      </c>
      <c r="D1403" t="str">
        <f>"瀬戸南高等学校"</f>
        <v>瀬戸南高等学校</v>
      </c>
      <c r="E1403" t="str">
        <f>"セト ミナミ コウトウ ガッコウ"</f>
        <v>セト ミナミ コウトウ ガッコウ</v>
      </c>
      <c r="F1403" t="str">
        <f>"瀬戸町（赤磐郡）"</f>
        <v>瀬戸町（赤磐郡）</v>
      </c>
      <c r="G1403" t="str">
        <f>"年刊"</f>
        <v>年刊</v>
      </c>
      <c r="H1403" t="str">
        <f>"2002222285093"</f>
        <v>2002222285093</v>
      </c>
      <c r="I1403" t="str">
        <f>HYPERLINK("#", "https://opac.libnet.pref.okayama.jp/licsxp-opac/WOpacMsgNewListToTifTilDetailAction.do?tilcod=2002222285093")</f>
        <v>https://opac.libnet.pref.okayama.jp/licsxp-opac/WOpacMsgNewListToTifTilDetailAction.do?tilcod=2002222285093</v>
      </c>
    </row>
    <row r="1404" spans="1:9" x14ac:dyDescent="0.4">
      <c r="A1404" t="str">
        <f>"岡山県立総社高等学校研究紀要"</f>
        <v>岡山県立総社高等学校研究紀要</v>
      </c>
      <c r="B1404" s="1" t="str">
        <f t="shared" si="78"/>
        <v>岡山県立総社高等学校研究紀要</v>
      </c>
      <c r="C1404" t="str">
        <f>"オカヤマケンリツ　ソウジャ　コウトウ　ガッコウ　ケンキュウ　キヨウ"</f>
        <v>オカヤマケンリツ　ソウジャ　コウトウ　ガッコウ　ケンキュウ　キヨウ</v>
      </c>
      <c r="D1404" t="str">
        <f>"総社高等学校"</f>
        <v>総社高等学校</v>
      </c>
      <c r="E1404" t="str">
        <f>"ソウジャ コウトウ ガッコウ"</f>
        <v>ソウジャ コウトウ ガッコウ</v>
      </c>
      <c r="F1404" t="str">
        <f>"総社"</f>
        <v>総社</v>
      </c>
      <c r="G1404" t="str">
        <f>"年刊"</f>
        <v>年刊</v>
      </c>
      <c r="H1404" t="str">
        <f>"2002222288913"</f>
        <v>2002222288913</v>
      </c>
      <c r="I1404" t="str">
        <f>HYPERLINK("#", "https://opac.libnet.pref.okayama.jp/licsxp-opac/WOpacMsgNewListToTifTilDetailAction.do?tilcod=2002222288913")</f>
        <v>https://opac.libnet.pref.okayama.jp/licsxp-opac/WOpacMsgNewListToTifTilDetailAction.do?tilcod=2002222288913</v>
      </c>
    </row>
    <row r="1405" spans="1:9" x14ac:dyDescent="0.4">
      <c r="A1405" t="str">
        <f>"〔岡山県立総社高等学校〕春靄"</f>
        <v>〔岡山県立総社高等学校〕春靄</v>
      </c>
      <c r="B1405" s="1" t="str">
        <f t="shared" si="78"/>
        <v>〔岡山県立総社高等学校〕春靄</v>
      </c>
      <c r="C1405" t="str">
        <f>"オカヤマケンリツ　ソウジャ　コウトウ　ガッコウ＊シュンアイ"</f>
        <v>オカヤマケンリツ　ソウジャ　コウトウ　ガッコウ＊シュンアイ</v>
      </c>
      <c r="D1405" t="str">
        <f>"総社高等学校"</f>
        <v>総社高等学校</v>
      </c>
      <c r="E1405" t="str">
        <f>"ソウジャ コウトウ ガッコウ"</f>
        <v>ソウジャ コウトウ ガッコウ</v>
      </c>
      <c r="F1405" t="str">
        <f>"総社"</f>
        <v>総社</v>
      </c>
      <c r="G1405" t="str">
        <f>"年刊"</f>
        <v>年刊</v>
      </c>
      <c r="H1405" t="str">
        <f>"2002222285361"</f>
        <v>2002222285361</v>
      </c>
      <c r="I1405" t="str">
        <f>HYPERLINK("#", "https://opac.libnet.pref.okayama.jp/licsxp-opac/WOpacMsgNewListToTifTilDetailAction.do?tilcod=2002222285361")</f>
        <v>https://opac.libnet.pref.okayama.jp/licsxp-opac/WOpacMsgNewListToTifTilDetailAction.do?tilcod=2002222285361</v>
      </c>
    </row>
    <row r="1406" spans="1:9" x14ac:dyDescent="0.4">
      <c r="A1406" t="str">
        <f>"[岡山県立総社高等学校]せいとかい；生徒会"</f>
        <v>[岡山県立総社高等学校]せいとかい；生徒会</v>
      </c>
      <c r="B1406" s="1" t="str">
        <f t="shared" si="78"/>
        <v>[岡山県立総社高等学校]せいとかい；生徒会</v>
      </c>
      <c r="C1406" t="str">
        <f>"オカヤマケンリツ ソウジャ コウトウ ガッコウ＊セイトカイ"</f>
        <v>オカヤマケンリツ ソウジャ コウトウ ガッコウ＊セイトカイ</v>
      </c>
      <c r="D1406" t="str">
        <f>"総社高等学校"</f>
        <v>総社高等学校</v>
      </c>
      <c r="E1406" t="str">
        <f>"ソウジャ コウトウ ガッコウ"</f>
        <v>ソウジャ コウトウ ガッコウ</v>
      </c>
      <c r="F1406" t="str">
        <f>"総社"</f>
        <v>総社</v>
      </c>
      <c r="G1406" t="str">
        <f>"頻度不明"</f>
        <v>頻度不明</v>
      </c>
      <c r="H1406" t="str">
        <f>"2002222288903"</f>
        <v>2002222288903</v>
      </c>
      <c r="I1406" t="str">
        <f>HYPERLINK("#", "https://opac.libnet.pref.okayama.jp/licsxp-opac/WOpacMsgNewListToTifTilDetailAction.do?tilcod=2002222288903")</f>
        <v>https://opac.libnet.pref.okayama.jp/licsxp-opac/WOpacMsgNewListToTifTilDetailAction.do?tilcod=2002222288903</v>
      </c>
    </row>
    <row r="1407" spans="1:9" x14ac:dyDescent="0.4">
      <c r="A1407" t="str">
        <f>"〔岡山県立総社南高等学校〕校誌有朋"</f>
        <v>〔岡山県立総社南高等学校〕校誌有朋</v>
      </c>
      <c r="B1407" s="1" t="str">
        <f t="shared" si="78"/>
        <v>〔岡山県立総社南高等学校〕校誌有朋</v>
      </c>
      <c r="C1407" t="str">
        <f>"オカヤマケンリツ　ソウジャ　ミナミ　コウトウ　ガッコウ＊コウシ　ユウホウ"</f>
        <v>オカヤマケンリツ　ソウジャ　ミナミ　コウトウ　ガッコウ＊コウシ　ユウホウ</v>
      </c>
      <c r="D1407" t="str">
        <f>"総社南高等学校"</f>
        <v>総社南高等学校</v>
      </c>
      <c r="E1407" t="str">
        <f>"ソウジャ ミナミ コウトウ ガッコウ"</f>
        <v>ソウジャ ミナミ コウトウ ガッコウ</v>
      </c>
      <c r="F1407" t="str">
        <f>"総社"</f>
        <v>総社</v>
      </c>
      <c r="G1407" t="str">
        <f>"年刊"</f>
        <v>年刊</v>
      </c>
      <c r="H1407" t="str">
        <f>"2002222280111"</f>
        <v>2002222280111</v>
      </c>
      <c r="I1407" t="str">
        <f>HYPERLINK("#", "https://opac.libnet.pref.okayama.jp/licsxp-opac/WOpacMsgNewListToTifTilDetailAction.do?tilcod=2002222280111")</f>
        <v>https://opac.libnet.pref.okayama.jp/licsxp-opac/WOpacMsgNewListToTifTilDetailAction.do?tilcod=2002222280111</v>
      </c>
    </row>
    <row r="1408" spans="1:9" x14ac:dyDescent="0.4">
      <c r="A1408" t="str">
        <f>"岡山県立大学短期大学部研究紀要"</f>
        <v>岡山県立大学短期大学部研究紀要</v>
      </c>
      <c r="B1408" s="1" t="str">
        <f t="shared" si="78"/>
        <v>岡山県立大学短期大学部研究紀要</v>
      </c>
      <c r="C1408" t="str">
        <f>"オカヤマケンリツ　ダイガク　タンキ　ダイガクブ　ケンキュウ　キヨウ"</f>
        <v>オカヤマケンリツ　ダイガク　タンキ　ダイガクブ　ケンキュウ　キヨウ</v>
      </c>
      <c r="D1408" t="str">
        <f>"岡山県立大学短期大学部"</f>
        <v>岡山県立大学短期大学部</v>
      </c>
      <c r="E1408" t="str">
        <f>"オカヤマケンリツ ダイガク タンキ ダイガクブ"</f>
        <v>オカヤマケンリツ ダイガク タンキ ダイガクブ</v>
      </c>
      <c r="F1408" t="str">
        <f>"総社"</f>
        <v>総社</v>
      </c>
      <c r="G1408" t="str">
        <f>"年刊"</f>
        <v>年刊</v>
      </c>
      <c r="H1408" t="str">
        <f>"2002222280941"</f>
        <v>2002222280941</v>
      </c>
      <c r="I1408" t="str">
        <f>HYPERLINK("#", "https://opac.libnet.pref.okayama.jp/licsxp-opac/WOpacMsgNewListToTifTilDetailAction.do?tilcod=2002222280941")</f>
        <v>https://opac.libnet.pref.okayama.jp/licsxp-opac/WOpacMsgNewListToTifTilDetailAction.do?tilcod=2002222280941</v>
      </c>
    </row>
    <row r="1409" spans="1:9" x14ac:dyDescent="0.4">
      <c r="A1409" t="str">
        <f>"〔岡山県立高梁高等学校有漢分校〕高嶺"</f>
        <v>〔岡山県立高梁高等学校有漢分校〕高嶺</v>
      </c>
      <c r="B1409" s="1" t="str">
        <f t="shared" si="78"/>
        <v>〔岡山県立高梁高等学校有漢分校〕高嶺</v>
      </c>
      <c r="C1409" t="str">
        <f>"オカヤマケンリツ　タカハシ　コウトウ　ガッコウ　ウカン　ブンコウ＊タカミネ"</f>
        <v>オカヤマケンリツ　タカハシ　コウトウ　ガッコウ　ウカン　ブンコウ＊タカミネ</v>
      </c>
      <c r="D1409" t="str">
        <f>"高梁高等学校有漢分校生徒会"</f>
        <v>高梁高等学校有漢分校生徒会</v>
      </c>
      <c r="E1409" t="str">
        <f>"タカハシコウトウガッコウウカンブンコウセイトカイ"</f>
        <v>タカハシコウトウガッコウウカンブンコウセイトカイ</v>
      </c>
      <c r="F1409" t="str">
        <f>"有漢町（上房郡）"</f>
        <v>有漢町（上房郡）</v>
      </c>
      <c r="G1409" t="str">
        <f>"年刊"</f>
        <v>年刊</v>
      </c>
      <c r="H1409" t="str">
        <f>"2002222281344"</f>
        <v>2002222281344</v>
      </c>
      <c r="I1409" t="str">
        <f>HYPERLINK("#", "https://opac.libnet.pref.okayama.jp/licsxp-opac/WOpacMsgNewListToTifTilDetailAction.do?tilcod=2002222281344")</f>
        <v>https://opac.libnet.pref.okayama.jp/licsxp-opac/WOpacMsgNewListToTifTilDetailAction.do?tilcod=2002222281344</v>
      </c>
    </row>
    <row r="1410" spans="1:9" x14ac:dyDescent="0.4">
      <c r="A1410" t="str">
        <f>"〔岡山県立高梁高等学校〕有終"</f>
        <v>〔岡山県立高梁高等学校〕有終</v>
      </c>
      <c r="B1410" s="1" t="str">
        <f t="shared" si="78"/>
        <v>〔岡山県立高梁高等学校〕有終</v>
      </c>
      <c r="C1410" t="str">
        <f>"オカヤマケンリツ　タカハシ　コウトウ　ガッコウ＊ユウシュウ"</f>
        <v>オカヤマケンリツ　タカハシ　コウトウ　ガッコウ＊ユウシュウ</v>
      </c>
      <c r="D1410" t="str">
        <f>"高梁高等学校"</f>
        <v>高梁高等学校</v>
      </c>
      <c r="E1410" t="str">
        <f>"タカハシコウトウガッコウ"</f>
        <v>タカハシコウトウガッコウ</v>
      </c>
      <c r="F1410" t="str">
        <f>"高梁"</f>
        <v>高梁</v>
      </c>
      <c r="G1410" t="str">
        <f>"年刊"</f>
        <v>年刊</v>
      </c>
      <c r="H1410" t="str">
        <f>"2002222280741"</f>
        <v>2002222280741</v>
      </c>
      <c r="I1410" t="str">
        <f>HYPERLINK("#", "https://opac.libnet.pref.okayama.jp/licsxp-opac/WOpacMsgNewListToTifTilDetailAction.do?tilcod=2002222280741")</f>
        <v>https://opac.libnet.pref.okayama.jp/licsxp-opac/WOpacMsgNewListToTifTilDetailAction.do?tilcod=2002222280741</v>
      </c>
    </row>
    <row r="1411" spans="1:9" x14ac:dyDescent="0.4">
      <c r="A1411" t="str">
        <f>"[岡山県立高松農業高等学校]紀要"</f>
        <v>[岡山県立高松農業高等学校]紀要</v>
      </c>
      <c r="B1411" s="1" t="str">
        <f t="shared" si="78"/>
        <v>[岡山県立高松農業高等学校]紀要</v>
      </c>
      <c r="C1411" t="str">
        <f>"オカヤマケンリツ タカマツ ノウギョウ コウトウ ガッコウ キヨウ"</f>
        <v>オカヤマケンリツ タカマツ ノウギョウ コウトウ ガッコウ キヨウ</v>
      </c>
      <c r="D1411" t="str">
        <f>"高松農業高等学校"</f>
        <v>高松農業高等学校</v>
      </c>
      <c r="E1411" t="str">
        <f>"タカマツ ノウギョウ コウトウ ガッコウ"</f>
        <v>タカマツ ノウギョウ コウトウ ガッコウ</v>
      </c>
      <c r="F1411" t="str">
        <f>""</f>
        <v/>
      </c>
      <c r="G1411" t="str">
        <f>"頻度不明"</f>
        <v>頻度不明</v>
      </c>
      <c r="H1411" t="str">
        <f>"2002222288933"</f>
        <v>2002222288933</v>
      </c>
      <c r="I1411" t="str">
        <f>HYPERLINK("#", "https://opac.libnet.pref.okayama.jp/licsxp-opac/WOpacMsgNewListToTifTilDetailAction.do?tilcod=2002222288933")</f>
        <v>https://opac.libnet.pref.okayama.jp/licsxp-opac/WOpacMsgNewListToTifTilDetailAction.do?tilcod=2002222288933</v>
      </c>
    </row>
    <row r="1412" spans="1:9" x14ac:dyDescent="0.4">
      <c r="A1412" t="str">
        <f>"[岡山県立高松農業高等学校]同窓会報"</f>
        <v>[岡山県立高松農業高等学校]同窓会報</v>
      </c>
      <c r="B1412" s="1" t="str">
        <f t="shared" ref="B1412:B1475" si="81">HYPERLINK("#", A1412)</f>
        <v>[岡山県立高松農業高等学校]同窓会報</v>
      </c>
      <c r="C1412" t="str">
        <f>"オカヤマケンリツ タカマツ ノウギョウ コウトウ ガッコウ ドウソウカイホウ"</f>
        <v>オカヤマケンリツ タカマツ ノウギョウ コウトウ ガッコウ ドウソウカイホウ</v>
      </c>
      <c r="D1412" t="str">
        <f>"高松農業高等学校同窓会"</f>
        <v>高松農業高等学校同窓会</v>
      </c>
      <c r="E1412" t="str">
        <f>"タカマツ ノウギョウ コウトウ ガッコウ ドウソウカイ"</f>
        <v>タカマツ ノウギョウ コウトウ ガッコウ ドウソウカイ</v>
      </c>
      <c r="F1412" t="str">
        <f>""</f>
        <v/>
      </c>
      <c r="G1412" t="str">
        <f>"頻度不明"</f>
        <v>頻度不明</v>
      </c>
      <c r="H1412" t="str">
        <f>"2002222280624"</f>
        <v>2002222280624</v>
      </c>
      <c r="I1412" t="str">
        <f>HYPERLINK("#", "https://opac.libnet.pref.okayama.jp/licsxp-opac/WOpacMsgNewListToTifTilDetailAction.do?tilcod=2002222280624")</f>
        <v>https://opac.libnet.pref.okayama.jp/licsxp-opac/WOpacMsgNewListToTifTilDetailAction.do?tilcod=2002222280624</v>
      </c>
    </row>
    <row r="1413" spans="1:9" x14ac:dyDescent="0.4">
      <c r="A1413" t="str">
        <f>"〔岡山県立田原高等学校〕青垣"</f>
        <v>〔岡山県立田原高等学校〕青垣</v>
      </c>
      <c r="B1413" s="1" t="str">
        <f t="shared" si="81"/>
        <v>〔岡山県立田原高等学校〕青垣</v>
      </c>
      <c r="C1413" t="str">
        <f>"オカヤマケンリツ　タバラ　コウトウ　ガッコウ＊アオガキ"</f>
        <v>オカヤマケンリツ　タバラ　コウトウ　ガッコウ＊アオガキ</v>
      </c>
      <c r="D1413" t="str">
        <f>"田原高等学校"</f>
        <v>田原高等学校</v>
      </c>
      <c r="E1413" t="str">
        <f>"タバラコウトウガッコウ"</f>
        <v>タバラコウトウガッコウ</v>
      </c>
      <c r="F1413" t="str">
        <f>""</f>
        <v/>
      </c>
      <c r="G1413" t="str">
        <f>"頻度不明"</f>
        <v>頻度不明</v>
      </c>
      <c r="H1413" t="str">
        <f>"2002222288943"</f>
        <v>2002222288943</v>
      </c>
      <c r="I1413" t="str">
        <f>HYPERLINK("#", "https://opac.libnet.pref.okayama.jp/licsxp-opac/WOpacMsgNewListToTifTilDetailAction.do?tilcod=2002222288943")</f>
        <v>https://opac.libnet.pref.okayama.jp/licsxp-opac/WOpacMsgNewListToTifTilDetailAction.do?tilcod=2002222288943</v>
      </c>
    </row>
    <row r="1414" spans="1:9" x14ac:dyDescent="0.4">
      <c r="A1414" t="str">
        <f>"〔岡山県立玉島学園〕あかいやね"</f>
        <v>〔岡山県立玉島学園〕あかいやね</v>
      </c>
      <c r="B1414" s="1" t="str">
        <f t="shared" si="81"/>
        <v>〔岡山県立玉島学園〕あかいやね</v>
      </c>
      <c r="C1414" t="str">
        <f>"オカヤマケンリツ　タマシマ　ガクエン＊アカイ　ヤネ"</f>
        <v>オカヤマケンリツ　タマシマ　ガクエン＊アカイ　ヤネ</v>
      </c>
      <c r="D1414" t="str">
        <f>"玉島学園"</f>
        <v>玉島学園</v>
      </c>
      <c r="E1414" t="str">
        <f>"タマシマガクエン"</f>
        <v>タマシマガクエン</v>
      </c>
      <c r="F1414" t="str">
        <f>"倉敷"</f>
        <v>倉敷</v>
      </c>
      <c r="G1414" t="str">
        <f>"年刊"</f>
        <v>年刊</v>
      </c>
      <c r="H1414" t="str">
        <f>"2002222294621"</f>
        <v>2002222294621</v>
      </c>
      <c r="I1414" t="str">
        <f>HYPERLINK("#", "https://opac.libnet.pref.okayama.jp/licsxp-opac/WOpacMsgNewListToTifTilDetailAction.do?tilcod=2002222294621")</f>
        <v>https://opac.libnet.pref.okayama.jp/licsxp-opac/WOpacMsgNewListToTifTilDetailAction.do?tilcod=2002222294621</v>
      </c>
    </row>
    <row r="1415" spans="1:9" x14ac:dyDescent="0.4">
      <c r="A1415" t="str">
        <f>"〔岡山県立玉島学園〕玉島学園だより"</f>
        <v>〔岡山県立玉島学園〕玉島学園だより</v>
      </c>
      <c r="B1415" s="1" t="str">
        <f t="shared" si="81"/>
        <v>〔岡山県立玉島学園〕玉島学園だより</v>
      </c>
      <c r="C1415" t="str">
        <f>"オカヤマケンリツ　タマシマ　ガクエン＊タマシマ　ガクエン　ダヨリ"</f>
        <v>オカヤマケンリツ　タマシマ　ガクエン＊タマシマ　ガクエン　ダヨリ</v>
      </c>
      <c r="D1415" t="str">
        <f>"玉島学園後援会"</f>
        <v>玉島学園後援会</v>
      </c>
      <c r="E1415" t="str">
        <f>"タマシマガクエンコウエンカイ"</f>
        <v>タマシマガクエンコウエンカイ</v>
      </c>
      <c r="F1415" t="str">
        <f>"倉敷"</f>
        <v>倉敷</v>
      </c>
      <c r="G1415" t="str">
        <f>"年２回刊"</f>
        <v>年２回刊</v>
      </c>
      <c r="H1415" t="str">
        <f>"2002222281961"</f>
        <v>2002222281961</v>
      </c>
      <c r="I1415" t="str">
        <f>HYPERLINK("#", "https://opac.libnet.pref.okayama.jp/licsxp-opac/WOpacMsgNewListToTifTilDetailAction.do?tilcod=2002222281961")</f>
        <v>https://opac.libnet.pref.okayama.jp/licsxp-opac/WOpacMsgNewListToTifTilDetailAction.do?tilcod=2002222281961</v>
      </c>
    </row>
    <row r="1416" spans="1:9" x14ac:dyDescent="0.4">
      <c r="A1416" t="str">
        <f>"〔岡山県立玉島高等学校〕白華（はっか）"</f>
        <v>〔岡山県立玉島高等学校〕白華（はっか）</v>
      </c>
      <c r="B1416" s="1" t="str">
        <f t="shared" si="81"/>
        <v>〔岡山県立玉島高等学校〕白華（はっか）</v>
      </c>
      <c r="C1416" t="str">
        <f>"オカヤマケンリツ　タマシマ　コウトウ　ガッコウ＊ハッカ"</f>
        <v>オカヤマケンリツ　タマシマ　コウトウ　ガッコウ＊ハッカ</v>
      </c>
      <c r="D1416" t="str">
        <f>"玉島高等学校"</f>
        <v>玉島高等学校</v>
      </c>
      <c r="E1416" t="str">
        <f>"タマシマ コウトウ ガッコウ"</f>
        <v>タマシマ コウトウ ガッコウ</v>
      </c>
      <c r="F1416" t="str">
        <f>"倉敷"</f>
        <v>倉敷</v>
      </c>
      <c r="G1416" t="str">
        <f>"年刊"</f>
        <v>年刊</v>
      </c>
      <c r="H1416" t="str">
        <f>"2002222288953"</f>
        <v>2002222288953</v>
      </c>
      <c r="I1416" t="str">
        <f>HYPERLINK("#", "https://opac.libnet.pref.okayama.jp/licsxp-opac/WOpacMsgNewListToTifTilDetailAction.do?tilcod=2002222288953")</f>
        <v>https://opac.libnet.pref.okayama.jp/licsxp-opac/WOpacMsgNewListToTifTilDetailAction.do?tilcod=2002222288953</v>
      </c>
    </row>
    <row r="1417" spans="1:9" x14ac:dyDescent="0.4">
      <c r="A1417" t="str">
        <f>"[岡山県立玉野高等学校] 研究紀要"</f>
        <v>[岡山県立玉野高等学校] 研究紀要</v>
      </c>
      <c r="B1417" s="1" t="str">
        <f t="shared" si="81"/>
        <v>[岡山県立玉野高等学校] 研究紀要</v>
      </c>
      <c r="C1417" t="str">
        <f>"オカヤマケンリツ　タマノ　コウトウ　ガッコウ　ケンキュウ　キヨウ"</f>
        <v>オカヤマケンリツ　タマノ　コウトウ　ガッコウ　ケンキュウ　キヨウ</v>
      </c>
      <c r="D1417" t="str">
        <f>"玉野高等学校"</f>
        <v>玉野高等学校</v>
      </c>
      <c r="E1417" t="str">
        <f>"タマノ コウトウ ガッコウ"</f>
        <v>タマノ コウトウ ガッコウ</v>
      </c>
      <c r="F1417" t="str">
        <f>"玉野"</f>
        <v>玉野</v>
      </c>
      <c r="G1417" t="str">
        <f>"年刊"</f>
        <v>年刊</v>
      </c>
      <c r="H1417" t="str">
        <f>"2002222284511"</f>
        <v>2002222284511</v>
      </c>
      <c r="I1417" t="str">
        <f>HYPERLINK("#", "https://opac.libnet.pref.okayama.jp/licsxp-opac/WOpacMsgNewListToTifTilDetailAction.do?tilcod=2002222284511")</f>
        <v>https://opac.libnet.pref.okayama.jp/licsxp-opac/WOpacMsgNewListToTifTilDetailAction.do?tilcod=2002222284511</v>
      </c>
    </row>
    <row r="1418" spans="1:9" x14ac:dyDescent="0.4">
      <c r="A1418" t="str">
        <f>"〔岡山県立玉野光南高等学校〕光南"</f>
        <v>〔岡山県立玉野光南高等学校〕光南</v>
      </c>
      <c r="B1418" s="1" t="str">
        <f t="shared" si="81"/>
        <v>〔岡山県立玉野光南高等学校〕光南</v>
      </c>
      <c r="C1418" t="str">
        <f>"オカヤマケンリツ　タマノ　コウナン　コウトウ　ガッコウ＊コウナン"</f>
        <v>オカヤマケンリツ　タマノ　コウナン　コウトウ　ガッコウ＊コウナン</v>
      </c>
      <c r="D1418" t="str">
        <f>"玉野光南高等学校"</f>
        <v>玉野光南高等学校</v>
      </c>
      <c r="E1418" t="str">
        <f>"タマノコウナンコウトウガッコウ"</f>
        <v>タマノコウナンコウトウガッコウ</v>
      </c>
      <c r="F1418" t="str">
        <f>"玉野"</f>
        <v>玉野</v>
      </c>
      <c r="G1418" t="str">
        <f>"年刊"</f>
        <v>年刊</v>
      </c>
      <c r="H1418" t="str">
        <f>"2002222280131"</f>
        <v>2002222280131</v>
      </c>
      <c r="I1418" t="str">
        <f>HYPERLINK("#", "https://opac.libnet.pref.okayama.jp/licsxp-opac/WOpacMsgNewListToTifTilDetailAction.do?tilcod=2002222280131")</f>
        <v>https://opac.libnet.pref.okayama.jp/licsxp-opac/WOpacMsgNewListToTifTilDetailAction.do?tilcod=2002222280131</v>
      </c>
    </row>
    <row r="1419" spans="1:9" x14ac:dyDescent="0.4">
      <c r="A1419" t="str">
        <f>"〔岡山県立玉野光南高等学校〕読書感想文集"</f>
        <v>〔岡山県立玉野光南高等学校〕読書感想文集</v>
      </c>
      <c r="B1419" s="1" t="str">
        <f t="shared" si="81"/>
        <v>〔岡山県立玉野光南高等学校〕読書感想文集</v>
      </c>
      <c r="C1419" t="str">
        <f>"オカヤマケンリツ　タマノ　コウナン　コウトウ　ガッコウ＊ドクショ　カンソウ　ブンシュウ"</f>
        <v>オカヤマケンリツ　タマノ　コウナン　コウトウ　ガッコウ＊ドクショ　カンソウ　ブンシュウ</v>
      </c>
      <c r="D1419" t="str">
        <f>"玉野光南高等学校"</f>
        <v>玉野光南高等学校</v>
      </c>
      <c r="E1419" t="str">
        <f>"タマノコウナンコウトウガッコウ"</f>
        <v>タマノコウナンコウトウガッコウ</v>
      </c>
      <c r="F1419" t="str">
        <f>"玉野"</f>
        <v>玉野</v>
      </c>
      <c r="G1419" t="str">
        <f>"頻度不明"</f>
        <v>頻度不明</v>
      </c>
      <c r="H1419" t="str">
        <f>"2002222288963"</f>
        <v>2002222288963</v>
      </c>
      <c r="I1419" t="str">
        <f>HYPERLINK("#", "https://opac.libnet.pref.okayama.jp/licsxp-opac/WOpacMsgNewListToTifTilDetailAction.do?tilcod=2002222288963")</f>
        <v>https://opac.libnet.pref.okayama.jp/licsxp-opac/WOpacMsgNewListToTifTilDetailAction.do?tilcod=2002222288963</v>
      </c>
    </row>
    <row r="1420" spans="1:9" x14ac:dyDescent="0.4">
      <c r="A1420" t="str">
        <f>"〔岡山県立短期大学〕研究紀要"</f>
        <v>〔岡山県立短期大学〕研究紀要</v>
      </c>
      <c r="B1420" s="1" t="str">
        <f t="shared" si="81"/>
        <v>〔岡山県立短期大学〕研究紀要</v>
      </c>
      <c r="C1420" t="str">
        <f>"オカヤマケンリツ　タンキ　ダイガク＊ケンキュウ　キヨウ"</f>
        <v>オカヤマケンリツ　タンキ　ダイガク＊ケンキュウ　キヨウ</v>
      </c>
      <c r="D1420" t="str">
        <f>"岡山県立短期大学"</f>
        <v>岡山県立短期大学</v>
      </c>
      <c r="E1420" t="str">
        <f>"オカヤマケンリツタンキダイガク"</f>
        <v>オカヤマケンリツタンキダイガク</v>
      </c>
      <c r="F1420" t="str">
        <f>"岡山"</f>
        <v>岡山</v>
      </c>
      <c r="G1420" t="str">
        <f>"年刊"</f>
        <v>年刊</v>
      </c>
      <c r="H1420" t="str">
        <f>"2002222288333"</f>
        <v>2002222288333</v>
      </c>
      <c r="I1420" t="str">
        <f>HYPERLINK("#", "https://opac.libnet.pref.okayama.jp/licsxp-opac/WOpacMsgNewListToTifTilDetailAction.do?tilcod=2002222288333")</f>
        <v>https://opac.libnet.pref.okayama.jp/licsxp-opac/WOpacMsgNewListToTifTilDetailAction.do?tilcod=2002222288333</v>
      </c>
    </row>
    <row r="1421" spans="1:9" x14ac:dyDescent="0.4">
      <c r="A1421" t="str">
        <f>"〔岡山県立誕生寺養護学校〕紀要"</f>
        <v>〔岡山県立誕生寺養護学校〕紀要</v>
      </c>
      <c r="B1421" s="1" t="str">
        <f t="shared" si="81"/>
        <v>〔岡山県立誕生寺養護学校〕紀要</v>
      </c>
      <c r="C1421" t="str">
        <f>"オカヤマケンリツ　タンジョウジ　ヨウゴ　ガッコウ＊キヨウ"</f>
        <v>オカヤマケンリツ　タンジョウジ　ヨウゴ　ガッコウ＊キヨウ</v>
      </c>
      <c r="D1421" t="str">
        <f>"誕生寺養護学校"</f>
        <v>誕生寺養護学校</v>
      </c>
      <c r="E1421" t="str">
        <f>"タンジョウジヨウゴガッコウ"</f>
        <v>タンジョウジヨウゴガッコウ</v>
      </c>
      <c r="F1421" t="str">
        <f>""</f>
        <v/>
      </c>
      <c r="G1421" t="str">
        <f>"年刊"</f>
        <v>年刊</v>
      </c>
      <c r="H1421" t="str">
        <f>"2002222289663"</f>
        <v>2002222289663</v>
      </c>
      <c r="I1421" t="str">
        <f>HYPERLINK("#", "https://opac.libnet.pref.okayama.jp/licsxp-opac/WOpacMsgNewListToTifTilDetailAction.do?tilcod=2002222289663")</f>
        <v>https://opac.libnet.pref.okayama.jp/licsxp-opac/WOpacMsgNewListToTifTilDetailAction.do?tilcod=2002222289663</v>
      </c>
    </row>
    <row r="1422" spans="1:9" x14ac:dyDescent="0.4">
      <c r="A1422" t="str">
        <f>"〔岡山県立津山工業高等学校図書館〕図書館広報文書；図書館だより"</f>
        <v>〔岡山県立津山工業高等学校図書館〕図書館広報文書；図書館だより</v>
      </c>
      <c r="B1422" s="1" t="str">
        <f t="shared" si="81"/>
        <v>〔岡山県立津山工業高等学校図書館〕図書館広報文書；図書館だより</v>
      </c>
      <c r="C1422" t="str">
        <f>"オカヤマケンリツ　ツヤマ　コウギョウ　コウトウ　ガッコウ　トショカン＊トショカン　コウホウ　ブンショ＊トショカン　ダヨリ"</f>
        <v>オカヤマケンリツ　ツヤマ　コウギョウ　コウトウ　ガッコウ　トショカン＊トショカン　コウホウ　ブンショ＊トショカン　ダヨリ</v>
      </c>
      <c r="D1422" t="str">
        <f>"岡山県立津山工業高等学校図書館"</f>
        <v>岡山県立津山工業高等学校図書館</v>
      </c>
      <c r="E1422" t="str">
        <f>"オカヤマケンリツツヤマコウギョウコウトウガッコウトショカン"</f>
        <v>オカヤマケンリツツヤマコウギョウコウトウガッコウトショカン</v>
      </c>
      <c r="F1422" t="str">
        <f>""</f>
        <v/>
      </c>
      <c r="G1422" t="str">
        <f>"頻度不明"</f>
        <v>頻度不明</v>
      </c>
      <c r="H1422" t="str">
        <f>"2002222289763"</f>
        <v>2002222289763</v>
      </c>
      <c r="I1422" t="str">
        <f>HYPERLINK("#", "https://opac.libnet.pref.okayama.jp/licsxp-opac/WOpacMsgNewListToTifTilDetailAction.do?tilcod=2002222289763")</f>
        <v>https://opac.libnet.pref.okayama.jp/licsxp-opac/WOpacMsgNewListToTifTilDetailAction.do?tilcod=2002222289763</v>
      </c>
    </row>
    <row r="1423" spans="1:9" x14ac:dyDescent="0.4">
      <c r="A1423" t="str">
        <f>"〔岡山県立津山工業高等学校〕紀要"</f>
        <v>〔岡山県立津山工業高等学校〕紀要</v>
      </c>
      <c r="B1423" s="1" t="str">
        <f t="shared" si="81"/>
        <v>〔岡山県立津山工業高等学校〕紀要</v>
      </c>
      <c r="C1423" t="str">
        <f>"オカヤマケンリツ　ツヤマ　コウギョウ　コウトウ　ガッコウ＊キヨウ"</f>
        <v>オカヤマケンリツ　ツヤマ　コウギョウ　コウトウ　ガッコウ＊キヨウ</v>
      </c>
      <c r="D1423" t="str">
        <f>"津山工業高等学校"</f>
        <v>津山工業高等学校</v>
      </c>
      <c r="E1423" t="str">
        <f>"ツヤマコウギョウコウトウガッコウ"</f>
        <v>ツヤマコウギョウコウトウガッコウ</v>
      </c>
      <c r="F1423" t="str">
        <f>"津山"</f>
        <v>津山</v>
      </c>
      <c r="G1423" t="str">
        <f>"年刊"</f>
        <v>年刊</v>
      </c>
      <c r="H1423" t="str">
        <f>"2002222280281"</f>
        <v>2002222280281</v>
      </c>
      <c r="I1423" t="str">
        <f>HYPERLINK("#", "https://opac.libnet.pref.okayama.jp/licsxp-opac/WOpacMsgNewListToTifTilDetailAction.do?tilcod=2002222280281")</f>
        <v>https://opac.libnet.pref.okayama.jp/licsxp-opac/WOpacMsgNewListToTifTilDetailAction.do?tilcod=2002222280281</v>
      </c>
    </row>
    <row r="1424" spans="1:9" x14ac:dyDescent="0.4">
      <c r="A1424" t="str">
        <f>"〔岡山県立津山工業高等学校〕生徒会記録"</f>
        <v>〔岡山県立津山工業高等学校〕生徒会記録</v>
      </c>
      <c r="B1424" s="1" t="str">
        <f t="shared" si="81"/>
        <v>〔岡山県立津山工業高等学校〕生徒会記録</v>
      </c>
      <c r="C1424" t="str">
        <f>"オカヤマケンリツ　ツヤマ　コウギョウ　コウトウ　ガッコウ＊セイトカイ　キロク"</f>
        <v>オカヤマケンリツ　ツヤマ　コウギョウ　コウトウ　ガッコウ＊セイトカイ　キロク</v>
      </c>
      <c r="D1424" t="str">
        <f>"津山工業高等学校生徒会"</f>
        <v>津山工業高等学校生徒会</v>
      </c>
      <c r="E1424" t="str">
        <f>"ツヤマ　コウギョウ　コウトウ　ガッコウ　セイトカイ"</f>
        <v>ツヤマ　コウギョウ　コウトウ　ガッコウ　セイトカイ</v>
      </c>
      <c r="F1424" t="str">
        <f>""</f>
        <v/>
      </c>
      <c r="G1424" t="str">
        <f>"頻度不明"</f>
        <v>頻度不明</v>
      </c>
      <c r="H1424" t="str">
        <f>"2002222287803"</f>
        <v>2002222287803</v>
      </c>
      <c r="I1424" t="str">
        <f>HYPERLINK("#", "https://opac.libnet.pref.okayama.jp/licsxp-opac/WOpacMsgNewListToTifTilDetailAction.do?tilcod=2002222287803")</f>
        <v>https://opac.libnet.pref.okayama.jp/licsxp-opac/WOpacMsgNewListToTifTilDetailAction.do?tilcod=2002222287803</v>
      </c>
    </row>
    <row r="1425" spans="1:9" x14ac:dyDescent="0.4">
      <c r="A1425" t="str">
        <f>"〔岡山県立津山工業高等学校〕峰南"</f>
        <v>〔岡山県立津山工業高等学校〕峰南</v>
      </c>
      <c r="B1425" s="1" t="str">
        <f t="shared" si="81"/>
        <v>〔岡山県立津山工業高等学校〕峰南</v>
      </c>
      <c r="C1425" t="str">
        <f>"オカヤマケンリツ　ツヤマ　コウギョウ　コウトウ　ガッコウ＊ホウナン"</f>
        <v>オカヤマケンリツ　ツヤマ　コウギョウ　コウトウ　ガッコウ＊ホウナン</v>
      </c>
      <c r="D1425" t="str">
        <f>"津山工業高等学校"</f>
        <v>津山工業高等学校</v>
      </c>
      <c r="E1425" t="str">
        <f>"ツヤマコウギョウコウトウガッコウ"</f>
        <v>ツヤマコウギョウコウトウガッコウ</v>
      </c>
      <c r="F1425" t="str">
        <f t="shared" ref="F1425:F1430" si="82">"津山"</f>
        <v>津山</v>
      </c>
      <c r="G1425" t="str">
        <f t="shared" ref="G1425:G1432" si="83">"年刊"</f>
        <v>年刊</v>
      </c>
      <c r="H1425" t="str">
        <f>"2002222300242"</f>
        <v>2002222300242</v>
      </c>
      <c r="I1425" t="str">
        <f>HYPERLINK("#", "https://opac.libnet.pref.okayama.jp/licsxp-opac/WOpacMsgNewListToTifTilDetailAction.do?tilcod=2002222300242")</f>
        <v>https://opac.libnet.pref.okayama.jp/licsxp-opac/WOpacMsgNewListToTifTilDetailAction.do?tilcod=2002222300242</v>
      </c>
    </row>
    <row r="1426" spans="1:9" x14ac:dyDescent="0.4">
      <c r="A1426" t="str">
        <f>"〔岡山県立津山商業高等学校〕自彊"</f>
        <v>〔岡山県立津山商業高等学校〕自彊</v>
      </c>
      <c r="B1426" s="1" t="str">
        <f t="shared" si="81"/>
        <v>〔岡山県立津山商業高等学校〕自彊</v>
      </c>
      <c r="C1426" t="str">
        <f>"オカヤマケンリツ　ツヤマ　ショウギョウ　コウトウ　ガッコウ＊ジキョウ"</f>
        <v>オカヤマケンリツ　ツヤマ　ショウギョウ　コウトウ　ガッコウ＊ジキョウ</v>
      </c>
      <c r="D1426" t="str">
        <f>"津山商業高等学校"</f>
        <v>津山商業高等学校</v>
      </c>
      <c r="E1426" t="str">
        <f>"ツヤマ ショウギョウ コウトウ ガッコウ"</f>
        <v>ツヤマ ショウギョウ コウトウ ガッコウ</v>
      </c>
      <c r="F1426" t="str">
        <f t="shared" si="82"/>
        <v>津山</v>
      </c>
      <c r="G1426" t="str">
        <f t="shared" si="83"/>
        <v>年刊</v>
      </c>
      <c r="H1426" t="str">
        <f>"2002222280361"</f>
        <v>2002222280361</v>
      </c>
      <c r="I1426" t="str">
        <f>HYPERLINK("#", "https://opac.libnet.pref.okayama.jp/licsxp-opac/WOpacMsgNewListToTifTilDetailAction.do?tilcod=2002222280361")</f>
        <v>https://opac.libnet.pref.okayama.jp/licsxp-opac/WOpacMsgNewListToTifTilDetailAction.do?tilcod=2002222280361</v>
      </c>
    </row>
    <row r="1427" spans="1:9" x14ac:dyDescent="0.4">
      <c r="A1427" t="str">
        <f>"岡山県立津山中学校学校案内"</f>
        <v>岡山県立津山中学校学校案内</v>
      </c>
      <c r="B1427" s="1" t="str">
        <f t="shared" si="81"/>
        <v>岡山県立津山中学校学校案内</v>
      </c>
      <c r="C1427" t="str">
        <f>"オカヤマケンリツ ツヤマ チュウガッコウ ガッコウ アンナイ"</f>
        <v>オカヤマケンリツ ツヤマ チュウガッコウ ガッコウ アンナイ</v>
      </c>
      <c r="D1427" t="str">
        <f>"岡山県立津山中学校"</f>
        <v>岡山県立津山中学校</v>
      </c>
      <c r="E1427" t="str">
        <f>"オカヤマケンリツ ツヤマ チュウガッコウ"</f>
        <v>オカヤマケンリツ ツヤマ チュウガッコウ</v>
      </c>
      <c r="F1427" t="str">
        <f t="shared" si="82"/>
        <v>津山</v>
      </c>
      <c r="G1427" t="str">
        <f t="shared" si="83"/>
        <v>年刊</v>
      </c>
      <c r="H1427" t="str">
        <f>"2002222320308"</f>
        <v>2002222320308</v>
      </c>
      <c r="I1427" t="str">
        <f>HYPERLINK("#", "https://opac.libnet.pref.okayama.jp/licsxp-opac/WOpacMsgNewListToTifTilDetailAction.do?tilcod=2002222320308")</f>
        <v>https://opac.libnet.pref.okayama.jp/licsxp-opac/WOpacMsgNewListToTifTilDetailAction.do?tilcod=2002222320308</v>
      </c>
    </row>
    <row r="1428" spans="1:9" x14ac:dyDescent="0.4">
      <c r="A1428" t="str">
        <f>"岡山県立津山中学校学校要覧"</f>
        <v>岡山県立津山中学校学校要覧</v>
      </c>
      <c r="B1428" s="1" t="str">
        <f t="shared" si="81"/>
        <v>岡山県立津山中学校学校要覧</v>
      </c>
      <c r="C1428" t="str">
        <f>"オカヤマケンリツ ツヤマ チュウガッコウ ガッコウ ヨウラン"</f>
        <v>オカヤマケンリツ ツヤマ チュウガッコウ ガッコウ ヨウラン</v>
      </c>
      <c r="D1428" t="str">
        <f>"岡山県立津山中学校"</f>
        <v>岡山県立津山中学校</v>
      </c>
      <c r="E1428" t="str">
        <f>"オカヤマケンリツ ツヤマ チュウガッコウ"</f>
        <v>オカヤマケンリツ ツヤマ チュウガッコウ</v>
      </c>
      <c r="F1428" t="str">
        <f t="shared" si="82"/>
        <v>津山</v>
      </c>
      <c r="G1428" t="str">
        <f t="shared" si="83"/>
        <v>年刊</v>
      </c>
      <c r="H1428" t="str">
        <f>"2002222329806"</f>
        <v>2002222329806</v>
      </c>
      <c r="I1428" t="str">
        <f>HYPERLINK("#", "https://opac.libnet.pref.okayama.jp/licsxp-opac/WOpacMsgNewListToTifTilDetailAction.do?tilcod=2002222329806")</f>
        <v>https://opac.libnet.pref.okayama.jp/licsxp-opac/WOpacMsgNewListToTifTilDetailAction.do?tilcod=2002222329806</v>
      </c>
    </row>
    <row r="1429" spans="1:9" x14ac:dyDescent="0.4">
      <c r="A1429" t="str">
        <f>"〔岡山県立津山東高等学校〕雑草"</f>
        <v>〔岡山県立津山東高等学校〕雑草</v>
      </c>
      <c r="B1429" s="1" t="str">
        <f t="shared" si="81"/>
        <v>〔岡山県立津山東高等学校〕雑草</v>
      </c>
      <c r="C1429" t="str">
        <f>"オカヤマケンリツ　ツヤマヒガシ　コウトウ　ガッコウ＊ザッソウ"</f>
        <v>オカヤマケンリツ　ツヤマヒガシ　コウトウ　ガッコウ＊ザッソウ</v>
      </c>
      <c r="D1429" t="str">
        <f>"津山東高等学校"</f>
        <v>津山東高等学校</v>
      </c>
      <c r="E1429" t="str">
        <f>"ツヤマヒガシコウトウガッコウ"</f>
        <v>ツヤマヒガシコウトウガッコウ</v>
      </c>
      <c r="F1429" t="str">
        <f t="shared" si="82"/>
        <v>津山</v>
      </c>
      <c r="G1429" t="str">
        <f t="shared" si="83"/>
        <v>年刊</v>
      </c>
      <c r="H1429" t="str">
        <f>"2002222288973"</f>
        <v>2002222288973</v>
      </c>
      <c r="I1429" t="str">
        <f>HYPERLINK("#", "https://opac.libnet.pref.okayama.jp/licsxp-opac/WOpacMsgNewListToTifTilDetailAction.do?tilcod=2002222288973")</f>
        <v>https://opac.libnet.pref.okayama.jp/licsxp-opac/WOpacMsgNewListToTifTilDetailAction.do?tilcod=2002222288973</v>
      </c>
    </row>
    <row r="1430" spans="1:9" x14ac:dyDescent="0.4">
      <c r="A1430" t="str">
        <f>"〔岡山県立津山東高等学校〕東雲"</f>
        <v>〔岡山県立津山東高等学校〕東雲</v>
      </c>
      <c r="B1430" s="1" t="str">
        <f t="shared" si="81"/>
        <v>〔岡山県立津山東高等学校〕東雲</v>
      </c>
      <c r="C1430" t="str">
        <f>"オカヤマケンリツ　ツヤマヒガシ　コウトウ　ガッコウ＊シノノメ"</f>
        <v>オカヤマケンリツ　ツヤマヒガシ　コウトウ　ガッコウ＊シノノメ</v>
      </c>
      <c r="D1430" t="str">
        <f>"津山東高等学校"</f>
        <v>津山東高等学校</v>
      </c>
      <c r="E1430" t="str">
        <f>"ツヤマヒガシコウトウガッコウ"</f>
        <v>ツヤマヒガシコウトウガッコウ</v>
      </c>
      <c r="F1430" t="str">
        <f t="shared" si="82"/>
        <v>津山</v>
      </c>
      <c r="G1430" t="str">
        <f t="shared" si="83"/>
        <v>年刊</v>
      </c>
      <c r="H1430" t="str">
        <f>"2002222284931"</f>
        <v>2002222284931</v>
      </c>
      <c r="I1430" t="str">
        <f>HYPERLINK("#", "https://opac.libnet.pref.okayama.jp/licsxp-opac/WOpacMsgNewListToTifTilDetailAction.do?tilcod=2002222284931")</f>
        <v>https://opac.libnet.pref.okayama.jp/licsxp-opac/WOpacMsgNewListToTifTilDetailAction.do?tilcod=2002222284931</v>
      </c>
    </row>
    <row r="1431" spans="1:9" x14ac:dyDescent="0.4">
      <c r="A1431" t="str">
        <f>"岡山県立東備支援学校学校案内"</f>
        <v>岡山県立東備支援学校学校案内</v>
      </c>
      <c r="B1431" s="1" t="str">
        <f t="shared" si="81"/>
        <v>岡山県立東備支援学校学校案内</v>
      </c>
      <c r="C1431" t="str">
        <f>"オカヤマケンリツ トウビ シエン ガッコウ ガッコウ アンナイ"</f>
        <v>オカヤマケンリツ トウビ シエン ガッコウ ガッコウ アンナイ</v>
      </c>
      <c r="D1431" t="str">
        <f>"岡山県立東備支援学校"</f>
        <v>岡山県立東備支援学校</v>
      </c>
      <c r="E1431" t="str">
        <f>"オカヤマケンリツ トウビ シエン ガッコウ"</f>
        <v>オカヤマケンリツ トウビ シエン ガッコウ</v>
      </c>
      <c r="F1431" t="str">
        <f>"岡山"</f>
        <v>岡山</v>
      </c>
      <c r="G1431" t="str">
        <f t="shared" si="83"/>
        <v>年刊</v>
      </c>
      <c r="H1431" t="str">
        <f>"2002222335786"</f>
        <v>2002222335786</v>
      </c>
      <c r="I1431" t="str">
        <f>HYPERLINK("#", "https://opac.libnet.pref.okayama.jp/licsxp-opac/WOpacMsgNewListToTifTilDetailAction.do?tilcod=2002222335786")</f>
        <v>https://opac.libnet.pref.okayama.jp/licsxp-opac/WOpacMsgNewListToTifTilDetailAction.do?tilcod=2002222335786</v>
      </c>
    </row>
    <row r="1432" spans="1:9" x14ac:dyDescent="0.4">
      <c r="A1432" t="str">
        <f>"〔岡山県立東備養護学校〕あゆみ"</f>
        <v>〔岡山県立東備養護学校〕あゆみ</v>
      </c>
      <c r="B1432" s="1" t="str">
        <f t="shared" si="81"/>
        <v>〔岡山県立東備養護学校〕あゆみ</v>
      </c>
      <c r="C1432" t="str">
        <f>"オカヤマケンリツ　トウビ　ヨウゴ　ガッコウ＊アユミ"</f>
        <v>オカヤマケンリツ　トウビ　ヨウゴ　ガッコウ＊アユミ</v>
      </c>
      <c r="D1432" t="str">
        <f>"東備養護学校"</f>
        <v>東備養護学校</v>
      </c>
      <c r="E1432" t="str">
        <f>"トウビ ヨウゴ ガッコウ"</f>
        <v>トウビ ヨウゴ ガッコウ</v>
      </c>
      <c r="F1432" t="str">
        <f>"備前"</f>
        <v>備前</v>
      </c>
      <c r="G1432" t="str">
        <f t="shared" si="83"/>
        <v>年刊</v>
      </c>
      <c r="H1432" t="str">
        <f>"2002222282901"</f>
        <v>2002222282901</v>
      </c>
      <c r="I1432" t="str">
        <f>HYPERLINK("#", "https://opac.libnet.pref.okayama.jp/licsxp-opac/WOpacMsgNewListToTifTilDetailAction.do?tilcod=2002222282901")</f>
        <v>https://opac.libnet.pref.okayama.jp/licsxp-opac/WOpacMsgNewListToTifTilDetailAction.do?tilcod=2002222282901</v>
      </c>
    </row>
    <row r="1433" spans="1:9" x14ac:dyDescent="0.4">
      <c r="A1433" t="str">
        <f>"岡山県立図書館児童図書研究室だより"</f>
        <v>岡山県立図書館児童図書研究室だより</v>
      </c>
      <c r="B1433" s="1" t="str">
        <f t="shared" si="81"/>
        <v>岡山県立図書館児童図書研究室だより</v>
      </c>
      <c r="C1433" t="str">
        <f>"オカヤマケンリツ トショカン ジドウ トショ ケンキュウシツ ダヨリ"</f>
        <v>オカヤマケンリツ トショカン ジドウ トショ ケンキュウシツ ダヨリ</v>
      </c>
      <c r="D1433" t="str">
        <f>"岡山県立図書館"</f>
        <v>岡山県立図書館</v>
      </c>
      <c r="E1433" t="str">
        <f>"オカヤマケンリツ トショカン"</f>
        <v>オカヤマケンリツ トショカン</v>
      </c>
      <c r="F1433" t="str">
        <f>"岡山"</f>
        <v>岡山</v>
      </c>
      <c r="G1433" t="str">
        <f>"不定期刊"</f>
        <v>不定期刊</v>
      </c>
      <c r="H1433" t="str">
        <f>"2002222331387"</f>
        <v>2002222331387</v>
      </c>
      <c r="I1433" t="str">
        <f>HYPERLINK("#", "https://opac.libnet.pref.okayama.jp/licsxp-opac/WOpacMsgNewListToTifTilDetailAction.do?tilcod=2002222331387")</f>
        <v>https://opac.libnet.pref.okayama.jp/licsxp-opac/WOpacMsgNewListToTifTilDetailAction.do?tilcod=2002222331387</v>
      </c>
    </row>
    <row r="1434" spans="1:9" x14ac:dyDescent="0.4">
      <c r="A1434" t="str">
        <f>"岡山県立図書館メールマガジン PC版"</f>
        <v>岡山県立図書館メールマガジン PC版</v>
      </c>
      <c r="B1434" s="1" t="str">
        <f t="shared" si="81"/>
        <v>岡山県立図書館メールマガジン PC版</v>
      </c>
      <c r="C1434" t="str">
        <f>"オカヤマケンリツ トショカン メール マガジン ピーシーバン"</f>
        <v>オカヤマケンリツ トショカン メール マガジン ピーシーバン</v>
      </c>
      <c r="D1434" t="str">
        <f>"岡山県立図書館"</f>
        <v>岡山県立図書館</v>
      </c>
      <c r="E1434" t="str">
        <f>"オカヤマケンリツ トショカン"</f>
        <v>オカヤマケンリツ トショカン</v>
      </c>
      <c r="F1434" t="str">
        <f>"岡山"</f>
        <v>岡山</v>
      </c>
      <c r="G1434" t="str">
        <f>"月刊"</f>
        <v>月刊</v>
      </c>
      <c r="H1434" t="str">
        <f>"2002222300607"</f>
        <v>2002222300607</v>
      </c>
      <c r="I1434" t="str">
        <f>HYPERLINK("#", "https://opac.libnet.pref.okayama.jp/licsxp-opac/WOpacMsgNewListToTifTilDetailAction.do?tilcod=2002222300607")</f>
        <v>https://opac.libnet.pref.okayama.jp/licsxp-opac/WOpacMsgNewListToTifTilDetailAction.do?tilcod=2002222300607</v>
      </c>
    </row>
    <row r="1435" spans="1:9" x14ac:dyDescent="0.4">
      <c r="A1435" t="str">
        <f>"〔岡山県立苫田高等学校〕とまた"</f>
        <v>〔岡山県立苫田高等学校〕とまた</v>
      </c>
      <c r="B1435" s="1" t="str">
        <f t="shared" si="81"/>
        <v>〔岡山県立苫田高等学校〕とまた</v>
      </c>
      <c r="C1435" t="str">
        <f>"オカヤマケンリツ　トマタ　コウトウガッコウ＊トマタ"</f>
        <v>オカヤマケンリツ　トマタ　コウトウガッコウ＊トマタ</v>
      </c>
      <c r="D1435" t="str">
        <f>"苫田高等学校"</f>
        <v>苫田高等学校</v>
      </c>
      <c r="E1435" t="str">
        <f>"トマタコウトウガッコウ"</f>
        <v>トマタコウトウガッコウ</v>
      </c>
      <c r="F1435" t="str">
        <f>"〔奥津町（苫田郡）〕"</f>
        <v>〔奥津町（苫田郡）〕</v>
      </c>
      <c r="G1435" t="str">
        <f>"年刊"</f>
        <v>年刊</v>
      </c>
      <c r="H1435" t="str">
        <f>"2002222301365"</f>
        <v>2002222301365</v>
      </c>
      <c r="I1435" t="str">
        <f>HYPERLINK("#", "https://opac.libnet.pref.okayama.jp/licsxp-opac/WOpacMsgNewListToTifTilDetailAction.do?tilcod=2002222301365")</f>
        <v>https://opac.libnet.pref.okayama.jp/licsxp-opac/WOpacMsgNewListToTifTilDetailAction.do?tilcod=2002222301365</v>
      </c>
    </row>
    <row r="1436" spans="1:9" x14ac:dyDescent="0.4">
      <c r="A1436" t="str">
        <f>"〔岡山県立農業試験場〕時報"</f>
        <v>〔岡山県立農業試験場〕時報</v>
      </c>
      <c r="B1436" s="1" t="str">
        <f t="shared" si="81"/>
        <v>〔岡山県立農業試験場〕時報</v>
      </c>
      <c r="C1436" t="str">
        <f>"オカヤマケンリツ ノウギョウ シケンジョウ ジホウ"</f>
        <v>オカヤマケンリツ ノウギョウ シケンジョウ ジホウ</v>
      </c>
      <c r="D1436" t="str">
        <f>"岡山県立農業試験場場友会"</f>
        <v>岡山県立農業試験場場友会</v>
      </c>
      <c r="E1436" t="str">
        <f>"オカヤマケンリツ ノウギョウ シケンジョウ ジョウユウカイ"</f>
        <v>オカヤマケンリツ ノウギョウ シケンジョウ ジョウユウカイ</v>
      </c>
      <c r="F1436" t="str">
        <f>"山陽町（赤磐郡）"</f>
        <v>山陽町（赤磐郡）</v>
      </c>
      <c r="G1436" t="str">
        <f>"月刊"</f>
        <v>月刊</v>
      </c>
      <c r="H1436" t="str">
        <f>"2002222281143"</f>
        <v>2002222281143</v>
      </c>
      <c r="I1436" t="str">
        <f>HYPERLINK("#", "https://opac.libnet.pref.okayama.jp/licsxp-opac/WOpacMsgNewListToTifTilDetailAction.do?tilcod=2002222281143")</f>
        <v>https://opac.libnet.pref.okayama.jp/licsxp-opac/WOpacMsgNewListToTifTilDetailAction.do?tilcod=2002222281143</v>
      </c>
    </row>
    <row r="1437" spans="1:9" x14ac:dyDescent="0.4">
      <c r="A1437" t="str">
        <f>"岡山県立農業大学校学生研究論文集"</f>
        <v>岡山県立農業大学校学生研究論文集</v>
      </c>
      <c r="B1437" s="1" t="str">
        <f t="shared" si="81"/>
        <v>岡山県立農業大学校学生研究論文集</v>
      </c>
      <c r="C1437" t="str">
        <f>"オカヤマケンリツ　ノウギョウ　ダイガッコウ　ガクセイ　ケンキュウ　ロンブンシュウ"</f>
        <v>オカヤマケンリツ　ノウギョウ　ダイガッコウ　ガクセイ　ケンキュウ　ロンブンシュウ</v>
      </c>
      <c r="D1437" t="str">
        <f>"岡山県立農業大学校"</f>
        <v>岡山県立農業大学校</v>
      </c>
      <c r="E1437" t="str">
        <f>"オカヤマケンリツ ノウギョウ ダイガッコウ"</f>
        <v>オカヤマケンリツ ノウギョウ ダイガッコウ</v>
      </c>
      <c r="F1437" t="str">
        <f>""</f>
        <v/>
      </c>
      <c r="G1437" t="str">
        <f>"年刊"</f>
        <v>年刊</v>
      </c>
      <c r="H1437" t="str">
        <f>"2002222288343"</f>
        <v>2002222288343</v>
      </c>
      <c r="I1437" t="str">
        <f>HYPERLINK("#", "https://opac.libnet.pref.okayama.jp/licsxp-opac/WOpacMsgNewListToTifTilDetailAction.do?tilcod=2002222288343")</f>
        <v>https://opac.libnet.pref.okayama.jp/licsxp-opac/WOpacMsgNewListToTifTilDetailAction.do?tilcod=2002222288343</v>
      </c>
    </row>
    <row r="1438" spans="1:9" x14ac:dyDescent="0.4">
      <c r="A1438" t="str">
        <f>"〔岡山県立農事試験場〕時報"</f>
        <v>〔岡山県立農事試験場〕時報</v>
      </c>
      <c r="B1438" s="1" t="str">
        <f t="shared" si="81"/>
        <v>〔岡山県立農事試験場〕時報</v>
      </c>
      <c r="C1438" t="str">
        <f>"オカヤマケンリツ　ノウジ　シケンジョウ＊ジホウ"</f>
        <v>オカヤマケンリツ　ノウジ　シケンジョウ＊ジホウ</v>
      </c>
      <c r="D1438" t="str">
        <f>"岡山県立農事試験場"</f>
        <v>岡山県立農事試験場</v>
      </c>
      <c r="E1438" t="str">
        <f>"オカヤマケンリツ ノウジ シケンジョウ"</f>
        <v>オカヤマケンリツ ノウジ シケンジョウ</v>
      </c>
      <c r="F1438" t="str">
        <f>""</f>
        <v/>
      </c>
      <c r="G1438" t="str">
        <f>"頻度不明"</f>
        <v>頻度不明</v>
      </c>
      <c r="H1438" t="str">
        <f>"2002222289783"</f>
        <v>2002222289783</v>
      </c>
      <c r="I1438" t="str">
        <f>HYPERLINK("#", "https://opac.libnet.pref.okayama.jp/licsxp-opac/WOpacMsgNewListToTifTilDetailAction.do?tilcod=2002222289783")</f>
        <v>https://opac.libnet.pref.okayama.jp/licsxp-opac/WOpacMsgNewListToTifTilDetailAction.do?tilcod=2002222289783</v>
      </c>
    </row>
    <row r="1439" spans="1:9" x14ac:dyDescent="0.4">
      <c r="A1439" t="str">
        <f>"岡山県立博物館友の会だより"</f>
        <v>岡山県立博物館友の会だより</v>
      </c>
      <c r="B1439" s="1" t="str">
        <f t="shared" si="81"/>
        <v>岡山県立博物館友の会だより</v>
      </c>
      <c r="C1439" t="str">
        <f>"オカヤマケンリツ　ハクブツカン　トモ　ノ　カイ　ダヨリ"</f>
        <v>オカヤマケンリツ　ハクブツカン　トモ　ノ　カイ　ダヨリ</v>
      </c>
      <c r="D1439" t="str">
        <f>"岡山県立博物館友の会"</f>
        <v>岡山県立博物館友の会</v>
      </c>
      <c r="E1439" t="str">
        <f>"オカヤマケンリツハクブツカントモノカイ"</f>
        <v>オカヤマケンリツハクブツカントモノカイ</v>
      </c>
      <c r="F1439" t="str">
        <f>"岡山"</f>
        <v>岡山</v>
      </c>
      <c r="G1439" t="str">
        <f>"季刊"</f>
        <v>季刊</v>
      </c>
      <c r="H1439" t="str">
        <f>"2002222301166"</f>
        <v>2002222301166</v>
      </c>
      <c r="I1439" t="str">
        <f>HYPERLINK("#", "https://opac.libnet.pref.okayama.jp/licsxp-opac/WOpacMsgNewListToTifTilDetailAction.do?tilcod=2002222301166")</f>
        <v>https://opac.libnet.pref.okayama.jp/licsxp-opac/WOpacMsgNewListToTifTilDetailAction.do?tilcod=2002222301166</v>
      </c>
    </row>
    <row r="1440" spans="1:9" x14ac:dyDescent="0.4">
      <c r="A1440" t="str">
        <f>"〔岡山県立林野高等学校〕道標；林野高校生徒会誌"</f>
        <v>〔岡山県立林野高等学校〕道標；林野高校生徒会誌</v>
      </c>
      <c r="B1440" s="1" t="str">
        <f t="shared" si="81"/>
        <v>〔岡山県立林野高等学校〕道標；林野高校生徒会誌</v>
      </c>
      <c r="C1440" t="str">
        <f>"オカヤマケンリツ　ハヤシノ　コウトウ　ガッコウ＊ドウヒョウ＊ハヤシノ　コウコウ　セイトカイシ"</f>
        <v>オカヤマケンリツ　ハヤシノ　コウトウ　ガッコウ＊ドウヒョウ＊ハヤシノ　コウコウ　セイトカイシ</v>
      </c>
      <c r="D1440" t="str">
        <f>"林野高等学校"</f>
        <v>林野高等学校</v>
      </c>
      <c r="E1440" t="str">
        <f>"ハヤシノ コウトウ ガッコウ"</f>
        <v>ハヤシノ コウトウ ガッコウ</v>
      </c>
      <c r="F1440" t="str">
        <f>"美作"</f>
        <v>美作</v>
      </c>
      <c r="G1440" t="str">
        <f>"年刊"</f>
        <v>年刊</v>
      </c>
      <c r="H1440" t="str">
        <f>"2002222283151"</f>
        <v>2002222283151</v>
      </c>
      <c r="I1440" t="str">
        <f>HYPERLINK("#", "https://opac.libnet.pref.okayama.jp/licsxp-opac/WOpacMsgNewListToTifTilDetailAction.do?tilcod=2002222283151")</f>
        <v>https://opac.libnet.pref.okayama.jp/licsxp-opac/WOpacMsgNewListToTifTilDetailAction.do?tilcod=2002222283151</v>
      </c>
    </row>
    <row r="1441" spans="1:9" x14ac:dyDescent="0.4">
      <c r="A1441" t="str">
        <f>"〔岡山県立早島養護学校中学部生徒会〕足跡"</f>
        <v>〔岡山県立早島養護学校中学部生徒会〕足跡</v>
      </c>
      <c r="B1441" s="1" t="str">
        <f t="shared" si="81"/>
        <v>〔岡山県立早島養護学校中学部生徒会〕足跡</v>
      </c>
      <c r="C1441" t="str">
        <f>"オカヤマケンリツ　ハヤシマ　ヨウゴ　ガッコウ　チュウガクブ　セイトカイ＊アシアト"</f>
        <v>オカヤマケンリツ　ハヤシマ　ヨウゴ　ガッコウ　チュウガクブ　セイトカイ＊アシアト</v>
      </c>
      <c r="D1441" t="str">
        <f>"早島養護学校中学部生徒会"</f>
        <v>早島養護学校中学部生徒会</v>
      </c>
      <c r="E1441" t="str">
        <f>"ハヤシマ　ヨウゴ　ガッコウ　チュウガクブ　セイトカイ"</f>
        <v>ハヤシマ　ヨウゴ　ガッコウ　チュウガクブ　セイトカイ</v>
      </c>
      <c r="F1441" t="str">
        <f>""</f>
        <v/>
      </c>
      <c r="G1441" t="str">
        <f>"頻度不明"</f>
        <v>頻度不明</v>
      </c>
      <c r="H1441" t="str">
        <f>"2002222287823"</f>
        <v>2002222287823</v>
      </c>
      <c r="I1441" t="str">
        <f>HYPERLINK("#", "https://opac.libnet.pref.okayama.jp/licsxp-opac/WOpacMsgNewListToTifTilDetailAction.do?tilcod=2002222287823")</f>
        <v>https://opac.libnet.pref.okayama.jp/licsxp-opac/WOpacMsgNewListToTifTilDetailAction.do?tilcod=2002222287823</v>
      </c>
    </row>
    <row r="1442" spans="1:9" x14ac:dyDescent="0.4">
      <c r="A1442" t="str">
        <f>"〔岡山県立早島養護学校〕希望"</f>
        <v>〔岡山県立早島養護学校〕希望</v>
      </c>
      <c r="B1442" s="1" t="str">
        <f t="shared" si="81"/>
        <v>〔岡山県立早島養護学校〕希望</v>
      </c>
      <c r="C1442" t="str">
        <f>"オカヤマケンリツ　ハヤシマ　ヨウゴ　ガッコウ＊キボウ"</f>
        <v>オカヤマケンリツ　ハヤシマ　ヨウゴ　ガッコウ＊キボウ</v>
      </c>
      <c r="D1442" t="str">
        <f>"早島養護学校"</f>
        <v>早島養護学校</v>
      </c>
      <c r="E1442" t="str">
        <f>"ハヤシマヨウゴガッコウ"</f>
        <v>ハヤシマヨウゴガッコウ</v>
      </c>
      <c r="F1442" t="str">
        <f>""</f>
        <v/>
      </c>
      <c r="G1442" t="str">
        <f>"年刊"</f>
        <v>年刊</v>
      </c>
      <c r="H1442" t="str">
        <f>"2002222289673"</f>
        <v>2002222289673</v>
      </c>
      <c r="I1442" t="str">
        <f>HYPERLINK("#", "https://opac.libnet.pref.okayama.jp/licsxp-opac/WOpacMsgNewListToTifTilDetailAction.do?tilcod=2002222289673")</f>
        <v>https://opac.libnet.pref.okayama.jp/licsxp-opac/WOpacMsgNewListToTifTilDetailAction.do?tilcod=2002222289673</v>
      </c>
    </row>
    <row r="1443" spans="1:9" x14ac:dyDescent="0.4">
      <c r="A1443" t="str">
        <f>"〔岡山県立早島養護学校〕実践のあゆみ"</f>
        <v>〔岡山県立早島養護学校〕実践のあゆみ</v>
      </c>
      <c r="B1443" s="1" t="str">
        <f t="shared" si="81"/>
        <v>〔岡山県立早島養護学校〕実践のあゆみ</v>
      </c>
      <c r="C1443" t="str">
        <f>"オカヤマケンリツ　ハヤシマ　ヨウゴ　ガッコウ＊ジッセン　ノ　アユミ"</f>
        <v>オカヤマケンリツ　ハヤシマ　ヨウゴ　ガッコウ＊ジッセン　ノ　アユミ</v>
      </c>
      <c r="D1443" t="str">
        <f>"早島養護学校"</f>
        <v>早島養護学校</v>
      </c>
      <c r="E1443" t="str">
        <f>"ハヤシマヨウゴガッコウ"</f>
        <v>ハヤシマヨウゴガッコウ</v>
      </c>
      <c r="F1443" t="str">
        <f>"早島町（都窪郡）"</f>
        <v>早島町（都窪郡）</v>
      </c>
      <c r="G1443" t="str">
        <f>"年刊"</f>
        <v>年刊</v>
      </c>
      <c r="H1443" t="str">
        <f>"2002222280401"</f>
        <v>2002222280401</v>
      </c>
      <c r="I1443" t="str">
        <f>HYPERLINK("#", "https://opac.libnet.pref.okayama.jp/licsxp-opac/WOpacMsgNewListToTifTilDetailAction.do?tilcod=2002222280401")</f>
        <v>https://opac.libnet.pref.okayama.jp/licsxp-opac/WOpacMsgNewListToTifTilDetailAction.do?tilcod=2002222280401</v>
      </c>
    </row>
    <row r="1444" spans="1:9" x14ac:dyDescent="0.4">
      <c r="A1444" t="str">
        <f>"〔岡山県立早島養護学校〕つくしんぼ"</f>
        <v>〔岡山県立早島養護学校〕つくしんぼ</v>
      </c>
      <c r="B1444" s="1" t="str">
        <f t="shared" si="81"/>
        <v>〔岡山県立早島養護学校〕つくしんぼ</v>
      </c>
      <c r="C1444" t="str">
        <f>"オカヤマケンリツ　ハヤシマ　ヨウゴ　ガッコウ＊ツクシンボ"</f>
        <v>オカヤマケンリツ　ハヤシマ　ヨウゴ　ガッコウ＊ツクシンボ</v>
      </c>
      <c r="D1444" t="str">
        <f>"早島養護学校"</f>
        <v>早島養護学校</v>
      </c>
      <c r="E1444" t="str">
        <f>"ハヤシマヨウゴガッコウ"</f>
        <v>ハヤシマヨウゴガッコウ</v>
      </c>
      <c r="F1444" t="str">
        <f>"早島町（都窪郡）"</f>
        <v>早島町（都窪郡）</v>
      </c>
      <c r="G1444" t="str">
        <f>"頻度不明"</f>
        <v>頻度不明</v>
      </c>
      <c r="H1444" t="str">
        <f>"2002222284513"</f>
        <v>2002222284513</v>
      </c>
      <c r="I1444" t="str">
        <f>HYPERLINK("#", "https://opac.libnet.pref.okayama.jp/licsxp-opac/WOpacMsgNewListToTifTilDetailAction.do?tilcod=2002222284513")</f>
        <v>https://opac.libnet.pref.okayama.jp/licsxp-opac/WOpacMsgNewListToTifTilDetailAction.do?tilcod=2002222284513</v>
      </c>
    </row>
    <row r="1445" spans="1:9" x14ac:dyDescent="0.4">
      <c r="A1445" t="str">
        <f>"岡山県立東岡山工業高等学校研究紀要"</f>
        <v>岡山県立東岡山工業高等学校研究紀要</v>
      </c>
      <c r="B1445" s="1" t="str">
        <f t="shared" si="81"/>
        <v>岡山県立東岡山工業高等学校研究紀要</v>
      </c>
      <c r="C1445" t="str">
        <f>"オカヤマケンリツ　ヒガシ　オカヤマ　コウギョウ　コウトウ　ガッコウ　ケンキュウ　キヨウ"</f>
        <v>オカヤマケンリツ　ヒガシ　オカヤマ　コウギョウ　コウトウ　ガッコウ　ケンキュウ　キヨウ</v>
      </c>
      <c r="D1445" t="str">
        <f>"東岡山工業高等学校"</f>
        <v>東岡山工業高等学校</v>
      </c>
      <c r="E1445" t="str">
        <f>"ヒガシ オカヤマ コウギョウ コウトウ ガッコウ"</f>
        <v>ヒガシ オカヤマ コウギョウ コウトウ ガッコウ</v>
      </c>
      <c r="F1445" t="str">
        <f>"岡山"</f>
        <v>岡山</v>
      </c>
      <c r="G1445" t="str">
        <f>"頻度不明"</f>
        <v>頻度不明</v>
      </c>
      <c r="H1445" t="str">
        <f>"2002222288983"</f>
        <v>2002222288983</v>
      </c>
      <c r="I1445" t="str">
        <f>HYPERLINK("#", "https://opac.libnet.pref.okayama.jp/licsxp-opac/WOpacMsgNewListToTifTilDetailAction.do?tilcod=2002222288983")</f>
        <v>https://opac.libnet.pref.okayama.jp/licsxp-opac/WOpacMsgNewListToTifTilDetailAction.do?tilcod=2002222288983</v>
      </c>
    </row>
    <row r="1446" spans="1:9" x14ac:dyDescent="0.4">
      <c r="A1446" t="str">
        <f>"〔岡山県立備作高等学校〕匝稜；職員研修誌"</f>
        <v>〔岡山県立備作高等学校〕匝稜；職員研修誌</v>
      </c>
      <c r="B1446" s="1" t="str">
        <f t="shared" si="81"/>
        <v>〔岡山県立備作高等学校〕匝稜；職員研修誌</v>
      </c>
      <c r="C1446" t="str">
        <f>"オカヤマケンリツ　ビサク　コウトウ　ガッコウ＊ソウリョウ＊ショクイン　ケンシュウシ"</f>
        <v>オカヤマケンリツ　ビサク　コウトウ　ガッコウ＊ソウリョウ＊ショクイン　ケンシュウシ</v>
      </c>
      <c r="D1446" t="str">
        <f>"備作高等学校"</f>
        <v>備作高等学校</v>
      </c>
      <c r="E1446" t="str">
        <f>"ビサクコウトウガッコウ"</f>
        <v>ビサクコウトウガッコウ</v>
      </c>
      <c r="F1446" t="str">
        <f>"吉井町（岡山県）"</f>
        <v>吉井町（岡山県）</v>
      </c>
      <c r="G1446" t="str">
        <f>"年刊"</f>
        <v>年刊</v>
      </c>
      <c r="H1446" t="str">
        <f>"2002222283121"</f>
        <v>2002222283121</v>
      </c>
      <c r="I1446" t="str">
        <f>HYPERLINK("#", "https://opac.libnet.pref.okayama.jp/licsxp-opac/WOpacMsgNewListToTifTilDetailAction.do?tilcod=2002222283121")</f>
        <v>https://opac.libnet.pref.okayama.jp/licsxp-opac/WOpacMsgNewListToTifTilDetailAction.do?tilcod=2002222283121</v>
      </c>
    </row>
    <row r="1447" spans="1:9" x14ac:dyDescent="0.4">
      <c r="A1447" t="str">
        <f>"岡山県立美術館紀要"</f>
        <v>岡山県立美術館紀要</v>
      </c>
      <c r="B1447" s="1" t="str">
        <f t="shared" si="81"/>
        <v>岡山県立美術館紀要</v>
      </c>
      <c r="C1447" t="str">
        <f>"オカヤマケンリツ　ビジュツカン　キヨウ"</f>
        <v>オカヤマケンリツ　ビジュツカン　キヨウ</v>
      </c>
      <c r="D1447" t="str">
        <f>"岡山県立美術館"</f>
        <v>岡山県立美術館</v>
      </c>
      <c r="E1447" t="str">
        <f>"オカヤマケンリツ ビジュツカン"</f>
        <v>オカヤマケンリツ ビジュツカン</v>
      </c>
      <c r="F1447" t="str">
        <f>"岡山"</f>
        <v>岡山</v>
      </c>
      <c r="G1447" t="str">
        <f>"年刊"</f>
        <v>年刊</v>
      </c>
      <c r="H1447" t="str">
        <f>"2002222302072"</f>
        <v>2002222302072</v>
      </c>
      <c r="I1447" t="str">
        <f>HYPERLINK("#", "https://opac.libnet.pref.okayama.jp/licsxp-opac/WOpacMsgNewListToTifTilDetailAction.do?tilcod=2002222302072")</f>
        <v>https://opac.libnet.pref.okayama.jp/licsxp-opac/WOpacMsgNewListToTifTilDetailAction.do?tilcod=2002222302072</v>
      </c>
    </row>
    <row r="1448" spans="1:9" x14ac:dyDescent="0.4">
      <c r="A1448" t="str">
        <f>"[岡山県立備前高等学校JRC機関誌]　People"</f>
        <v>[岡山県立備前高等学校JRC機関誌]　People</v>
      </c>
      <c r="B1448" s="1" t="str">
        <f t="shared" si="81"/>
        <v>[岡山県立備前高等学校JRC機関誌]　People</v>
      </c>
      <c r="C1448" t="str">
        <f>"オカヤマケンリツ ビゼン コウトウ ガッコウ ジェイ アール シー キカンシ ピープル"</f>
        <v>オカヤマケンリツ ビゼン コウトウ ガッコウ ジェイ アール シー キカンシ ピープル</v>
      </c>
      <c r="D1448" t="str">
        <f>"岡山県立備前高等学校JRC（青少年赤十字団）"</f>
        <v>岡山県立備前高等学校JRC（青少年赤十字団）</v>
      </c>
      <c r="E1448" t="str">
        <f>"オカヤマケンリツ ビゼン コウトウ ガッコウ ジェイ アール シー セイショウネン セキジュウジダン"</f>
        <v>オカヤマケンリツ ビゼン コウトウ ガッコウ ジェイ アール シー セイショウネン セキジュウジダン</v>
      </c>
      <c r="F1448" t="str">
        <f>"備前"</f>
        <v>備前</v>
      </c>
      <c r="G1448" t="str">
        <f>"頻度不明"</f>
        <v>頻度不明</v>
      </c>
      <c r="H1448" t="str">
        <f>"2002222328525"</f>
        <v>2002222328525</v>
      </c>
      <c r="I1448" t="str">
        <f>HYPERLINK("#", "https://opac.libnet.pref.okayama.jp/licsxp-opac/WOpacMsgNewListToTifTilDetailAction.do?tilcod=2002222328525")</f>
        <v>https://opac.libnet.pref.okayama.jp/licsxp-opac/WOpacMsgNewListToTifTilDetailAction.do?tilcod=2002222328525</v>
      </c>
    </row>
    <row r="1449" spans="1:9" x14ac:dyDescent="0.4">
      <c r="A1449" t="str">
        <f>"〔岡山県立備前東高等学校〕備前東"</f>
        <v>〔岡山県立備前東高等学校〕備前東</v>
      </c>
      <c r="B1449" s="1" t="str">
        <f t="shared" si="81"/>
        <v>〔岡山県立備前東高等学校〕備前東</v>
      </c>
      <c r="C1449" t="str">
        <f>"オカヤマケンリツ　ビゼン　ヒガシ　コウトウ　ガッコウ＊ビゼン　ヒガシ"</f>
        <v>オカヤマケンリツ　ビゼン　ヒガシ　コウトウ　ガッコウ＊ビゼン　ヒガシ</v>
      </c>
      <c r="D1449" t="str">
        <f>"備前東高等学校"</f>
        <v>備前東高等学校</v>
      </c>
      <c r="E1449" t="str">
        <f>"ビゼンヒガシコウトウガッコウ"</f>
        <v>ビゼンヒガシコウトウガッコウ</v>
      </c>
      <c r="F1449" t="str">
        <f>"備前"</f>
        <v>備前</v>
      </c>
      <c r="G1449" t="str">
        <f>"年刊"</f>
        <v>年刊</v>
      </c>
      <c r="H1449" t="str">
        <f>"2002222288243"</f>
        <v>2002222288243</v>
      </c>
      <c r="I1449" t="str">
        <f>HYPERLINK("#", "https://opac.libnet.pref.okayama.jp/licsxp-opac/WOpacMsgNewListToTifTilDetailAction.do?tilcod=2002222288243")</f>
        <v>https://opac.libnet.pref.okayama.jp/licsxp-opac/WOpacMsgNewListToTifTilDetailAction.do?tilcod=2002222288243</v>
      </c>
    </row>
    <row r="1450" spans="1:9" x14ac:dyDescent="0.4">
      <c r="A1450" t="str">
        <f>"〔岡山県立備前東高等学校〕紀要"</f>
        <v>〔岡山県立備前東高等学校〕紀要</v>
      </c>
      <c r="B1450" s="1" t="str">
        <f t="shared" si="81"/>
        <v>〔岡山県立備前東高等学校〕紀要</v>
      </c>
      <c r="C1450" t="str">
        <f>"オカヤマケンリツ　ビゼンヒガシ　コウトウ　ガッコウ＊キヨウ"</f>
        <v>オカヤマケンリツ　ビゼンヒガシ　コウトウ　ガッコウ＊キヨウ</v>
      </c>
      <c r="D1450" t="str">
        <f>"備前東高等学校"</f>
        <v>備前東高等学校</v>
      </c>
      <c r="E1450" t="str">
        <f>"ビゼンヒガシコウトウガッコウ"</f>
        <v>ビゼンヒガシコウトウガッコウ</v>
      </c>
      <c r="F1450" t="str">
        <f>"備前"</f>
        <v>備前</v>
      </c>
      <c r="G1450" t="str">
        <f>"年刊"</f>
        <v>年刊</v>
      </c>
      <c r="H1450" t="str">
        <f>"2002222288993"</f>
        <v>2002222288993</v>
      </c>
      <c r="I1450" t="str">
        <f>HYPERLINK("#", "https://opac.libnet.pref.okayama.jp/licsxp-opac/WOpacMsgNewListToTifTilDetailAction.do?tilcod=2002222288993")</f>
        <v>https://opac.libnet.pref.okayama.jp/licsxp-opac/WOpacMsgNewListToTifTilDetailAction.do?tilcod=2002222288993</v>
      </c>
    </row>
    <row r="1451" spans="1:9" x14ac:dyDescent="0.4">
      <c r="A1451" t="str">
        <f>"〔岡山県立備前東高等学校〕図書館報"</f>
        <v>〔岡山県立備前東高等学校〕図書館報</v>
      </c>
      <c r="B1451" s="1" t="str">
        <f t="shared" si="81"/>
        <v>〔岡山県立備前東高等学校〕図書館報</v>
      </c>
      <c r="C1451" t="str">
        <f>"オカヤマケンリツ　ビゼンヒガシ　コウトウ　ガッコウ＊トショカンポウ"</f>
        <v>オカヤマケンリツ　ビゼンヒガシ　コウトウ　ガッコウ＊トショカンポウ</v>
      </c>
      <c r="D1451" t="str">
        <f>"岡山県立備前東高等学校図書委員会"</f>
        <v>岡山県立備前東高等学校図書委員会</v>
      </c>
      <c r="E1451" t="str">
        <f>"オカヤマケンリツビゼンヒガシコウトウガッコウトショイインカイ"</f>
        <v>オカヤマケンリツビゼンヒガシコウトウガッコウトショイインカイ</v>
      </c>
      <c r="F1451" t="str">
        <f>"備前"</f>
        <v>備前</v>
      </c>
      <c r="G1451" t="str">
        <f>"年刊"</f>
        <v>年刊</v>
      </c>
      <c r="H1451" t="str">
        <f>"2002222301857"</f>
        <v>2002222301857</v>
      </c>
      <c r="I1451" t="str">
        <f>HYPERLINK("#", "https://opac.libnet.pref.okayama.jp/licsxp-opac/WOpacMsgNewListToTifTilDetailAction.do?tilcod=2002222301857")</f>
        <v>https://opac.libnet.pref.okayama.jp/licsxp-opac/WOpacMsgNewListToTifTilDetailAction.do?tilcod=2002222301857</v>
      </c>
    </row>
    <row r="1452" spans="1:9" x14ac:dyDescent="0.4">
      <c r="A1452" t="str">
        <f>"[岡山県立水島工業高等学校]歴史研究クラブ紀要"</f>
        <v>[岡山県立水島工業高等学校]歴史研究クラブ紀要</v>
      </c>
      <c r="B1452" s="1" t="str">
        <f t="shared" si="81"/>
        <v>[岡山県立水島工業高等学校]歴史研究クラブ紀要</v>
      </c>
      <c r="C1452" t="str">
        <f>"オカヤマケンリツ ミズシマ コウトウ ガッコウ レキシ ケンキュウ クラブ キヨウ"</f>
        <v>オカヤマケンリツ ミズシマ コウトウ ガッコウ レキシ ケンキュウ クラブ キヨウ</v>
      </c>
      <c r="D1452" t="str">
        <f>"水島工業高等学校歴史研究クラブ"</f>
        <v>水島工業高等学校歴史研究クラブ</v>
      </c>
      <c r="E1452" t="str">
        <f>"ミズシマ コウギョウ コウトウ ガッコウ レキシ ケンキュウ クラブ"</f>
        <v>ミズシマ コウギョウ コウトウ ガッコウ レキシ ケンキュウ クラブ</v>
      </c>
      <c r="F1452" t="str">
        <f>"[倉敷]"</f>
        <v>[倉敷]</v>
      </c>
      <c r="G1452" t="str">
        <f>"頻度不明"</f>
        <v>頻度不明</v>
      </c>
      <c r="H1452" t="str">
        <f>"2002222330487"</f>
        <v>2002222330487</v>
      </c>
      <c r="I1452" t="str">
        <f>HYPERLINK("#", "https://opac.libnet.pref.okayama.jp/licsxp-opac/WOpacMsgNewListToTifTilDetailAction.do?tilcod=2002222330487")</f>
        <v>https://opac.libnet.pref.okayama.jp/licsxp-opac/WOpacMsgNewListToTifTilDetailAction.do?tilcod=2002222330487</v>
      </c>
    </row>
    <row r="1453" spans="1:9" x14ac:dyDescent="0.4">
      <c r="A1453" t="str">
        <f>"[岡山県立水島工業高等学校]歴史研究クラブ研究紀要"</f>
        <v>[岡山県立水島工業高等学校]歴史研究クラブ研究紀要</v>
      </c>
      <c r="B1453" s="1" t="str">
        <f t="shared" si="81"/>
        <v>[岡山県立水島工業高等学校]歴史研究クラブ研究紀要</v>
      </c>
      <c r="C1453" t="str">
        <f>"オカヤマケンリツ ミズシマ コウトウ ガッコウ レキシ ケンキュウ クラブ ケンキュウ キヨウ"</f>
        <v>オカヤマケンリツ ミズシマ コウトウ ガッコウ レキシ ケンキュウ クラブ ケンキュウ キヨウ</v>
      </c>
      <c r="D1453" t="str">
        <f>"水島工業高等学校歴史研究クラブ"</f>
        <v>水島工業高等学校歴史研究クラブ</v>
      </c>
      <c r="E1453" t="str">
        <f>"ミズシマ コウギョウ コウトウ ガッコウ レキシ ケンキュウ クラブ"</f>
        <v>ミズシマ コウギョウ コウトウ ガッコウ レキシ ケンキュウ クラブ</v>
      </c>
      <c r="F1453" t="str">
        <f>"[倉敷]"</f>
        <v>[倉敷]</v>
      </c>
      <c r="G1453" t="str">
        <f>"頻度不明"</f>
        <v>頻度不明</v>
      </c>
      <c r="H1453" t="str">
        <f>"2002222333486"</f>
        <v>2002222333486</v>
      </c>
      <c r="I1453" t="str">
        <f>HYPERLINK("#", "https://opac.libnet.pref.okayama.jp/licsxp-opac/WOpacMsgNewListToTifTilDetailAction.do?tilcod=2002222333486")</f>
        <v>https://opac.libnet.pref.okayama.jp/licsxp-opac/WOpacMsgNewListToTifTilDetailAction.do?tilcod=2002222333486</v>
      </c>
    </row>
    <row r="1454" spans="1:9" x14ac:dyDescent="0.4">
      <c r="A1454" t="str">
        <f>"岡山県立矢掛高等学校紀要"</f>
        <v>岡山県立矢掛高等学校紀要</v>
      </c>
      <c r="B1454" s="1" t="str">
        <f t="shared" si="81"/>
        <v>岡山県立矢掛高等学校紀要</v>
      </c>
      <c r="C1454" t="str">
        <f>"オカヤマケンリツ　ヤカゲ　コウトウ　ガッコウ　キヨウ"</f>
        <v>オカヤマケンリツ　ヤカゲ　コウトウ　ガッコウ　キヨウ</v>
      </c>
      <c r="D1454" t="str">
        <f>"矢掛高等学校"</f>
        <v>矢掛高等学校</v>
      </c>
      <c r="E1454" t="str">
        <f>"ヤカゲ コウトウ ガッコウ"</f>
        <v>ヤカゲ コウトウ ガッコウ</v>
      </c>
      <c r="F1454" t="str">
        <f>"矢掛町（小田郡）"</f>
        <v>矢掛町（小田郡）</v>
      </c>
      <c r="G1454" t="str">
        <f>"年刊"</f>
        <v>年刊</v>
      </c>
      <c r="H1454" t="str">
        <f>"2002222280311"</f>
        <v>2002222280311</v>
      </c>
      <c r="I1454" t="str">
        <f>HYPERLINK("#", "https://opac.libnet.pref.okayama.jp/licsxp-opac/WOpacMsgNewListToTifTilDetailAction.do?tilcod=2002222280311")</f>
        <v>https://opac.libnet.pref.okayama.jp/licsxp-opac/WOpacMsgNewListToTifTilDetailAction.do?tilcod=2002222280311</v>
      </c>
    </row>
    <row r="1455" spans="1:9" x14ac:dyDescent="0.4">
      <c r="A1455" t="str">
        <f>"〔岡山県立矢掛高等学校〕生徒会誌"</f>
        <v>〔岡山県立矢掛高等学校〕生徒会誌</v>
      </c>
      <c r="B1455" s="1" t="str">
        <f t="shared" si="81"/>
        <v>〔岡山県立矢掛高等学校〕生徒会誌</v>
      </c>
      <c r="C1455" t="str">
        <f>"オカヤマケンリツ　ヤカゲ　コウトウ　ガッコウ＊セイトカイシ"</f>
        <v>オカヤマケンリツ　ヤカゲ　コウトウ　ガッコウ＊セイトカイシ</v>
      </c>
      <c r="D1455" t="str">
        <f>"矢掛高等学校生徒会"</f>
        <v>矢掛高等学校生徒会</v>
      </c>
      <c r="E1455" t="str">
        <f>"ヤカゲ コウトウ ガッコウ セイトカイ"</f>
        <v>ヤカゲ コウトウ ガッコウ セイトカイ</v>
      </c>
      <c r="F1455" t="str">
        <f>"矢掛町（小田郡）"</f>
        <v>矢掛町（小田郡）</v>
      </c>
      <c r="G1455" t="str">
        <f>"年刊"</f>
        <v>年刊</v>
      </c>
      <c r="H1455" t="str">
        <f>"2002222289503"</f>
        <v>2002222289503</v>
      </c>
      <c r="I1455" t="str">
        <f>HYPERLINK("#", "https://opac.libnet.pref.okayama.jp/licsxp-opac/WOpacMsgNewListToTifTilDetailAction.do?tilcod=2002222289503")</f>
        <v>https://opac.libnet.pref.okayama.jp/licsxp-opac/WOpacMsgNewListToTifTilDetailAction.do?tilcod=2002222289503</v>
      </c>
    </row>
    <row r="1456" spans="1:9" x14ac:dyDescent="0.4">
      <c r="A1456" t="str">
        <f>"〔岡山県立矢掛高等学校〕高妻"</f>
        <v>〔岡山県立矢掛高等学校〕高妻</v>
      </c>
      <c r="B1456" s="1" t="str">
        <f t="shared" si="81"/>
        <v>〔岡山県立矢掛高等学校〕高妻</v>
      </c>
      <c r="C1456" t="str">
        <f>"オカヤマケンリツ　ヤカゲ　コウトウ　ガッコウ＊タカツマ"</f>
        <v>オカヤマケンリツ　ヤカゲ　コウトウ　ガッコウ＊タカツマ</v>
      </c>
      <c r="D1456" t="str">
        <f>"矢掛高等学校"</f>
        <v>矢掛高等学校</v>
      </c>
      <c r="E1456" t="str">
        <f>"ヤカゲ コウトウ ガッコウ"</f>
        <v>ヤカゲ コウトウ ガッコウ</v>
      </c>
      <c r="F1456" t="str">
        <f>"矢掛町（小田郡）"</f>
        <v>矢掛町（小田郡）</v>
      </c>
      <c r="G1456" t="str">
        <f>"年刊"</f>
        <v>年刊</v>
      </c>
      <c r="H1456" t="str">
        <f>"2002222280241"</f>
        <v>2002222280241</v>
      </c>
      <c r="I1456" t="str">
        <f>HYPERLINK("#", "https://opac.libnet.pref.okayama.jp/licsxp-opac/WOpacMsgNewListToTifTilDetailAction.do?tilcod=2002222280241")</f>
        <v>https://opac.libnet.pref.okayama.jp/licsxp-opac/WOpacMsgNewListToTifTilDetailAction.do?tilcod=2002222280241</v>
      </c>
    </row>
    <row r="1457" spans="1:9" x14ac:dyDescent="0.4">
      <c r="A1457" t="str">
        <f>"〔岡山県立矢掛高等学校〕からくり図書館"</f>
        <v>〔岡山県立矢掛高等学校〕からくり図書館</v>
      </c>
      <c r="B1457" s="1" t="str">
        <f t="shared" si="81"/>
        <v>〔岡山県立矢掛高等学校〕からくり図書館</v>
      </c>
      <c r="C1457" t="str">
        <f>"オカヤマケンリツ　ヤカゲ　コウトウガッコウ＊カラクリ　トショカン"</f>
        <v>オカヤマケンリツ　ヤカゲ　コウトウガッコウ＊カラクリ　トショカン</v>
      </c>
      <c r="D1457" t="str">
        <f>"矢掛高等学校図書館"</f>
        <v>矢掛高等学校図書館</v>
      </c>
      <c r="E1457" t="str">
        <f>"ヤカゲコウトウガッコウトショカン"</f>
        <v>ヤカゲコウトウガッコウトショカン</v>
      </c>
      <c r="F1457" t="str">
        <f>"矢掛町(小田郡)"</f>
        <v>矢掛町(小田郡)</v>
      </c>
      <c r="G1457" t="str">
        <f>"頻度不明"</f>
        <v>頻度不明</v>
      </c>
      <c r="H1457" t="str">
        <f>"2002222324027"</f>
        <v>2002222324027</v>
      </c>
      <c r="I1457" t="str">
        <f>HYPERLINK("#", "https://opac.libnet.pref.okayama.jp/licsxp-opac/WOpacMsgNewListToTifTilDetailAction.do?tilcod=2002222324027")</f>
        <v>https://opac.libnet.pref.okayama.jp/licsxp-opac/WOpacMsgNewListToTifTilDetailAction.do?tilcod=2002222324027</v>
      </c>
    </row>
    <row r="1458" spans="1:9" x14ac:dyDescent="0.4">
      <c r="A1458" t="str">
        <f>"〔岡山県立矢掛高等学校〕蔵書案内"</f>
        <v>〔岡山県立矢掛高等学校〕蔵書案内</v>
      </c>
      <c r="B1458" s="1" t="str">
        <f t="shared" si="81"/>
        <v>〔岡山県立矢掛高等学校〕蔵書案内</v>
      </c>
      <c r="C1458" t="str">
        <f>"オカヤマケンリツ　ヤカゲ　コウトウガッコウ＊ゾウショ　アンナイ"</f>
        <v>オカヤマケンリツ　ヤカゲ　コウトウガッコウ＊ゾウショ　アンナイ</v>
      </c>
      <c r="D1458" t="str">
        <f>"矢掛高等学校図書館"</f>
        <v>矢掛高等学校図書館</v>
      </c>
      <c r="E1458" t="str">
        <f>"ヤカゲコウトウガッコウトショカン"</f>
        <v>ヤカゲコウトウガッコウトショカン</v>
      </c>
      <c r="F1458" t="str">
        <f>"矢掛町(小田郡)"</f>
        <v>矢掛町(小田郡)</v>
      </c>
      <c r="G1458" t="str">
        <f>"頻度不明"</f>
        <v>頻度不明</v>
      </c>
      <c r="H1458" t="str">
        <f>"2002222324026"</f>
        <v>2002222324026</v>
      </c>
      <c r="I1458" t="str">
        <f>HYPERLINK("#", "https://opac.libnet.pref.okayama.jp/licsxp-opac/WOpacMsgNewListToTifTilDetailAction.do?tilcod=2002222324026")</f>
        <v>https://opac.libnet.pref.okayama.jp/licsxp-opac/WOpacMsgNewListToTifTilDetailAction.do?tilcod=2002222324026</v>
      </c>
    </row>
    <row r="1459" spans="1:9" x14ac:dyDescent="0.4">
      <c r="A1459" t="str">
        <f>"〔岡山県立矢掛商業高等学校〕嵐山（らんざん）"</f>
        <v>〔岡山県立矢掛商業高等学校〕嵐山（らんざん）</v>
      </c>
      <c r="B1459" s="1" t="str">
        <f t="shared" si="81"/>
        <v>〔岡山県立矢掛商業高等学校〕嵐山（らんざん）</v>
      </c>
      <c r="C1459" t="str">
        <f>"オカヤマケンリツ　ヤカゲ　ショウギョウ　コウトウ　ガッコウ＊ランザン"</f>
        <v>オカヤマケンリツ　ヤカゲ　ショウギョウ　コウトウ　ガッコウ＊ランザン</v>
      </c>
      <c r="D1459" t="str">
        <f>"矢掛商業高等学校"</f>
        <v>矢掛商業高等学校</v>
      </c>
      <c r="E1459" t="str">
        <f>"ヤカゲ ショウギョウ コウトウ ガッコウ"</f>
        <v>ヤカゲ ショウギョウ コウトウ ガッコウ</v>
      </c>
      <c r="F1459" t="str">
        <f>"矢掛町（小田郡）"</f>
        <v>矢掛町（小田郡）</v>
      </c>
      <c r="G1459" t="str">
        <f>"年刊"</f>
        <v>年刊</v>
      </c>
      <c r="H1459" t="str">
        <f>"2002222289523"</f>
        <v>2002222289523</v>
      </c>
      <c r="I1459" t="str">
        <f>HYPERLINK("#", "https://opac.libnet.pref.okayama.jp/licsxp-opac/WOpacMsgNewListToTifTilDetailAction.do?tilcod=2002222289523")</f>
        <v>https://opac.libnet.pref.okayama.jp/licsxp-opac/WOpacMsgNewListToTifTilDetailAction.do?tilcod=2002222289523</v>
      </c>
    </row>
    <row r="1460" spans="1:9" x14ac:dyDescent="0.4">
      <c r="A1460" t="str">
        <f>"〔岡山県立弓削高等学校〕清雲"</f>
        <v>〔岡山県立弓削高等学校〕清雲</v>
      </c>
      <c r="B1460" s="1" t="str">
        <f t="shared" si="81"/>
        <v>〔岡山県立弓削高等学校〕清雲</v>
      </c>
      <c r="C1460" t="str">
        <f>"オカヤマケンリツ　ユゲ　コウトウ　ガッコウ＊セイウン"</f>
        <v>オカヤマケンリツ　ユゲ　コウトウ　ガッコウ＊セイウン</v>
      </c>
      <c r="D1460" t="str">
        <f>"弓削高等学校"</f>
        <v>弓削高等学校</v>
      </c>
      <c r="E1460" t="str">
        <f>"ユゲコウトウガッコウ"</f>
        <v>ユゲコウトウガッコウ</v>
      </c>
      <c r="F1460" t="str">
        <f>"久米南町（久米郡）"</f>
        <v>久米南町（久米郡）</v>
      </c>
      <c r="G1460" t="str">
        <f>"年刊"</f>
        <v>年刊</v>
      </c>
      <c r="H1460" t="str">
        <f>"2002222289713"</f>
        <v>2002222289713</v>
      </c>
      <c r="I1460" t="str">
        <f>HYPERLINK("#", "https://opac.libnet.pref.okayama.jp/licsxp-opac/WOpacMsgNewListToTifTilDetailAction.do?tilcod=2002222289713")</f>
        <v>https://opac.libnet.pref.okayama.jp/licsxp-opac/WOpacMsgNewListToTifTilDetailAction.do?tilcod=2002222289713</v>
      </c>
    </row>
    <row r="1461" spans="1:9" x14ac:dyDescent="0.4">
      <c r="A1461" t="str">
        <f>"〔岡山県立和気閑谷高等学校〕和気閑谷"</f>
        <v>〔岡山県立和気閑谷高等学校〕和気閑谷</v>
      </c>
      <c r="B1461" s="1" t="str">
        <f t="shared" si="81"/>
        <v>〔岡山県立和気閑谷高等学校〕和気閑谷</v>
      </c>
      <c r="C1461" t="str">
        <f>"オカヤマケンリツ　ワケシズタニ　コウトウ　ガッコウ＊ワケシズタニ"</f>
        <v>オカヤマケンリツ　ワケシズタニ　コウトウ　ガッコウ＊ワケシズタニ</v>
      </c>
      <c r="D1461" t="str">
        <f>"和気閑谷高等学校"</f>
        <v>和気閑谷高等学校</v>
      </c>
      <c r="E1461" t="str">
        <f>"ワケ シズタニ コウトウ ガッコウ"</f>
        <v>ワケ シズタニ コウトウ ガッコウ</v>
      </c>
      <c r="F1461" t="str">
        <f>"和気町（和気郡）"</f>
        <v>和気町（和気郡）</v>
      </c>
      <c r="G1461" t="str">
        <f>"年刊"</f>
        <v>年刊</v>
      </c>
      <c r="H1461" t="str">
        <f>"2002222280251"</f>
        <v>2002222280251</v>
      </c>
      <c r="I1461" t="str">
        <f>HYPERLINK("#", "https://opac.libnet.pref.okayama.jp/licsxp-opac/WOpacMsgNewListToTifTilDetailAction.do?tilcod=2002222280251")</f>
        <v>https://opac.libnet.pref.okayama.jp/licsxp-opac/WOpacMsgNewListToTifTilDetailAction.do?tilcod=2002222280251</v>
      </c>
    </row>
    <row r="1462" spans="1:9" x14ac:dyDescent="0.4">
      <c r="A1462" t="str">
        <f>"岡山県立図書館協力ニュース"</f>
        <v>岡山県立図書館協力ニュース</v>
      </c>
      <c r="B1462" s="1" t="str">
        <f t="shared" si="81"/>
        <v>岡山県立図書館協力ニュース</v>
      </c>
      <c r="C1462" t="str">
        <f>"オカヤマケンリツトショカン キョウリョク ニュース"</f>
        <v>オカヤマケンリツトショカン キョウリョク ニュース</v>
      </c>
      <c r="D1462" t="str">
        <f>"岡山県立図書館図書館振興課図書館支援班"</f>
        <v>岡山県立図書館図書館振興課図書館支援班</v>
      </c>
      <c r="E1462" t="str">
        <f>"オカヤマケンリツ トショカン トショカン シンコウカ トショカン シエンハン"</f>
        <v>オカヤマケンリツ トショカン トショカン シンコウカ トショカン シエンハン</v>
      </c>
      <c r="F1462" t="str">
        <f t="shared" ref="F1462:F1468" si="84">"岡山"</f>
        <v>岡山</v>
      </c>
      <c r="G1462" t="str">
        <f>"月刊"</f>
        <v>月刊</v>
      </c>
      <c r="H1462" t="str">
        <f>"2002222307066"</f>
        <v>2002222307066</v>
      </c>
      <c r="I1462" t="str">
        <f>HYPERLINK("#", "https://opac.libnet.pref.okayama.jp/licsxp-opac/WOpacMsgNewListToTifTilDetailAction.do?tilcod=2002222307066")</f>
        <v>https://opac.libnet.pref.okayama.jp/licsxp-opac/WOpacMsgNewListToTifTilDetailAction.do?tilcod=2002222307066</v>
      </c>
    </row>
    <row r="1463" spans="1:9" x14ac:dyDescent="0.4">
      <c r="A1463" t="str">
        <f>"岡山市医師会報"</f>
        <v>岡山市医師会報</v>
      </c>
      <c r="B1463" s="1" t="str">
        <f t="shared" si="81"/>
        <v>岡山市医師会報</v>
      </c>
      <c r="C1463" t="str">
        <f>"オカヤマシ　イシカイホウ"</f>
        <v>オカヤマシ　イシカイホウ</v>
      </c>
      <c r="D1463" t="str">
        <f>"岡山市医師会"</f>
        <v>岡山市医師会</v>
      </c>
      <c r="E1463" t="str">
        <f>"オカヤマシ イシカイ"</f>
        <v>オカヤマシ イシカイ</v>
      </c>
      <c r="F1463" t="str">
        <f t="shared" si="84"/>
        <v>岡山</v>
      </c>
      <c r="G1463" t="str">
        <f>"年３回刊"</f>
        <v>年３回刊</v>
      </c>
      <c r="H1463" t="str">
        <f>"2002222280971"</f>
        <v>2002222280971</v>
      </c>
      <c r="I1463" t="str">
        <f>HYPERLINK("#", "https://opac.libnet.pref.okayama.jp/licsxp-opac/WOpacMsgNewListToTifTilDetailAction.do?tilcod=2002222280971")</f>
        <v>https://opac.libnet.pref.okayama.jp/licsxp-opac/WOpacMsgNewListToTifTilDetailAction.do?tilcod=2002222280971</v>
      </c>
    </row>
    <row r="1464" spans="1:9" x14ac:dyDescent="0.4">
      <c r="A1464" t="str">
        <f>"岡山市外国人市民会議ニューズレター"</f>
        <v>岡山市外国人市民会議ニューズレター</v>
      </c>
      <c r="B1464" s="1" t="str">
        <f t="shared" si="81"/>
        <v>岡山市外国人市民会議ニューズレター</v>
      </c>
      <c r="C1464" t="str">
        <f>"オカヤマシ　ガイコクジン　シミン　カイギ　ニューズ　レター"</f>
        <v>オカヤマシ　ガイコクジン　シミン　カイギ　ニューズ　レター</v>
      </c>
      <c r="D1464" t="str">
        <f>"岡山市市民局市民協働部国際課"</f>
        <v>岡山市市民局市民協働部国際課</v>
      </c>
      <c r="E1464" t="str">
        <f>"オカヤマシ　シミンキョク　シミン　キョウドウブ　コクサイカ"</f>
        <v>オカヤマシ　シミンキョク　シミン　キョウドウブ　コクサイカ</v>
      </c>
      <c r="F1464" t="str">
        <f t="shared" si="84"/>
        <v>岡山</v>
      </c>
      <c r="G1464" t="str">
        <f>"季刊"</f>
        <v>季刊</v>
      </c>
      <c r="H1464" t="str">
        <f>"2002222300338"</f>
        <v>2002222300338</v>
      </c>
      <c r="I1464" t="str">
        <f>HYPERLINK("#", "https://opac.libnet.pref.okayama.jp/licsxp-opac/WOpacMsgNewListToTifTilDetailAction.do?tilcod=2002222300338")</f>
        <v>https://opac.libnet.pref.okayama.jp/licsxp-opac/WOpacMsgNewListToTifTilDetailAction.do?tilcod=2002222300338</v>
      </c>
    </row>
    <row r="1465" spans="1:9" x14ac:dyDescent="0.4">
      <c r="A1465" t="str">
        <f>"岡山市環境パートナーシップ事業ニュースレター；ECOちゃん(エコちゃん)"</f>
        <v>岡山市環境パートナーシップ事業ニュースレター；ECOちゃん(エコちゃん)</v>
      </c>
      <c r="B1465" s="1" t="str">
        <f t="shared" si="81"/>
        <v>岡山市環境パートナーシップ事業ニュースレター；ECOちゃん(エコちゃん)</v>
      </c>
      <c r="C1465" t="str">
        <f>"オカヤマシ カンキョウ パートナーシップ ジギョウ ニュースレター*エコチャン"</f>
        <v>オカヤマシ カンキョウ パートナーシップ ジギョウ ニュースレター*エコチャン</v>
      </c>
      <c r="D1465" t="str">
        <f>"岡山市環境局環境保全課"</f>
        <v>岡山市環境局環境保全課</v>
      </c>
      <c r="E1465" t="str">
        <f>"オカヤマシカンキョウキョクカンキョウホゼンカ"</f>
        <v>オカヤマシカンキョウキョクカンキョウホゼンカ</v>
      </c>
      <c r="F1465" t="str">
        <f t="shared" si="84"/>
        <v>岡山</v>
      </c>
      <c r="G1465" t="str">
        <f>"季刊"</f>
        <v>季刊</v>
      </c>
      <c r="H1465" t="str">
        <f>"2002222300426"</f>
        <v>2002222300426</v>
      </c>
      <c r="I1465" t="str">
        <f>HYPERLINK("#", "https://opac.libnet.pref.okayama.jp/licsxp-opac/WOpacMsgNewListToTifTilDetailAction.do?tilcod=2002222300426")</f>
        <v>https://opac.libnet.pref.okayama.jp/licsxp-opac/WOpacMsgNewListToTifTilDetailAction.do?tilcod=2002222300426</v>
      </c>
    </row>
    <row r="1466" spans="1:9" x14ac:dyDescent="0.4">
      <c r="A1466" t="str">
        <f>"岡山市環境パートナーシップ事業ニュースレター；ECOちゃん＋(エコちゃんプラス)"</f>
        <v>岡山市環境パートナーシップ事業ニュースレター；ECOちゃん＋(エコちゃんプラス)</v>
      </c>
      <c r="B1466" s="1" t="str">
        <f t="shared" si="81"/>
        <v>岡山市環境パートナーシップ事業ニュースレター；ECOちゃん＋(エコちゃんプラス)</v>
      </c>
      <c r="C1466" t="str">
        <f>"オカヤマシ カンキョウ パートナーシップ ジギョウ ニュースレター*エコチャン プラス"</f>
        <v>オカヤマシ カンキョウ パートナーシップ ジギョウ ニュースレター*エコチャン プラス</v>
      </c>
      <c r="D1466" t="str">
        <f>"岡山市環境局環境保全課"</f>
        <v>岡山市環境局環境保全課</v>
      </c>
      <c r="E1466" t="str">
        <f>"オカヤマシ カンキョウキョク カンキョウ ホゼンカ"</f>
        <v>オカヤマシ カンキョウキョク カンキョウ ホゼンカ</v>
      </c>
      <c r="F1466" t="str">
        <f t="shared" si="84"/>
        <v>岡山</v>
      </c>
      <c r="G1466" t="str">
        <f>"年２回刊"</f>
        <v>年２回刊</v>
      </c>
      <c r="H1466" t="str">
        <f>"2002222307789"</f>
        <v>2002222307789</v>
      </c>
      <c r="I1466" t="str">
        <f>HYPERLINK("#", "https://opac.libnet.pref.okayama.jp/licsxp-opac/WOpacMsgNewListToTifTilDetailAction.do?tilcod=2002222307789")</f>
        <v>https://opac.libnet.pref.okayama.jp/licsxp-opac/WOpacMsgNewListToTifTilDetailAction.do?tilcod=2002222307789</v>
      </c>
    </row>
    <row r="1467" spans="1:9" x14ac:dyDescent="0.4">
      <c r="A1467" t="str">
        <f>"〔岡山市管工設備協同組合〕組合ニュース"</f>
        <v>〔岡山市管工設備協同組合〕組合ニュース</v>
      </c>
      <c r="B1467" s="1" t="str">
        <f t="shared" si="81"/>
        <v>〔岡山市管工設備協同組合〕組合ニュース</v>
      </c>
      <c r="C1467" t="str">
        <f>"オカヤマシ　カンコウ　セツビ　キョウドウ　クミアイ＊クミアイ　ニュース"</f>
        <v>オカヤマシ　カンコウ　セツビ　キョウドウ　クミアイ＊クミアイ　ニュース</v>
      </c>
      <c r="D1467" t="str">
        <f>"岡山市管工設備協同組合"</f>
        <v>岡山市管工設備協同組合</v>
      </c>
      <c r="E1467" t="str">
        <f>"オカヤマシカンコウセツビキョウドウクミアイ"</f>
        <v>オカヤマシカンコウセツビキョウドウクミアイ</v>
      </c>
      <c r="F1467" t="str">
        <f t="shared" si="84"/>
        <v>岡山</v>
      </c>
      <c r="G1467" t="str">
        <f>"隔月刊"</f>
        <v>隔月刊</v>
      </c>
      <c r="H1467" t="str">
        <f>"2002222280033"</f>
        <v>2002222280033</v>
      </c>
      <c r="I1467" t="str">
        <f>HYPERLINK("#", "https://opac.libnet.pref.okayama.jp/licsxp-opac/WOpacMsgNewListToTifTilDetailAction.do?tilcod=2002222280033")</f>
        <v>https://opac.libnet.pref.okayama.jp/licsxp-opac/WOpacMsgNewListToTifTilDetailAction.do?tilcod=2002222280033</v>
      </c>
    </row>
    <row r="1468" spans="1:9" x14ac:dyDescent="0.4">
      <c r="A1468" t="str">
        <f>"〔岡山市〕議会のうごき"</f>
        <v>〔岡山市〕議会のうごき</v>
      </c>
      <c r="B1468" s="1" t="str">
        <f t="shared" si="81"/>
        <v>〔岡山市〕議会のうごき</v>
      </c>
      <c r="C1468" t="str">
        <f>"オカヤマシ　ギカイ　ノ　ウゴキ"</f>
        <v>オカヤマシ　ギカイ　ノ　ウゴキ</v>
      </c>
      <c r="D1468" t="str">
        <f>"岡山市議会広報紙編集委員会"</f>
        <v>岡山市議会広報紙編集委員会</v>
      </c>
      <c r="E1468" t="str">
        <f>"オカヤマシギカイコウホウシヘンシュウイインカイ"</f>
        <v>オカヤマシギカイコウホウシヘンシュウイインカイ</v>
      </c>
      <c r="F1468" t="str">
        <f t="shared" si="84"/>
        <v>岡山</v>
      </c>
      <c r="G1468" t="str">
        <f>"頻度不明"</f>
        <v>頻度不明</v>
      </c>
      <c r="H1468" t="str">
        <f>"2002222281491"</f>
        <v>2002222281491</v>
      </c>
      <c r="I1468" t="str">
        <f>HYPERLINK("#", "https://opac.libnet.pref.okayama.jp/licsxp-opac/WOpacMsgNewListToTifTilDetailAction.do?tilcod=2002222281491")</f>
        <v>https://opac.libnet.pref.okayama.jp/licsxp-opac/WOpacMsgNewListToTifTilDetailAction.do?tilcod=2002222281491</v>
      </c>
    </row>
    <row r="1469" spans="1:9" x14ac:dyDescent="0.4">
      <c r="A1469" t="str">
        <f>"岡山市教育会会報"</f>
        <v>岡山市教育会会報</v>
      </c>
      <c r="B1469" s="1" t="str">
        <f t="shared" si="81"/>
        <v>岡山市教育会会報</v>
      </c>
      <c r="C1469" t="str">
        <f>"オカヤマシ　キョウイクカイ　カイホウ"</f>
        <v>オカヤマシ　キョウイクカイ　カイホウ</v>
      </c>
      <c r="D1469" t="str">
        <f>"岡山市教育会"</f>
        <v>岡山市教育会</v>
      </c>
      <c r="E1469" t="str">
        <f>"オカヤマシキョウイクカイ"</f>
        <v>オカヤマシキョウイクカイ</v>
      </c>
      <c r="F1469" t="str">
        <f>""</f>
        <v/>
      </c>
      <c r="G1469" t="str">
        <f>"頻度不明"</f>
        <v>頻度不明</v>
      </c>
      <c r="H1469" t="str">
        <f>"2002222288141"</f>
        <v>2002222288141</v>
      </c>
      <c r="I1469" t="str">
        <f>HYPERLINK("#", "https://opac.libnet.pref.okayama.jp/licsxp-opac/WOpacMsgNewListToTifTilDetailAction.do?tilcod=2002222288141")</f>
        <v>https://opac.libnet.pref.okayama.jp/licsxp-opac/WOpacMsgNewListToTifTilDetailAction.do?tilcod=2002222288141</v>
      </c>
    </row>
    <row r="1470" spans="1:9" x14ac:dyDescent="0.4">
      <c r="A1470" t="str">
        <f>"[岡山市弘西尋常小学校］弘西"</f>
        <v>[岡山市弘西尋常小学校］弘西</v>
      </c>
      <c r="B1470" s="1" t="str">
        <f t="shared" si="81"/>
        <v>[岡山市弘西尋常小学校］弘西</v>
      </c>
      <c r="C1470" t="str">
        <f>"オカヤマシ コウサイ ジンジョウ ショウガッコウ コウサイ"</f>
        <v>オカヤマシ コウサイ ジンジョウ ショウガッコウ コウサイ</v>
      </c>
      <c r="D1470" t="str">
        <f>"岡山市弘西尋常小学校"</f>
        <v>岡山市弘西尋常小学校</v>
      </c>
      <c r="E1470" t="str">
        <f>"オカヤマシ コウサイ ジンジョウ ショウガッコウ"</f>
        <v>オカヤマシ コウサイ ジンジョウ ショウガッコウ</v>
      </c>
      <c r="F1470" t="str">
        <f>"岡山"</f>
        <v>岡山</v>
      </c>
      <c r="G1470" t="str">
        <f>"頻度不明"</f>
        <v>頻度不明</v>
      </c>
      <c r="H1470" t="str">
        <f>"2002222336886"</f>
        <v>2002222336886</v>
      </c>
      <c r="I1470" t="str">
        <f>HYPERLINK("#", "https://opac.libnet.pref.okayama.jp/licsxp-opac/WOpacMsgNewListToTifTilDetailAction.do?tilcod=2002222336886")</f>
        <v>https://opac.libnet.pref.okayama.jp/licsxp-opac/WOpacMsgNewListToTifTilDetailAction.do?tilcod=2002222336886</v>
      </c>
    </row>
    <row r="1471" spans="1:9" x14ac:dyDescent="0.4">
      <c r="A1471" t="str">
        <f>"岡山市公報"</f>
        <v>岡山市公報</v>
      </c>
      <c r="B1471" s="1" t="str">
        <f t="shared" si="81"/>
        <v>岡山市公報</v>
      </c>
      <c r="C1471" t="str">
        <f>"オカヤマシ　コウホウ"</f>
        <v>オカヤマシ　コウホウ</v>
      </c>
      <c r="D1471" t="str">
        <f>"岡山市"</f>
        <v>岡山市</v>
      </c>
      <c r="E1471" t="str">
        <f>"オカヤマシ"</f>
        <v>オカヤマシ</v>
      </c>
      <c r="F1471" t="str">
        <f>""</f>
        <v/>
      </c>
      <c r="G1471" t="str">
        <f>"月刊"</f>
        <v>月刊</v>
      </c>
      <c r="H1471" t="str">
        <f>"2002222288161"</f>
        <v>2002222288161</v>
      </c>
      <c r="I1471" t="str">
        <f>HYPERLINK("#", "https://opac.libnet.pref.okayama.jp/licsxp-opac/WOpacMsgNewListToTifTilDetailAction.do?tilcod=2002222288161")</f>
        <v>https://opac.libnet.pref.okayama.jp/licsxp-opac/WOpacMsgNewListToTifTilDetailAction.do?tilcod=2002222288161</v>
      </c>
    </row>
    <row r="1472" spans="1:9" x14ac:dyDescent="0.4">
      <c r="A1472" t="str">
        <f>"〔岡山市公民館〕公民館だより"</f>
        <v>〔岡山市公民館〕公民館だより</v>
      </c>
      <c r="B1472" s="1" t="str">
        <f t="shared" si="81"/>
        <v>〔岡山市公民館〕公民館だより</v>
      </c>
      <c r="C1472" t="str">
        <f>"オカヤマシ　コウミンカン＊コウミンカン　ダヨリ"</f>
        <v>オカヤマシ　コウミンカン＊コウミンカン　ダヨリ</v>
      </c>
      <c r="D1472" t="str">
        <f>"岡山市公民館"</f>
        <v>岡山市公民館</v>
      </c>
      <c r="E1472" t="str">
        <f>"オカヤマシコウミンカン"</f>
        <v>オカヤマシコウミンカン</v>
      </c>
      <c r="F1472" t="str">
        <f>""</f>
        <v/>
      </c>
      <c r="G1472" t="str">
        <f>"月刊"</f>
        <v>月刊</v>
      </c>
      <c r="H1472" t="str">
        <f>"2002222288171"</f>
        <v>2002222288171</v>
      </c>
      <c r="I1472" t="str">
        <f>HYPERLINK("#", "https://opac.libnet.pref.okayama.jp/licsxp-opac/WOpacMsgNewListToTifTilDetailAction.do?tilcod=2002222288171")</f>
        <v>https://opac.libnet.pref.okayama.jp/licsxp-opac/WOpacMsgNewListToTifTilDetailAction.do?tilcod=2002222288171</v>
      </c>
    </row>
    <row r="1473" spans="1:9" x14ac:dyDescent="0.4">
      <c r="A1473" t="str">
        <f>"岡山市コミュニティだより"</f>
        <v>岡山市コミュニティだより</v>
      </c>
      <c r="B1473" s="1" t="str">
        <f t="shared" si="81"/>
        <v>岡山市コミュニティだより</v>
      </c>
      <c r="C1473" t="str">
        <f>"オカヤマシ コミュニティ ダヨリ"</f>
        <v>オカヤマシ コミュニティ ダヨリ</v>
      </c>
      <c r="D1473" t="str">
        <f>"岡山市市民協働局市民協働部市民協働企画総務課"</f>
        <v>岡山市市民協働局市民協働部市民協働企画総務課</v>
      </c>
      <c r="E1473" t="str">
        <f>"オカヤマシ シミン キョウドウキョク シミン キョウドウブ シミン キョウドウ キカク ソウムカ"</f>
        <v>オカヤマシ シミン キョウドウキョク シミン キョウドウブ シミン キョウドウ キカク ソウムカ</v>
      </c>
      <c r="F1473" t="str">
        <f>"岡山"</f>
        <v>岡山</v>
      </c>
      <c r="G1473" t="str">
        <f>"年刊"</f>
        <v>年刊</v>
      </c>
      <c r="H1473" t="str">
        <f>"2002222308606"</f>
        <v>2002222308606</v>
      </c>
      <c r="I1473" t="str">
        <f>HYPERLINK("#", "https://opac.libnet.pref.okayama.jp/licsxp-opac/WOpacMsgNewListToTifTilDetailAction.do?tilcod=2002222308606")</f>
        <v>https://opac.libnet.pref.okayama.jp/licsxp-opac/WOpacMsgNewListToTifTilDetailAction.do?tilcod=2002222308606</v>
      </c>
    </row>
    <row r="1474" spans="1:9" x14ac:dyDescent="0.4">
      <c r="A1474" t="str">
        <f>"岡山市財政事情"</f>
        <v>岡山市財政事情</v>
      </c>
      <c r="B1474" s="1" t="str">
        <f t="shared" si="81"/>
        <v>岡山市財政事情</v>
      </c>
      <c r="C1474" t="str">
        <f>"オカヤマシ　ザイセイ　ジジョウ"</f>
        <v>オカヤマシ　ザイセイ　ジジョウ</v>
      </c>
      <c r="D1474" t="str">
        <f>"岡山市"</f>
        <v>岡山市</v>
      </c>
      <c r="E1474" t="str">
        <f>"オカヤマシ"</f>
        <v>オカヤマシ</v>
      </c>
      <c r="F1474" t="str">
        <f>""</f>
        <v/>
      </c>
      <c r="G1474" t="str">
        <f>"頻度不明"</f>
        <v>頻度不明</v>
      </c>
      <c r="H1474" t="str">
        <f>"2002222288181"</f>
        <v>2002222288181</v>
      </c>
      <c r="I1474" t="str">
        <f>HYPERLINK("#", "https://opac.libnet.pref.okayama.jp/licsxp-opac/WOpacMsgNewListToTifTilDetailAction.do?tilcod=2002222288181")</f>
        <v>https://opac.libnet.pref.okayama.jp/licsxp-opac/WOpacMsgNewListToTifTilDetailAction.do?tilcod=2002222288181</v>
      </c>
    </row>
    <row r="1475" spans="1:9" x14ac:dyDescent="0.4">
      <c r="A1475" t="str">
        <f>"岡山市支え合い通信；地域に支え合いの花を咲かせましょう"</f>
        <v>岡山市支え合い通信；地域に支え合いの花を咲かせましょう</v>
      </c>
      <c r="B1475" s="1" t="str">
        <f t="shared" si="81"/>
        <v>岡山市支え合い通信；地域に支え合いの花を咲かせましょう</v>
      </c>
      <c r="C1475" t="str">
        <f>"オカヤマシ ササエアイ ツウシン＊チイキ ニ ササエアイ ノ ハナ オ サカセマショウ"</f>
        <v>オカヤマシ ササエアイ ツウシン＊チイキ ニ ササエアイ ノ ハナ オ サカセマショウ</v>
      </c>
      <c r="D1475" t="str">
        <f>"岡山市社会福祉協議会地域福祉課"</f>
        <v>岡山市社会福祉協議会地域福祉課</v>
      </c>
      <c r="E1475" t="str">
        <f>"オカヤマシ シャカイ フクシ キョウギカイ"</f>
        <v>オカヤマシ シャカイ フクシ キョウギカイ</v>
      </c>
      <c r="F1475" t="str">
        <f>"岡山"</f>
        <v>岡山</v>
      </c>
      <c r="G1475" t="str">
        <f>"年３回刊"</f>
        <v>年３回刊</v>
      </c>
      <c r="H1475" t="str">
        <f>"2002222334047"</f>
        <v>2002222334047</v>
      </c>
      <c r="I1475" t="str">
        <f>HYPERLINK("#", "https://opac.libnet.pref.okayama.jp/licsxp-opac/WOpacMsgNewListToTifTilDetailAction.do?tilcod=2002222334047")</f>
        <v>https://opac.libnet.pref.okayama.jp/licsxp-opac/WOpacMsgNewListToTifTilDetailAction.do?tilcod=2002222334047</v>
      </c>
    </row>
    <row r="1476" spans="1:9" x14ac:dyDescent="0.4">
      <c r="A1476" t="str">
        <f>"おかやま市スポーツ協会だより"</f>
        <v>おかやま市スポーツ協会だより</v>
      </c>
      <c r="B1476" s="1" t="str">
        <f t="shared" ref="B1476:B1539" si="85">HYPERLINK("#", A1476)</f>
        <v>おかやま市スポーツ協会だより</v>
      </c>
      <c r="C1476" t="str">
        <f>"オカヤマシ スポーツ キョウカイ ダヨリ"</f>
        <v>オカヤマシ スポーツ キョウカイ ダヨリ</v>
      </c>
      <c r="D1476" t="str">
        <f>"岡山市スポーツ協会"</f>
        <v>岡山市スポーツ協会</v>
      </c>
      <c r="E1476" t="str">
        <f>"オカヤマシ スポーツ キョウカイ"</f>
        <v>オカヤマシ スポーツ キョウカイ</v>
      </c>
      <c r="F1476" t="str">
        <f>"岡山"</f>
        <v>岡山</v>
      </c>
      <c r="G1476" t="str">
        <f>"年２回刊"</f>
        <v>年２回刊</v>
      </c>
      <c r="H1476" t="str">
        <f>"2002222336486"</f>
        <v>2002222336486</v>
      </c>
      <c r="I1476" t="str">
        <f>HYPERLINK("#", "https://opac.libnet.pref.okayama.jp/licsxp-opac/WOpacMsgNewListToTifTilDetailAction.do?tilcod=2002222336486")</f>
        <v>https://opac.libnet.pref.okayama.jp/licsxp-opac/WOpacMsgNewListToTifTilDetailAction.do?tilcod=2002222336486</v>
      </c>
    </row>
    <row r="1477" spans="1:9" x14ac:dyDescent="0.4">
      <c r="A1477" t="str">
        <f>"岡山市青協タイムス；岡山市青年協議会機関紙"</f>
        <v>岡山市青協タイムス；岡山市青年協議会機関紙</v>
      </c>
      <c r="B1477" s="1" t="str">
        <f t="shared" si="85"/>
        <v>岡山市青協タイムス；岡山市青年協議会機関紙</v>
      </c>
      <c r="C1477" t="str">
        <f>"オカヤマシ　セイキョウ　タイムス＊オカヤマシ　セイネン　キョウギカイ　キカンシ"</f>
        <v>オカヤマシ　セイキョウ　タイムス＊オカヤマシ　セイネン　キョウギカイ　キカンシ</v>
      </c>
      <c r="D1477" t="str">
        <f>"岡山市青年協議会"</f>
        <v>岡山市青年協議会</v>
      </c>
      <c r="E1477" t="str">
        <f>"オカヤマシセイネンキョウギカイ"</f>
        <v>オカヤマシセイネンキョウギカイ</v>
      </c>
      <c r="F1477" t="str">
        <f>""</f>
        <v/>
      </c>
      <c r="G1477" t="str">
        <f>"頻度不明"</f>
        <v>頻度不明</v>
      </c>
      <c r="H1477" t="str">
        <f>"2002222289883"</f>
        <v>2002222289883</v>
      </c>
      <c r="I1477" t="str">
        <f>HYPERLINK("#", "https://opac.libnet.pref.okayama.jp/licsxp-opac/WOpacMsgNewListToTifTilDetailAction.do?tilcod=2002222289883")</f>
        <v>https://opac.libnet.pref.okayama.jp/licsxp-opac/WOpacMsgNewListToTifTilDetailAction.do?tilcod=2002222289883</v>
      </c>
    </row>
    <row r="1478" spans="1:9" x14ac:dyDescent="0.4">
      <c r="A1478" t="str">
        <f>"〔岡山市青年団〕団報"</f>
        <v>〔岡山市青年団〕団報</v>
      </c>
      <c r="B1478" s="1" t="str">
        <f t="shared" si="85"/>
        <v>〔岡山市青年団〕団報</v>
      </c>
      <c r="C1478" t="str">
        <f>"オカヤマシ　セイネンダン　ダンホウ"</f>
        <v>オカヤマシ　セイネンダン　ダンホウ</v>
      </c>
      <c r="D1478" t="str">
        <f>"〔岡山市青年団〕木山下方支部"</f>
        <v>〔岡山市青年団〕木山下方支部</v>
      </c>
      <c r="E1478" t="str">
        <f>"オカヤマシセイネンダンキヤマシモカタシブ"</f>
        <v>オカヤマシセイネンダンキヤマシモカタシブ</v>
      </c>
      <c r="F1478" t="str">
        <f>"〔岡山〕"</f>
        <v>〔岡山〕</v>
      </c>
      <c r="G1478" t="str">
        <f>"頻度不明"</f>
        <v>頻度不明</v>
      </c>
      <c r="H1478" t="str">
        <f>"2002222301509"</f>
        <v>2002222301509</v>
      </c>
      <c r="I1478" t="str">
        <f>HYPERLINK("#", "https://opac.libnet.pref.okayama.jp/licsxp-opac/WOpacMsgNewListToTifTilDetailAction.do?tilcod=2002222301509")</f>
        <v>https://opac.libnet.pref.okayama.jp/licsxp-opac/WOpacMsgNewListToTifTilDetailAction.do?tilcod=2002222301509</v>
      </c>
    </row>
    <row r="1479" spans="1:9" x14ac:dyDescent="0.4">
      <c r="A1479" t="str">
        <f>"岡山市総合文化体育館だより"</f>
        <v>岡山市総合文化体育館だより</v>
      </c>
      <c r="B1479" s="1" t="str">
        <f t="shared" si="85"/>
        <v>岡山市総合文化体育館だより</v>
      </c>
      <c r="C1479" t="str">
        <f>"オカヤマシ　ソウゴウ　ブンカ　タイイクカン　ダヨリ"</f>
        <v>オカヤマシ　ソウゴウ　ブンカ　タイイクカン　ダヨリ</v>
      </c>
      <c r="D1479" t="str">
        <f>"岡山市公園協会体育室"</f>
        <v>岡山市公園協会体育室</v>
      </c>
      <c r="E1479" t="str">
        <f>"オカヤマシコウエンキヨウカイタイイクシツ"</f>
        <v>オカヤマシコウエンキヨウカイタイイクシツ</v>
      </c>
      <c r="F1479" t="str">
        <f>"岡山"</f>
        <v>岡山</v>
      </c>
      <c r="G1479" t="str">
        <f>"月刊"</f>
        <v>月刊</v>
      </c>
      <c r="H1479" t="str">
        <f>"2002222293771"</f>
        <v>2002222293771</v>
      </c>
      <c r="I1479" t="str">
        <f>HYPERLINK("#", "https://opac.libnet.pref.okayama.jp/licsxp-opac/WOpacMsgNewListToTifTilDetailAction.do?tilcod=2002222293771")</f>
        <v>https://opac.libnet.pref.okayama.jp/licsxp-opac/WOpacMsgNewListToTifTilDetailAction.do?tilcod=2002222293771</v>
      </c>
    </row>
    <row r="1480" spans="1:9" x14ac:dyDescent="0.4">
      <c r="A1480" t="str">
        <f>"岡山市の消費者物価指数について"</f>
        <v>岡山市の消費者物価指数について</v>
      </c>
      <c r="B1480" s="1" t="str">
        <f t="shared" si="85"/>
        <v>岡山市の消費者物価指数について</v>
      </c>
      <c r="C1480" t="str">
        <f>"オカヤマシ　ノ　ショウヒシャ　ブッカ　シスウ　ニ　ツイテ"</f>
        <v>オカヤマシ　ノ　ショウヒシャ　ブッカ　シスウ　ニ　ツイテ</v>
      </c>
      <c r="D1480" t="str">
        <f>"岡山県企画部統計課"</f>
        <v>岡山県企画部統計課</v>
      </c>
      <c r="E1480" t="str">
        <f>"オカヤマケン キカクブ トウケイカ"</f>
        <v>オカヤマケン キカクブ トウケイカ</v>
      </c>
      <c r="F1480" t="str">
        <f>""</f>
        <v/>
      </c>
      <c r="G1480" t="str">
        <f>"頻度不明"</f>
        <v>頻度不明</v>
      </c>
      <c r="H1480" t="str">
        <f>"2002222288241"</f>
        <v>2002222288241</v>
      </c>
      <c r="I1480" t="str">
        <f>HYPERLINK("#", "https://opac.libnet.pref.okayama.jp/licsxp-opac/WOpacMsgNewListToTifTilDetailAction.do?tilcod=2002222288241")</f>
        <v>https://opac.libnet.pref.okayama.jp/licsxp-opac/WOpacMsgNewListToTifTilDetailAction.do?tilcod=2002222288241</v>
      </c>
    </row>
    <row r="1481" spans="1:9" x14ac:dyDescent="0.4">
      <c r="A1481" t="str">
        <f>"岡山市半田山植物園催し物のご案内"</f>
        <v>岡山市半田山植物園催し物のご案内</v>
      </c>
      <c r="B1481" s="1" t="str">
        <f t="shared" si="85"/>
        <v>岡山市半田山植物園催し物のご案内</v>
      </c>
      <c r="C1481" t="str">
        <f>"オカヤマシ ハンダヤマ ショクブツエン モヨオシモノ ノ ゴアンナイ"</f>
        <v>オカヤマシ ハンダヤマ ショクブツエン モヨオシモノ ノ ゴアンナイ</v>
      </c>
      <c r="D1481" t="str">
        <f>"岡山市半田山植物園"</f>
        <v>岡山市半田山植物園</v>
      </c>
      <c r="E1481" t="str">
        <f>"オカヤマシ ハンダヤマ ショクブツエン"</f>
        <v>オカヤマシ ハンダヤマ ショクブツエン</v>
      </c>
      <c r="F1481" t="str">
        <f>"岡山"</f>
        <v>岡山</v>
      </c>
      <c r="G1481" t="str">
        <f>"季刊"</f>
        <v>季刊</v>
      </c>
      <c r="H1481" t="str">
        <f>"2002222321727"</f>
        <v>2002222321727</v>
      </c>
      <c r="I1481" t="str">
        <f>HYPERLINK("#", "https://opac.libnet.pref.okayama.jp/licsxp-opac/WOpacMsgNewListToTifTilDetailAction.do?tilcod=2002222321727")</f>
        <v>https://opac.libnet.pref.okayama.jp/licsxp-opac/WOpacMsgNewListToTifTilDetailAction.do?tilcod=2002222321727</v>
      </c>
    </row>
    <row r="1482" spans="1:9" x14ac:dyDescent="0.4">
      <c r="A1482" t="str">
        <f>"岡山市福祉交流プラザ大井だより"</f>
        <v>岡山市福祉交流プラザ大井だより</v>
      </c>
      <c r="B1482" s="1" t="str">
        <f t="shared" si="85"/>
        <v>岡山市福祉交流プラザ大井だより</v>
      </c>
      <c r="C1482" t="str">
        <f>"オカヤマシ フクシ コウリュウ プラザ オオイ ダヨリ"</f>
        <v>オカヤマシ フクシ コウリュウ プラザ オオイ ダヨリ</v>
      </c>
      <c r="D1482" t="str">
        <f>"岡山市福祉交流プラザ大井"</f>
        <v>岡山市福祉交流プラザ大井</v>
      </c>
      <c r="E1482" t="str">
        <f>"オカヤマシ フクシ コウリュウ プラザ オオイ"</f>
        <v>オカヤマシ フクシ コウリュウ プラザ オオイ</v>
      </c>
      <c r="F1482" t="str">
        <f>"岡山"</f>
        <v>岡山</v>
      </c>
      <c r="G1482" t="str">
        <f>"月刊"</f>
        <v>月刊</v>
      </c>
      <c r="H1482" t="str">
        <f>"2002222336187"</f>
        <v>2002222336187</v>
      </c>
      <c r="I1482" t="str">
        <f>HYPERLINK("#", "https://opac.libnet.pref.okayama.jp/licsxp-opac/WOpacMsgNewListToTifTilDetailAction.do?tilcod=2002222336187")</f>
        <v>https://opac.libnet.pref.okayama.jp/licsxp-opac/WOpacMsgNewListToTifTilDetailAction.do?tilcod=2002222336187</v>
      </c>
    </row>
    <row r="1483" spans="1:9" x14ac:dyDescent="0.4">
      <c r="A1483" t="str">
        <f>"岡山市ほか３カ町村合併協議会だより"</f>
        <v>岡山市ほか３カ町村合併協議会だより</v>
      </c>
      <c r="B1483" s="1" t="str">
        <f t="shared" si="85"/>
        <v>岡山市ほか３カ町村合併協議会だより</v>
      </c>
      <c r="C1483" t="str">
        <f>"オカヤマシ　ホカ　サンカチョウソン　ガッペイ　キョウギカイ　ダヨリ"</f>
        <v>オカヤマシ　ホカ　サンカチョウソン　ガッペイ　キョウギカイ　ダヨリ</v>
      </c>
      <c r="D1483" t="str">
        <f>"岡山市ほか３カ町村合併協議会"</f>
        <v>岡山市ほか３カ町村合併協議会</v>
      </c>
      <c r="E1483" t="str">
        <f>"オカヤマシホカサンカチョウソンガッペイキョウギカイ"</f>
        <v>オカヤマシホカサンカチョウソンガッペイキョウギカイ</v>
      </c>
      <c r="F1483" t="str">
        <f>"〔出版地不明〕"</f>
        <v>〔出版地不明〕</v>
      </c>
      <c r="G1483" t="str">
        <f>"不定期刊"</f>
        <v>不定期刊</v>
      </c>
      <c r="H1483" t="str">
        <f>"2002222300823"</f>
        <v>2002222300823</v>
      </c>
      <c r="I1483" t="str">
        <f>HYPERLINK("#", "https://opac.libnet.pref.okayama.jp/licsxp-opac/WOpacMsgNewListToTifTilDetailAction.do?tilcod=2002222300823")</f>
        <v>https://opac.libnet.pref.okayama.jp/licsxp-opac/WOpacMsgNewListToTifTilDetailAction.do?tilcod=2002222300823</v>
      </c>
    </row>
    <row r="1484" spans="1:9" x14ac:dyDescent="0.4">
      <c r="A1484" t="str">
        <f>"岡山市ほか６カ町村合併協議会だより"</f>
        <v>岡山市ほか６カ町村合併協議会だより</v>
      </c>
      <c r="B1484" s="1" t="str">
        <f t="shared" si="85"/>
        <v>岡山市ほか６カ町村合併協議会だより</v>
      </c>
      <c r="C1484" t="str">
        <f>"オカヤマシ　ホカ　ロッカチョウソン　ガッペイ　キョウギカイ　ダヨリ"</f>
        <v>オカヤマシ　ホカ　ロッカチョウソン　ガッペイ　キョウギカイ　ダヨリ</v>
      </c>
      <c r="D1484" t="str">
        <f>"岡山市ほか６カ町村合併協議会"</f>
        <v>岡山市ほか６カ町村合併協議会</v>
      </c>
      <c r="E1484" t="str">
        <f>"オカヤマシホカロッカチョウソンガッペイキョウギカイ"</f>
        <v>オカヤマシホカロッカチョウソンガッペイキョウギカイ</v>
      </c>
      <c r="F1484" t="str">
        <f>"〔出版地不明〕"</f>
        <v>〔出版地不明〕</v>
      </c>
      <c r="G1484" t="str">
        <f>"不定期刊"</f>
        <v>不定期刊</v>
      </c>
      <c r="H1484" t="str">
        <f>"2002222300824"</f>
        <v>2002222300824</v>
      </c>
      <c r="I1484" t="str">
        <f>HYPERLINK("#", "https://opac.libnet.pref.okayama.jp/licsxp-opac/WOpacMsgNewListToTifTilDetailAction.do?tilcod=2002222300824")</f>
        <v>https://opac.libnet.pref.okayama.jp/licsxp-opac/WOpacMsgNewListToTifTilDetailAction.do?tilcod=2002222300824</v>
      </c>
    </row>
    <row r="1485" spans="1:9" x14ac:dyDescent="0.4">
      <c r="A1485" t="str">
        <f>"〔岡山市益野町第六町内会〕町内会だより"</f>
        <v>〔岡山市益野町第六町内会〕町内会だより</v>
      </c>
      <c r="B1485" s="1" t="str">
        <f t="shared" si="85"/>
        <v>〔岡山市益野町第六町内会〕町内会だより</v>
      </c>
      <c r="C1485" t="str">
        <f>"オカヤマシ　マスノチョウ　ダイロクチョウナイカイ＊チョウナイカイ　ダヨリ"</f>
        <v>オカヤマシ　マスノチョウ　ダイロクチョウナイカイ＊チョウナイカイ　ダヨリ</v>
      </c>
      <c r="D1485" t="str">
        <f>"岡山市益野町第六町内会"</f>
        <v>岡山市益野町第六町内会</v>
      </c>
      <c r="E1485" t="str">
        <f>"オカヤマシマスノチョウダイロクチョウナイカイ"</f>
        <v>オカヤマシマスノチョウダイロクチョウナイカイ</v>
      </c>
      <c r="F1485" t="str">
        <f>"岡山"</f>
        <v>岡山</v>
      </c>
      <c r="G1485" t="str">
        <f>"頻度不明"</f>
        <v>頻度不明</v>
      </c>
      <c r="H1485" t="str">
        <f>"2002222284453"</f>
        <v>2002222284453</v>
      </c>
      <c r="I1485" t="str">
        <f>HYPERLINK("#", "https://opac.libnet.pref.okayama.jp/licsxp-opac/WOpacMsgNewListToTifTilDetailAction.do?tilcod=2002222284453")</f>
        <v>https://opac.libnet.pref.okayama.jp/licsxp-opac/WOpacMsgNewListToTifTilDetailAction.do?tilcod=2002222284453</v>
      </c>
    </row>
    <row r="1486" spans="1:9" x14ac:dyDescent="0.4">
      <c r="A1486" t="str">
        <f>"岡山市連Pだより"</f>
        <v>岡山市連Pだより</v>
      </c>
      <c r="B1486" s="1" t="str">
        <f t="shared" si="85"/>
        <v>岡山市連Pだより</v>
      </c>
      <c r="C1486" t="str">
        <f>"オカヤマシ レン ピー ダヨリ"</f>
        <v>オカヤマシ レン ピー ダヨリ</v>
      </c>
      <c r="D1486" t="str">
        <f>"岡山市教育委員会・岡山市幼稚園PTA連合会・岡山市小学校PTA連合会・岡山市中学校PTA連合会"</f>
        <v>岡山市教育委員会・岡山市幼稚園PTA連合会・岡山市小学校PTA連合会・岡山市中学校PTA連合会</v>
      </c>
      <c r="E1486" t="str">
        <f>"オカヤマシキョウイクイインカイオカヤマシヨウチエンピーティーエーレンゴウカイオカヤマシショウガッコウピーティーエーレンゴウカイオカヤマシチュウガッコウピーティーエーレンゴウカイ"</f>
        <v>オカヤマシキョウイクイインカイオカヤマシヨウチエンピーティーエーレンゴウカイオカヤマシショウガッコウピーティーエーレンゴウカイオカヤマシチュウガッコウピーティーエーレンゴウカイ</v>
      </c>
      <c r="F1486" t="str">
        <f>""</f>
        <v/>
      </c>
      <c r="G1486" t="str">
        <f>"頻度不明"</f>
        <v>頻度不明</v>
      </c>
      <c r="H1486" t="str">
        <f>"2002222289873"</f>
        <v>2002222289873</v>
      </c>
      <c r="I1486" t="str">
        <f>HYPERLINK("#", "https://opac.libnet.pref.okayama.jp/licsxp-opac/WOpacMsgNewListToTifTilDetailAction.do?tilcod=2002222289873")</f>
        <v>https://opac.libnet.pref.okayama.jp/licsxp-opac/WOpacMsgNewListToTifTilDetailAction.do?tilcod=2002222289873</v>
      </c>
    </row>
    <row r="1487" spans="1:9" x14ac:dyDescent="0.4">
      <c r="A1487" t="str">
        <f>"岡山市聯合壮年会雑誌"</f>
        <v>岡山市聯合壮年会雑誌</v>
      </c>
      <c r="B1487" s="1" t="str">
        <f t="shared" si="85"/>
        <v>岡山市聯合壮年会雑誌</v>
      </c>
      <c r="C1487" t="str">
        <f>"オカヤマシ レンゴウ ソウネンカイ ザッシ"</f>
        <v>オカヤマシ レンゴウ ソウネンカイ ザッシ</v>
      </c>
      <c r="D1487" t="str">
        <f>"岡山市聯合壮年会事務所"</f>
        <v>岡山市聯合壮年会事務所</v>
      </c>
      <c r="E1487" t="str">
        <f>"オカヤマシ レンゴウ ソウネンカイ ジムショ"</f>
        <v>オカヤマシ レンゴウ ソウネンカイ ジムショ</v>
      </c>
      <c r="F1487" t="str">
        <f>"岡山"</f>
        <v>岡山</v>
      </c>
      <c r="G1487" t="str">
        <f>"頻度不明"</f>
        <v>頻度不明</v>
      </c>
      <c r="H1487" t="str">
        <f>"2002222322027"</f>
        <v>2002222322027</v>
      </c>
      <c r="I1487" t="str">
        <f>HYPERLINK("#", "https://opac.libnet.pref.okayama.jp/licsxp-opac/WOpacMsgNewListToTifTilDetailAction.do?tilcod=2002222322027")</f>
        <v>https://opac.libnet.pref.okayama.jp/licsxp-opac/WOpacMsgNewListToTifTilDetailAction.do?tilcod=2002222322027</v>
      </c>
    </row>
    <row r="1488" spans="1:9" x14ac:dyDescent="0.4">
      <c r="A1488" t="str">
        <f>"岡山市連合町内会会報"</f>
        <v>岡山市連合町内会会報</v>
      </c>
      <c r="B1488" s="1" t="str">
        <f t="shared" si="85"/>
        <v>岡山市連合町内会会報</v>
      </c>
      <c r="C1488" t="str">
        <f>"オカヤマシ レンゴウ チョウナイカイ カイホウ"</f>
        <v>オカヤマシ レンゴウ チョウナイカイ カイホウ</v>
      </c>
      <c r="D1488" t="str">
        <f>"岡山市連合町内会"</f>
        <v>岡山市連合町内会</v>
      </c>
      <c r="E1488" t="str">
        <f>"オカヤマシ レンゴウ チョウナイカイ"</f>
        <v>オカヤマシ レンゴウ チョウナイカイ</v>
      </c>
      <c r="F1488" t="str">
        <f>"岡山"</f>
        <v>岡山</v>
      </c>
      <c r="G1488" t="str">
        <f>"年２回刊"</f>
        <v>年２回刊</v>
      </c>
      <c r="H1488" t="str">
        <f>"2002222325087"</f>
        <v>2002222325087</v>
      </c>
      <c r="I1488" t="str">
        <f>HYPERLINK("#", "https://opac.libnet.pref.okayama.jp/licsxp-opac/WOpacMsgNewListToTifTilDetailAction.do?tilcod=2002222325087")</f>
        <v>https://opac.libnet.pref.okayama.jp/licsxp-opac/WOpacMsgNewListToTifTilDetailAction.do?tilcod=2002222325087</v>
      </c>
    </row>
    <row r="1489" spans="1:9" x14ac:dyDescent="0.4">
      <c r="A1489" t="str">
        <f>"岡山市連合婦人会会報"</f>
        <v>岡山市連合婦人会会報</v>
      </c>
      <c r="B1489" s="1" t="str">
        <f t="shared" si="85"/>
        <v>岡山市連合婦人会会報</v>
      </c>
      <c r="C1489" t="str">
        <f>"オカヤマシ　レンゴウ　フジンカイ　カイホウ"</f>
        <v>オカヤマシ　レンゴウ　フジンカイ　カイホウ</v>
      </c>
      <c r="D1489" t="str">
        <f>"岡山市連合婦人会"</f>
        <v>岡山市連合婦人会</v>
      </c>
      <c r="E1489" t="str">
        <f>"オカヤマシレンゴウフジンカイ"</f>
        <v>オカヤマシレンゴウフジンカイ</v>
      </c>
      <c r="F1489" t="str">
        <f>"岡山市"</f>
        <v>岡山市</v>
      </c>
      <c r="G1489" t="str">
        <f>"頻度不明"</f>
        <v>頻度不明</v>
      </c>
      <c r="H1489" t="str">
        <f>"2002222300831"</f>
        <v>2002222300831</v>
      </c>
      <c r="I1489" t="str">
        <f>HYPERLINK("#", "https://opac.libnet.pref.okayama.jp/licsxp-opac/WOpacMsgNewListToTifTilDetailAction.do?tilcod=2002222300831")</f>
        <v>https://opac.libnet.pref.okayama.jp/licsxp-opac/WOpacMsgNewListToTifTilDetailAction.do?tilcod=2002222300831</v>
      </c>
    </row>
    <row r="1490" spans="1:9" x14ac:dyDescent="0.4">
      <c r="A1490" t="str">
        <f>"岡山市連合青年会雑誌"</f>
        <v>岡山市連合青年会雑誌</v>
      </c>
      <c r="B1490" s="1" t="str">
        <f t="shared" si="85"/>
        <v>岡山市連合青年会雑誌</v>
      </c>
      <c r="C1490" t="str">
        <f>"オカヤマシ　レンゴウセイネンカイザッシ"</f>
        <v>オカヤマシ　レンゴウセイネンカイザッシ</v>
      </c>
      <c r="D1490" t="str">
        <f>"岡山市連合青年会事務所"</f>
        <v>岡山市連合青年会事務所</v>
      </c>
      <c r="E1490" t="str">
        <f>"オカヤマシレンゴウセイネンカイジムショ"</f>
        <v>オカヤマシレンゴウセイネンカイジムショ</v>
      </c>
      <c r="F1490" t="str">
        <f t="shared" ref="F1490:F1502" si="86">"岡山"</f>
        <v>岡山</v>
      </c>
      <c r="G1490" t="str">
        <f>"頻度不明"</f>
        <v>頻度不明</v>
      </c>
      <c r="H1490" t="str">
        <f>"2002222302142"</f>
        <v>2002222302142</v>
      </c>
      <c r="I1490" t="str">
        <f>HYPERLINK("#", "https://opac.libnet.pref.okayama.jp/licsxp-opac/WOpacMsgNewListToTifTilDetailAction.do?tilcod=2002222302142")</f>
        <v>https://opac.libnet.pref.okayama.jp/licsxp-opac/WOpacMsgNewListToTifTilDetailAction.do?tilcod=2002222302142</v>
      </c>
    </row>
    <row r="1491" spans="1:9" x14ac:dyDescent="0.4">
      <c r="A1491" t="str">
        <f>"〔岡山市〕公園協会だより"</f>
        <v>〔岡山市〕公園協会だより</v>
      </c>
      <c r="B1491" s="1" t="str">
        <f t="shared" si="85"/>
        <v>〔岡山市〕公園協会だより</v>
      </c>
      <c r="C1491" t="str">
        <f>"オカヤマシ＊コウエン　キョウカイ　ダヨリ"</f>
        <v>オカヤマシ＊コウエン　キョウカイ　ダヨリ</v>
      </c>
      <c r="D1491" t="str">
        <f>"岡山市公園協会"</f>
        <v>岡山市公園協会</v>
      </c>
      <c r="E1491" t="str">
        <f>"オカヤマシ コウエン キョウカイ"</f>
        <v>オカヤマシ コウエン キョウカイ</v>
      </c>
      <c r="F1491" t="str">
        <f t="shared" si="86"/>
        <v>岡山</v>
      </c>
      <c r="G1491" t="str">
        <f>"月刊"</f>
        <v>月刊</v>
      </c>
      <c r="H1491" t="str">
        <f>"2002222294171"</f>
        <v>2002222294171</v>
      </c>
      <c r="I1491" t="str">
        <f>HYPERLINK("#", "https://opac.libnet.pref.okayama.jp/licsxp-opac/WOpacMsgNewListToTifTilDetailAction.do?tilcod=2002222294171")</f>
        <v>https://opac.libnet.pref.okayama.jp/licsxp-opac/WOpacMsgNewListToTifTilDetailAction.do?tilcod=2002222294171</v>
      </c>
    </row>
    <row r="1492" spans="1:9" x14ac:dyDescent="0.4">
      <c r="A1492" t="str">
        <f>"おかやま市体協だより"</f>
        <v>おかやま市体協だより</v>
      </c>
      <c r="B1492" s="1" t="str">
        <f t="shared" si="85"/>
        <v>おかやま市体協だより</v>
      </c>
      <c r="C1492" t="str">
        <f>"オカヤマシタイキョウダヨリ"</f>
        <v>オカヤマシタイキョウダヨリ</v>
      </c>
      <c r="D1492" t="str">
        <f>"岡山市体育協会"</f>
        <v>岡山市体育協会</v>
      </c>
      <c r="E1492" t="str">
        <f>"オカヤマシ タイイク キョウカイ"</f>
        <v>オカヤマシ タイイク キョウカイ</v>
      </c>
      <c r="F1492" t="str">
        <f t="shared" si="86"/>
        <v>岡山</v>
      </c>
      <c r="G1492" t="str">
        <f>"年２回刊"</f>
        <v>年２回刊</v>
      </c>
      <c r="H1492" t="str">
        <f>"2002222331606"</f>
        <v>2002222331606</v>
      </c>
      <c r="I1492" t="str">
        <f>HYPERLINK("#", "https://opac.libnet.pref.okayama.jp/licsxp-opac/WOpacMsgNewListToTifTilDetailAction.do?tilcod=2002222331606")</f>
        <v>https://opac.libnet.pref.okayama.jp/licsxp-opac/WOpacMsgNewListToTifTilDetailAction.do?tilcod=2002222331606</v>
      </c>
    </row>
    <row r="1493" spans="1:9" x14ac:dyDescent="0.4">
      <c r="A1493" t="str">
        <f>"岡山城築城４００年関連事業推進協議会ＮＥＷＳ"</f>
        <v>岡山城築城４００年関連事業推進協議会ＮＥＷＳ</v>
      </c>
      <c r="B1493" s="1" t="str">
        <f t="shared" si="85"/>
        <v>岡山城築城４００年関連事業推進協議会ＮＥＷＳ</v>
      </c>
      <c r="C1493" t="str">
        <f>"オカヤマジョウ　チクジョウ　ヨンヒャク　ネン　カンレン　ジギョウ　スイシン　キョウギカイ　ニュース"</f>
        <v>オカヤマジョウ　チクジョウ　ヨンヒャク　ネン　カンレン　ジギョウ　スイシン　キョウギカイ　ニュース</v>
      </c>
      <c r="D1493" t="str">
        <f>"岡山城築城400年関連事業推進協議会"</f>
        <v>岡山城築城400年関連事業推進協議会</v>
      </c>
      <c r="E1493" t="str">
        <f>"オカヤマジョウ チクジョウ ヨンヒャクネン カンレン ジギョウ スイシン キョウギカイ"</f>
        <v>オカヤマジョウ チクジョウ ヨンヒャクネン カンレン ジギョウ スイシン キョウギカイ</v>
      </c>
      <c r="F1493" t="str">
        <f t="shared" si="86"/>
        <v>岡山</v>
      </c>
      <c r="G1493" t="str">
        <f>"その他"</f>
        <v>その他</v>
      </c>
      <c r="H1493" t="str">
        <f>"2002222293521"</f>
        <v>2002222293521</v>
      </c>
      <c r="I1493" t="str">
        <f>HYPERLINK("#", "https://opac.libnet.pref.okayama.jp/licsxp-opac/WOpacMsgNewListToTifTilDetailAction.do?tilcod=2002222293521")</f>
        <v>https://opac.libnet.pref.okayama.jp/licsxp-opac/WOpacMsgNewListToTifTilDetailAction.do?tilcod=2002222293521</v>
      </c>
    </row>
    <row r="1494" spans="1:9" x14ac:dyDescent="0.4">
      <c r="A1494" t="str">
        <f>"[岡山市立旭中学校]学校案内"</f>
        <v>[岡山市立旭中学校]学校案内</v>
      </c>
      <c r="B1494" s="1" t="str">
        <f t="shared" si="85"/>
        <v>[岡山市立旭中学校]学校案内</v>
      </c>
      <c r="C1494" t="str">
        <f>"オカヤマシリツ アサヒ チュウガッコウ ガッコウ アンナイ"</f>
        <v>オカヤマシリツ アサヒ チュウガッコウ ガッコウ アンナイ</v>
      </c>
      <c r="D1494" t="str">
        <f>"岡山市立旭中学校"</f>
        <v>岡山市立旭中学校</v>
      </c>
      <c r="E1494" t="str">
        <f>"オカヤマシリツ アサヒ チュウガッコウ"</f>
        <v>オカヤマシリツ アサヒ チュウガッコウ</v>
      </c>
      <c r="F1494" t="str">
        <f t="shared" si="86"/>
        <v>岡山</v>
      </c>
      <c r="G1494" t="str">
        <f t="shared" ref="G1494:G1501" si="87">"年刊"</f>
        <v>年刊</v>
      </c>
      <c r="H1494" t="str">
        <f>"2002222342830"</f>
        <v>2002222342830</v>
      </c>
      <c r="I1494" t="str">
        <f>HYPERLINK("#", "https://opac.libnet.pref.okayama.jp/licsxp-opac/WOpacMsgNewListToTifTilDetailAction.do?tilcod=2002222342830")</f>
        <v>https://opac.libnet.pref.okayama.jp/licsxp-opac/WOpacMsgNewListToTifTilDetailAction.do?tilcod=2002222342830</v>
      </c>
    </row>
    <row r="1495" spans="1:9" x14ac:dyDescent="0.4">
      <c r="A1495" t="str">
        <f>"[岡山市立旭中学校]学校要覧"</f>
        <v>[岡山市立旭中学校]学校要覧</v>
      </c>
      <c r="B1495" s="1" t="str">
        <f t="shared" si="85"/>
        <v>[岡山市立旭中学校]学校要覧</v>
      </c>
      <c r="C1495" t="str">
        <f>"オカヤマシリツ アサヒ チュウガッコウ ガッコウ ヨウラン"</f>
        <v>オカヤマシリツ アサヒ チュウガッコウ ガッコウ ヨウラン</v>
      </c>
      <c r="D1495" t="str">
        <f>"岡山市立旭中学校"</f>
        <v>岡山市立旭中学校</v>
      </c>
      <c r="E1495" t="str">
        <f>"オカヤマシリツ アサヒ チュウガッコウ"</f>
        <v>オカヤマシリツ アサヒ チュウガッコウ</v>
      </c>
      <c r="F1495" t="str">
        <f t="shared" si="86"/>
        <v>岡山</v>
      </c>
      <c r="G1495" t="str">
        <f t="shared" si="87"/>
        <v>年刊</v>
      </c>
      <c r="H1495" t="str">
        <f>"2002222333546"</f>
        <v>2002222333546</v>
      </c>
      <c r="I1495" t="str">
        <f>HYPERLINK("#", "https://opac.libnet.pref.okayama.jp/licsxp-opac/WOpacMsgNewListToTifTilDetailAction.do?tilcod=2002222333546")</f>
        <v>https://opac.libnet.pref.okayama.jp/licsxp-opac/WOpacMsgNewListToTifTilDetailAction.do?tilcod=2002222333546</v>
      </c>
    </row>
    <row r="1496" spans="1:9" x14ac:dyDescent="0.4">
      <c r="A1496" t="str">
        <f>"〔岡山市立大野小学校〕研究集録"</f>
        <v>〔岡山市立大野小学校〕研究集録</v>
      </c>
      <c r="B1496" s="1" t="str">
        <f t="shared" si="85"/>
        <v>〔岡山市立大野小学校〕研究集録</v>
      </c>
      <c r="C1496" t="str">
        <f>"オカヤマシリツ　オオノ　ショウガッコウ＊ケンキュウ　シュウロク"</f>
        <v>オカヤマシリツ　オオノ　ショウガッコウ＊ケンキュウ　シュウロク</v>
      </c>
      <c r="D1496" t="str">
        <f>"岡山市立大野小学校"</f>
        <v>岡山市立大野小学校</v>
      </c>
      <c r="E1496" t="str">
        <f>"オカヤマシリツ オオノ ショウガッコウ"</f>
        <v>オカヤマシリツ オオノ ショウガッコウ</v>
      </c>
      <c r="F1496" t="str">
        <f t="shared" si="86"/>
        <v>岡山</v>
      </c>
      <c r="G1496" t="str">
        <f t="shared" si="87"/>
        <v>年刊</v>
      </c>
      <c r="H1496" t="str">
        <f>"2002222281324"</f>
        <v>2002222281324</v>
      </c>
      <c r="I1496" t="str">
        <f>HYPERLINK("#", "https://opac.libnet.pref.okayama.jp/licsxp-opac/WOpacMsgNewListToTifTilDetailAction.do?tilcod=2002222281324")</f>
        <v>https://opac.libnet.pref.okayama.jp/licsxp-opac/WOpacMsgNewListToTifTilDetailAction.do?tilcod=2002222281324</v>
      </c>
    </row>
    <row r="1497" spans="1:9" x14ac:dyDescent="0.4">
      <c r="A1497" t="str">
        <f>"〔岡山市立岡山工業高等学校〕紀要"</f>
        <v>〔岡山市立岡山工業高等学校〕紀要</v>
      </c>
      <c r="B1497" s="1" t="str">
        <f t="shared" si="85"/>
        <v>〔岡山市立岡山工業高等学校〕紀要</v>
      </c>
      <c r="C1497" t="str">
        <f>"オカヤマシリツ　オカヤマ　コウギョウ　コウトウ　ガッコウ＊キヨウ"</f>
        <v>オカヤマシリツ　オカヤマ　コウギョウ　コウトウ　ガッコウ＊キヨウ</v>
      </c>
      <c r="D1497" t="str">
        <f>"岡山市立岡山工業高等学校"</f>
        <v>岡山市立岡山工業高等学校</v>
      </c>
      <c r="E1497" t="str">
        <f>"オカヤマシリツオカヤマコウギョウコウトウガッコウ"</f>
        <v>オカヤマシリツオカヤマコウギョウコウトウガッコウ</v>
      </c>
      <c r="F1497" t="str">
        <f t="shared" si="86"/>
        <v>岡山</v>
      </c>
      <c r="G1497" t="str">
        <f t="shared" si="87"/>
        <v>年刊</v>
      </c>
      <c r="H1497" t="str">
        <f>"2002222288293"</f>
        <v>2002222288293</v>
      </c>
      <c r="I1497" t="str">
        <f>HYPERLINK("#", "https://opac.libnet.pref.okayama.jp/licsxp-opac/WOpacMsgNewListToTifTilDetailAction.do?tilcod=2002222288293")</f>
        <v>https://opac.libnet.pref.okayama.jp/licsxp-opac/WOpacMsgNewListToTifTilDetailAction.do?tilcod=2002222288293</v>
      </c>
    </row>
    <row r="1498" spans="1:9" x14ac:dyDescent="0.4">
      <c r="A1498" t="str">
        <f>"〔岡山市立岡山工業高等学校〕ふるまつ"</f>
        <v>〔岡山市立岡山工業高等学校〕ふるまつ</v>
      </c>
      <c r="B1498" s="1" t="str">
        <f t="shared" si="85"/>
        <v>〔岡山市立岡山工業高等学校〕ふるまつ</v>
      </c>
      <c r="C1498" t="str">
        <f>"オカヤマシリツ　オカヤマ　コウギョウ　コウトウ　ガッコウ＊フルマツ"</f>
        <v>オカヤマシリツ　オカヤマ　コウギョウ　コウトウ　ガッコウ＊フルマツ</v>
      </c>
      <c r="D1498" t="str">
        <f>"岡山市立岡山工業高等学校"</f>
        <v>岡山市立岡山工業高等学校</v>
      </c>
      <c r="E1498" t="str">
        <f>"オカヤマシリツオカヤマコウギョウコウトウガッコウ"</f>
        <v>オカヤマシリツオカヤマコウギョウコウトウガッコウ</v>
      </c>
      <c r="F1498" t="str">
        <f t="shared" si="86"/>
        <v>岡山</v>
      </c>
      <c r="G1498" t="str">
        <f t="shared" si="87"/>
        <v>年刊</v>
      </c>
      <c r="H1498" t="str">
        <f>"2002222281701"</f>
        <v>2002222281701</v>
      </c>
      <c r="I1498" t="str">
        <f>HYPERLINK("#", "https://opac.libnet.pref.okayama.jp/licsxp-opac/WOpacMsgNewListToTifTilDetailAction.do?tilcod=2002222281701")</f>
        <v>https://opac.libnet.pref.okayama.jp/licsxp-opac/WOpacMsgNewListToTifTilDetailAction.do?tilcod=2002222281701</v>
      </c>
    </row>
    <row r="1499" spans="1:9" x14ac:dyDescent="0.4">
      <c r="A1499" t="str">
        <f>"岡山市立岡山後楽館高等学校学校案内"</f>
        <v>岡山市立岡山後楽館高等学校学校案内</v>
      </c>
      <c r="B1499" s="1" t="str">
        <f t="shared" si="85"/>
        <v>岡山市立岡山後楽館高等学校学校案内</v>
      </c>
      <c r="C1499" t="str">
        <f>"オカヤマシリツ　オカヤマ　コウラクカン　コウトウ　ガッコウ　ガッコウ　アンナイ"</f>
        <v>オカヤマシリツ　オカヤマ　コウラクカン　コウトウ　ガッコウ　ガッコウ　アンナイ</v>
      </c>
      <c r="D1499" t="str">
        <f>"岡山市立岡山後楽館高等学校"</f>
        <v>岡山市立岡山後楽館高等学校</v>
      </c>
      <c r="E1499" t="str">
        <f>"オカヤマシリツオカヤマコウラクカンコウトウガッコウ"</f>
        <v>オカヤマシリツオカヤマコウラクカンコウトウガッコウ</v>
      </c>
      <c r="F1499" t="str">
        <f t="shared" si="86"/>
        <v>岡山</v>
      </c>
      <c r="G1499" t="str">
        <f t="shared" si="87"/>
        <v>年刊</v>
      </c>
      <c r="H1499" t="str">
        <f>"2002222301204"</f>
        <v>2002222301204</v>
      </c>
      <c r="I1499" t="str">
        <f>HYPERLINK("#", "https://opac.libnet.pref.okayama.jp/licsxp-opac/WOpacMsgNewListToTifTilDetailAction.do?tilcod=2002222301204")</f>
        <v>https://opac.libnet.pref.okayama.jp/licsxp-opac/WOpacMsgNewListToTifTilDetailAction.do?tilcod=2002222301204</v>
      </c>
    </row>
    <row r="1500" spans="1:9" x14ac:dyDescent="0.4">
      <c r="A1500" t="str">
        <f>"岡山市立岡山後楽館高等学校学校要覧"</f>
        <v>岡山市立岡山後楽館高等学校学校要覧</v>
      </c>
      <c r="B1500" s="1" t="str">
        <f t="shared" si="85"/>
        <v>岡山市立岡山後楽館高等学校学校要覧</v>
      </c>
      <c r="C1500" t="str">
        <f>"オカヤマシリツ　オカヤマ　コウラクカン　コウトウ　ガッコウ　ガッコウ　ヨウラン"</f>
        <v>オカヤマシリツ　オカヤマ　コウラクカン　コウトウ　ガッコウ　ガッコウ　ヨウラン</v>
      </c>
      <c r="D1500" t="str">
        <f>"岡山市立岡山後楽館高等学校"</f>
        <v>岡山市立岡山後楽館高等学校</v>
      </c>
      <c r="E1500" t="str">
        <f>"オカヤマシリツオカヤマコウラクカンコウトウガッコウ"</f>
        <v>オカヤマシリツオカヤマコウラクカンコウトウガッコウ</v>
      </c>
      <c r="F1500" t="str">
        <f t="shared" si="86"/>
        <v>岡山</v>
      </c>
      <c r="G1500" t="str">
        <f t="shared" si="87"/>
        <v>年刊</v>
      </c>
      <c r="H1500" t="str">
        <f>"2002222300553"</f>
        <v>2002222300553</v>
      </c>
      <c r="I1500" t="str">
        <f>HYPERLINK("#", "https://opac.libnet.pref.okayama.jp/licsxp-opac/WOpacMsgNewListToTifTilDetailAction.do?tilcod=2002222300553")</f>
        <v>https://opac.libnet.pref.okayama.jp/licsxp-opac/WOpacMsgNewListToTifTilDetailAction.do?tilcod=2002222300553</v>
      </c>
    </row>
    <row r="1501" spans="1:9" x14ac:dyDescent="0.4">
      <c r="A1501" t="str">
        <f>"岡山市立岡山商業高等学校紀要；働学"</f>
        <v>岡山市立岡山商業高等学校紀要；働学</v>
      </c>
      <c r="B1501" s="1" t="str">
        <f t="shared" si="85"/>
        <v>岡山市立岡山商業高等学校紀要；働学</v>
      </c>
      <c r="C1501" t="str">
        <f>"オカヤマシリツ　オカヤマ　ショウギョウ　コウトウガッコウ　キヨウ＊ドウガク"</f>
        <v>オカヤマシリツ　オカヤマ　ショウギョウ　コウトウガッコウ　キヨウ＊ドウガク</v>
      </c>
      <c r="D1501" t="str">
        <f>"岡山市立岡山商業高等学校"</f>
        <v>岡山市立岡山商業高等学校</v>
      </c>
      <c r="E1501" t="str">
        <f>"オカヤマシリツオカヤマショウギョウコウトウガッコウ"</f>
        <v>オカヤマシリツオカヤマショウギョウコウトウガッコウ</v>
      </c>
      <c r="F1501" t="str">
        <f t="shared" si="86"/>
        <v>岡山</v>
      </c>
      <c r="G1501" t="str">
        <f t="shared" si="87"/>
        <v>年刊</v>
      </c>
      <c r="H1501" t="str">
        <f>"2002222280271"</f>
        <v>2002222280271</v>
      </c>
      <c r="I1501" t="str">
        <f>HYPERLINK("#", "https://opac.libnet.pref.okayama.jp/licsxp-opac/WOpacMsgNewListToTifTilDetailAction.do?tilcod=2002222280271")</f>
        <v>https://opac.libnet.pref.okayama.jp/licsxp-opac/WOpacMsgNewListToTifTilDetailAction.do?tilcod=2002222280271</v>
      </c>
    </row>
    <row r="1502" spans="1:9" x14ac:dyDescent="0.4">
      <c r="A1502" t="str">
        <f>"〔岡山市立オリエント美術館〕行事予定"</f>
        <v>〔岡山市立オリエント美術館〕行事予定</v>
      </c>
      <c r="B1502" s="1" t="str">
        <f t="shared" si="85"/>
        <v>〔岡山市立オリエント美術館〕行事予定</v>
      </c>
      <c r="C1502" t="str">
        <f>"オカヤマシリツ　オリエント　ビジュツカン　ギョウジ　ヨテイ"</f>
        <v>オカヤマシリツ　オリエント　ビジュツカン　ギョウジ　ヨテイ</v>
      </c>
      <c r="D1502" t="str">
        <f>"岡山市立オリエント美術館"</f>
        <v>岡山市立オリエント美術館</v>
      </c>
      <c r="E1502" t="str">
        <f>"オカヤマシリツ オリエント ビジュツカン"</f>
        <v>オカヤマシリツ オリエント ビジュツカン</v>
      </c>
      <c r="F1502" t="str">
        <f t="shared" si="86"/>
        <v>岡山</v>
      </c>
      <c r="G1502" t="str">
        <f>"隔月刊"</f>
        <v>隔月刊</v>
      </c>
      <c r="H1502" t="str">
        <f>"2002222300029"</f>
        <v>2002222300029</v>
      </c>
      <c r="I1502" t="str">
        <f>HYPERLINK("#", "https://opac.libnet.pref.okayama.jp/licsxp-opac/WOpacMsgNewListToTifTilDetailAction.do?tilcod=2002222300029")</f>
        <v>https://opac.libnet.pref.okayama.jp/licsxp-opac/WOpacMsgNewListToTifTilDetailAction.do?tilcod=2002222300029</v>
      </c>
    </row>
    <row r="1503" spans="1:9" x14ac:dyDescent="0.4">
      <c r="A1503" t="str">
        <f>"岡山市立オリエント美術館研究紀要"</f>
        <v>岡山市立オリエント美術館研究紀要</v>
      </c>
      <c r="B1503" s="1" t="str">
        <f t="shared" si="85"/>
        <v>岡山市立オリエント美術館研究紀要</v>
      </c>
      <c r="C1503" t="str">
        <f>"オカヤマシリツ　オリエント　ビジュツカン　ケンキュウ　キヨウ"</f>
        <v>オカヤマシリツ　オリエント　ビジュツカン　ケンキュウ　キヨウ</v>
      </c>
      <c r="D1503" t="str">
        <f>"岡山市立オリエント美術館"</f>
        <v>岡山市立オリエント美術館</v>
      </c>
      <c r="E1503" t="str">
        <f>"オカヤマシリツ オリエント ビジュツカン"</f>
        <v>オカヤマシリツ オリエント ビジュツカン</v>
      </c>
      <c r="F1503" t="str">
        <f>"岡山市"</f>
        <v>岡山市</v>
      </c>
      <c r="G1503" t="str">
        <f>"不定期刊"</f>
        <v>不定期刊</v>
      </c>
      <c r="H1503" t="str">
        <f>"2002222294841"</f>
        <v>2002222294841</v>
      </c>
      <c r="I1503" t="str">
        <f>HYPERLINK("#", "https://opac.libnet.pref.okayama.jp/licsxp-opac/WOpacMsgNewListToTifTilDetailAction.do?tilcod=2002222294841")</f>
        <v>https://opac.libnet.pref.okayama.jp/licsxp-opac/WOpacMsgNewListToTifTilDetailAction.do?tilcod=2002222294841</v>
      </c>
    </row>
    <row r="1504" spans="1:9" x14ac:dyDescent="0.4">
      <c r="A1504" t="str">
        <f>"岡山市立オリエント美術館報"</f>
        <v>岡山市立オリエント美術館報</v>
      </c>
      <c r="B1504" s="1" t="str">
        <f t="shared" si="85"/>
        <v>岡山市立オリエント美術館報</v>
      </c>
      <c r="C1504" t="str">
        <f>"オカヤマシリツ オリエント ビジュツカンホウ"</f>
        <v>オカヤマシリツ オリエント ビジュツカンホウ</v>
      </c>
      <c r="D1504" t="str">
        <f>"岡山市立オリエント美術館"</f>
        <v>岡山市立オリエント美術館</v>
      </c>
      <c r="E1504" t="str">
        <f>"オカヤマシリツ オリエント ビジュツカン"</f>
        <v>オカヤマシリツ オリエント ビジュツカン</v>
      </c>
      <c r="F1504" t="str">
        <f t="shared" ref="F1504:F1509" si="88">"岡山"</f>
        <v>岡山</v>
      </c>
      <c r="G1504" t="str">
        <f>"年刊"</f>
        <v>年刊</v>
      </c>
      <c r="H1504" t="str">
        <f>"2002222281861"</f>
        <v>2002222281861</v>
      </c>
      <c r="I1504" t="str">
        <f>HYPERLINK("#", "https://opac.libnet.pref.okayama.jp/licsxp-opac/WOpacMsgNewListToTifTilDetailAction.do?tilcod=2002222281861")</f>
        <v>https://opac.libnet.pref.okayama.jp/licsxp-opac/WOpacMsgNewListToTifTilDetailAction.do?tilcod=2002222281861</v>
      </c>
    </row>
    <row r="1505" spans="1:9" x14ac:dyDescent="0.4">
      <c r="A1505" t="str">
        <f>"〔岡山市立吉備中学校〕研究紀要"</f>
        <v>〔岡山市立吉備中学校〕研究紀要</v>
      </c>
      <c r="B1505" s="1" t="str">
        <f t="shared" si="85"/>
        <v>〔岡山市立吉備中学校〕研究紀要</v>
      </c>
      <c r="C1505" t="str">
        <f>"オカヤマシリツ　キビチュウガッコウ　ケンキュウ　キヨウ"</f>
        <v>オカヤマシリツ　キビチュウガッコウ　ケンキュウ　キヨウ</v>
      </c>
      <c r="D1505" t="str">
        <f>"岡山市立吉備中学校"</f>
        <v>岡山市立吉備中学校</v>
      </c>
      <c r="E1505" t="str">
        <f>"オカヤマシリツキビチュウガッコウ"</f>
        <v>オカヤマシリツキビチュウガッコウ</v>
      </c>
      <c r="F1505" t="str">
        <f t="shared" si="88"/>
        <v>岡山</v>
      </c>
      <c r="G1505" t="str">
        <f>"頻度不明"</f>
        <v>頻度不明</v>
      </c>
      <c r="H1505" t="str">
        <f>"2002222301380"</f>
        <v>2002222301380</v>
      </c>
      <c r="I1505" t="str">
        <f>HYPERLINK("#", "https://opac.libnet.pref.okayama.jp/licsxp-opac/WOpacMsgNewListToTifTilDetailAction.do?tilcod=2002222301380")</f>
        <v>https://opac.libnet.pref.okayama.jp/licsxp-opac/WOpacMsgNewListToTifTilDetailAction.do?tilcod=2002222301380</v>
      </c>
    </row>
    <row r="1506" spans="1:9" x14ac:dyDescent="0.4">
      <c r="A1506" t="str">
        <f>"[岡山市立桑田中学校]学校要覧"</f>
        <v>[岡山市立桑田中学校]学校要覧</v>
      </c>
      <c r="B1506" s="1" t="str">
        <f t="shared" si="85"/>
        <v>[岡山市立桑田中学校]学校要覧</v>
      </c>
      <c r="C1506" t="str">
        <f>"オカヤマシリツ クワダ チュウガッコウ ガッコウ ヨウラン"</f>
        <v>オカヤマシリツ クワダ チュウガッコウ ガッコウ ヨウラン</v>
      </c>
      <c r="D1506" t="str">
        <f>"岡山市立桑田中学校"</f>
        <v>岡山市立桑田中学校</v>
      </c>
      <c r="E1506" t="str">
        <f>"オカヤマシリツ クワダ チュウガッコウ"</f>
        <v>オカヤマシリツ クワダ チュウガッコウ</v>
      </c>
      <c r="F1506" t="str">
        <f t="shared" si="88"/>
        <v>岡山</v>
      </c>
      <c r="G1506" t="str">
        <f>"年刊"</f>
        <v>年刊</v>
      </c>
      <c r="H1506" t="str">
        <f>"2002222336653"</f>
        <v>2002222336653</v>
      </c>
      <c r="I1506" t="str">
        <f>HYPERLINK("#", "https://opac.libnet.pref.okayama.jp/licsxp-opac/WOpacMsgNewListToTifTilDetailAction.do?tilcod=2002222336653")</f>
        <v>https://opac.libnet.pref.okayama.jp/licsxp-opac/WOpacMsgNewListToTifTilDetailAction.do?tilcod=2002222336653</v>
      </c>
    </row>
    <row r="1507" spans="1:9" x14ac:dyDescent="0.4">
      <c r="A1507" t="str">
        <f>"〔岡山市立桑田中学校〕研究のあゆみ"</f>
        <v>〔岡山市立桑田中学校〕研究のあゆみ</v>
      </c>
      <c r="B1507" s="1" t="str">
        <f t="shared" si="85"/>
        <v>〔岡山市立桑田中学校〕研究のあゆみ</v>
      </c>
      <c r="C1507" t="str">
        <f>"オカヤマシリツ　クワダ　チュウガッコウ＊ケンキュウ　ノ　アユミ"</f>
        <v>オカヤマシリツ　クワダ　チュウガッコウ＊ケンキュウ　ノ　アユミ</v>
      </c>
      <c r="D1507" t="str">
        <f>"岡山市立桑田中学校"</f>
        <v>岡山市立桑田中学校</v>
      </c>
      <c r="E1507" t="str">
        <f>"オカヤマシリツ クワダ チュウガッコウ"</f>
        <v>オカヤマシリツ クワダ チュウガッコウ</v>
      </c>
      <c r="F1507" t="str">
        <f t="shared" si="88"/>
        <v>岡山</v>
      </c>
      <c r="G1507" t="str">
        <f>"頻度不明"</f>
        <v>頻度不明</v>
      </c>
      <c r="H1507" t="str">
        <f>"2002222289593"</f>
        <v>2002222289593</v>
      </c>
      <c r="I1507" t="str">
        <f>HYPERLINK("#", "https://opac.libnet.pref.okayama.jp/licsxp-opac/WOpacMsgNewListToTifTilDetailAction.do?tilcod=2002222289593")</f>
        <v>https://opac.libnet.pref.okayama.jp/licsxp-opac/WOpacMsgNewListToTifTilDetailAction.do?tilcod=2002222289593</v>
      </c>
    </row>
    <row r="1508" spans="1:9" x14ac:dyDescent="0.4">
      <c r="A1508" t="str">
        <f>"[岡山市立光南台中学校]学校要覧"</f>
        <v>[岡山市立光南台中学校]学校要覧</v>
      </c>
      <c r="B1508" s="1" t="str">
        <f t="shared" si="85"/>
        <v>[岡山市立光南台中学校]学校要覧</v>
      </c>
      <c r="C1508" t="str">
        <f>"オカヤマシリツ コウナンダイ チュウガッコウ ガッコウ ヨウラン"</f>
        <v>オカヤマシリツ コウナンダイ チュウガッコウ ガッコウ ヨウラン</v>
      </c>
      <c r="D1508" t="str">
        <f>"岡山市立光南台中学校"</f>
        <v>岡山市立光南台中学校</v>
      </c>
      <c r="E1508" t="str">
        <f>"オカヤマシリツ コウナンダイ チュウガッコウ"</f>
        <v>オカヤマシリツ コウナンダイ チュウガッコウ</v>
      </c>
      <c r="F1508" t="str">
        <f t="shared" si="88"/>
        <v>岡山</v>
      </c>
      <c r="G1508" t="str">
        <f>"年刊"</f>
        <v>年刊</v>
      </c>
      <c r="H1508" t="str">
        <f>"2002222336652"</f>
        <v>2002222336652</v>
      </c>
      <c r="I1508" t="str">
        <f>HYPERLINK("#", "https://opac.libnet.pref.okayama.jp/licsxp-opac/WOpacMsgNewListToTifTilDetailAction.do?tilcod=2002222336652")</f>
        <v>https://opac.libnet.pref.okayama.jp/licsxp-opac/WOpacMsgNewListToTifTilDetailAction.do?tilcod=2002222336652</v>
      </c>
    </row>
    <row r="1509" spans="1:9" x14ac:dyDescent="0.4">
      <c r="A1509" t="str">
        <f>"岡山市立西大寺公民館講座案内"</f>
        <v>岡山市立西大寺公民館講座案内</v>
      </c>
      <c r="B1509" s="1" t="str">
        <f t="shared" si="85"/>
        <v>岡山市立西大寺公民館講座案内</v>
      </c>
      <c r="C1509" t="str">
        <f>"オカヤマシリツ　サイダイジ　コウミンカン　コウザ　アンナイ"</f>
        <v>オカヤマシリツ　サイダイジ　コウミンカン　コウザ　アンナイ</v>
      </c>
      <c r="D1509" t="str">
        <f>"岡山市立西大寺公民館"</f>
        <v>岡山市立西大寺公民館</v>
      </c>
      <c r="E1509" t="str">
        <f>"オカヤマシリツサイダイジコウミンカン"</f>
        <v>オカヤマシリツサイダイジコウミンカン</v>
      </c>
      <c r="F1509" t="str">
        <f t="shared" si="88"/>
        <v>岡山</v>
      </c>
      <c r="G1509" t="str">
        <f>"年刊"</f>
        <v>年刊</v>
      </c>
      <c r="H1509" t="str">
        <f>"2002222293881"</f>
        <v>2002222293881</v>
      </c>
      <c r="I1509" t="str">
        <f>HYPERLINK("#", "https://opac.libnet.pref.okayama.jp/licsxp-opac/WOpacMsgNewListToTifTilDetailAction.do?tilcod=2002222293881")</f>
        <v>https://opac.libnet.pref.okayama.jp/licsxp-opac/WOpacMsgNewListToTifTilDetailAction.do?tilcod=2002222293881</v>
      </c>
    </row>
    <row r="1510" spans="1:9" x14ac:dyDescent="0.4">
      <c r="A1510" t="str">
        <f>"〔岡山市立西大寺公民館〕こうみんかんあんない"</f>
        <v>〔岡山市立西大寺公民館〕こうみんかんあんない</v>
      </c>
      <c r="B1510" s="1" t="str">
        <f t="shared" si="85"/>
        <v>〔岡山市立西大寺公民館〕こうみんかんあんない</v>
      </c>
      <c r="C1510" t="str">
        <f>"オカヤマシリツ　サイダイジ　コウミンカン＊　コウミンカン　アンナイ"</f>
        <v>オカヤマシリツ　サイダイジ　コウミンカン＊　コウミンカン　アンナイ</v>
      </c>
      <c r="D1510" t="str">
        <f>"岡山市立西大寺公民館"</f>
        <v>岡山市立西大寺公民館</v>
      </c>
      <c r="E1510" t="str">
        <f>"オカヤマシリツサイダイジコウミンカン"</f>
        <v>オカヤマシリツサイダイジコウミンカン</v>
      </c>
      <c r="F1510" t="str">
        <f>""</f>
        <v/>
      </c>
      <c r="G1510" t="str">
        <f>"頻度不明"</f>
        <v>頻度不明</v>
      </c>
      <c r="H1510" t="str">
        <f>"2002222289933"</f>
        <v>2002222289933</v>
      </c>
      <c r="I1510" t="str">
        <f>HYPERLINK("#", "https://opac.libnet.pref.okayama.jp/licsxp-opac/WOpacMsgNewListToTifTilDetailAction.do?tilcod=2002222289933")</f>
        <v>https://opac.libnet.pref.okayama.jp/licsxp-opac/WOpacMsgNewListToTifTilDetailAction.do?tilcod=2002222289933</v>
      </c>
    </row>
    <row r="1511" spans="1:9" x14ac:dyDescent="0.4">
      <c r="A1511" t="str">
        <f>"岡山市立市民文化ホールだより"</f>
        <v>岡山市立市民文化ホールだより</v>
      </c>
      <c r="B1511" s="1" t="str">
        <f t="shared" si="85"/>
        <v>岡山市立市民文化ホールだより</v>
      </c>
      <c r="C1511" t="str">
        <f>"オカヤマシリツ　シミン　ブンカ　ホール　ダヨリ"</f>
        <v>オカヤマシリツ　シミン　ブンカ　ホール　ダヨリ</v>
      </c>
      <c r="D1511" t="str">
        <f>"岡山市立市民文化ホール"</f>
        <v>岡山市立市民文化ホール</v>
      </c>
      <c r="E1511" t="str">
        <f>"オカヤマシリツ シミン ブンカ ホール"</f>
        <v>オカヤマシリツ シミン ブンカ ホール</v>
      </c>
      <c r="F1511" t="str">
        <f t="shared" ref="F1511:F1518" si="89">"岡山"</f>
        <v>岡山</v>
      </c>
      <c r="G1511" t="str">
        <f>"月刊"</f>
        <v>月刊</v>
      </c>
      <c r="H1511" t="str">
        <f>"2002222293781"</f>
        <v>2002222293781</v>
      </c>
      <c r="I1511" t="str">
        <f>HYPERLINK("#", "https://opac.libnet.pref.okayama.jp/licsxp-opac/WOpacMsgNewListToTifTilDetailAction.do?tilcod=2002222293781")</f>
        <v>https://opac.libnet.pref.okayama.jp/licsxp-opac/WOpacMsgNewListToTifTilDetailAction.do?tilcod=2002222293781</v>
      </c>
    </row>
    <row r="1512" spans="1:9" x14ac:dyDescent="0.4">
      <c r="A1512" t="str">
        <f>"[岡山市立上道中学校]学校要覧"</f>
        <v>[岡山市立上道中学校]学校要覧</v>
      </c>
      <c r="B1512" s="1" t="str">
        <f t="shared" si="85"/>
        <v>[岡山市立上道中学校]学校要覧</v>
      </c>
      <c r="C1512" t="str">
        <f>"オカヤマシリツ ジョウトウ チュウガッコウ ガッコウ ヨウラン"</f>
        <v>オカヤマシリツ ジョウトウ チュウガッコウ ガッコウ ヨウラン</v>
      </c>
      <c r="D1512" t="str">
        <f>"岡山市立上道中学校"</f>
        <v>岡山市立上道中学校</v>
      </c>
      <c r="E1512" t="str">
        <f>"オカヤマシリツ ジョウトウ チュウガッコウ"</f>
        <v>オカヤマシリツ ジョウトウ チュウガッコウ</v>
      </c>
      <c r="F1512" t="str">
        <f t="shared" si="89"/>
        <v>岡山</v>
      </c>
      <c r="G1512" t="str">
        <f t="shared" ref="G1512:G1517" si="90">"年刊"</f>
        <v>年刊</v>
      </c>
      <c r="H1512" t="str">
        <f>"2002222336656"</f>
        <v>2002222336656</v>
      </c>
      <c r="I1512" t="str">
        <f>HYPERLINK("#", "https://opac.libnet.pref.okayama.jp/licsxp-opac/WOpacMsgNewListToTifTilDetailAction.do?tilcod=2002222336656")</f>
        <v>https://opac.libnet.pref.okayama.jp/licsxp-opac/WOpacMsgNewListToTifTilDetailAction.do?tilcod=2002222336656</v>
      </c>
    </row>
    <row r="1513" spans="1:9" x14ac:dyDescent="0.4">
      <c r="A1513" t="str">
        <f>"[岡山市立高松中学校]学校要覧"</f>
        <v>[岡山市立高松中学校]学校要覧</v>
      </c>
      <c r="B1513" s="1" t="str">
        <f t="shared" si="85"/>
        <v>[岡山市立高松中学校]学校要覧</v>
      </c>
      <c r="C1513" t="str">
        <f>"オカヤマシリツ タカマツ チュウガッコウ ガッコウ ヨウラン"</f>
        <v>オカヤマシリツ タカマツ チュウガッコウ ガッコウ ヨウラン</v>
      </c>
      <c r="D1513" t="str">
        <f>"岡山市立高松中学校"</f>
        <v>岡山市立高松中学校</v>
      </c>
      <c r="E1513" t="str">
        <f>"オカヤマシリツ タカマツ チュウガッコウ"</f>
        <v>オカヤマシリツ タカマツ チュウガッコウ</v>
      </c>
      <c r="F1513" t="str">
        <f t="shared" si="89"/>
        <v>岡山</v>
      </c>
      <c r="G1513" t="str">
        <f t="shared" si="90"/>
        <v>年刊</v>
      </c>
      <c r="H1513" t="str">
        <f>"2002222336655"</f>
        <v>2002222336655</v>
      </c>
      <c r="I1513" t="str">
        <f>HYPERLINK("#", "https://opac.libnet.pref.okayama.jp/licsxp-opac/WOpacMsgNewListToTifTilDetailAction.do?tilcod=2002222336655")</f>
        <v>https://opac.libnet.pref.okayama.jp/licsxp-opac/WOpacMsgNewListToTifTilDetailAction.do?tilcod=2002222336655</v>
      </c>
    </row>
    <row r="1514" spans="1:9" x14ac:dyDescent="0.4">
      <c r="A1514" t="str">
        <f>"岡山市立東疇小学校学校要覧"</f>
        <v>岡山市立東疇小学校学校要覧</v>
      </c>
      <c r="B1514" s="1" t="str">
        <f t="shared" si="85"/>
        <v>岡山市立東疇小学校学校要覧</v>
      </c>
      <c r="C1514" t="str">
        <f>"オカヤマシリツ ヒガシウネ ショウガッコウ"</f>
        <v>オカヤマシリツ ヒガシウネ ショウガッコウ</v>
      </c>
      <c r="D1514" t="str">
        <f>"岡山市立東疇小学校"</f>
        <v>岡山市立東疇小学校</v>
      </c>
      <c r="E1514" t="str">
        <f>"オカヤマシリ ツヒガシウネ ショウガッコウ"</f>
        <v>オカヤマシリ ツヒガシウネ ショウガッコウ</v>
      </c>
      <c r="F1514" t="str">
        <f t="shared" si="89"/>
        <v>岡山</v>
      </c>
      <c r="G1514" t="str">
        <f t="shared" si="90"/>
        <v>年刊</v>
      </c>
      <c r="H1514" t="str">
        <f>"2002222316827"</f>
        <v>2002222316827</v>
      </c>
      <c r="I1514" t="str">
        <f>HYPERLINK("#", "https://opac.libnet.pref.okayama.jp/licsxp-opac/WOpacMsgNewListToTifTilDetailAction.do?tilcod=2002222316827")</f>
        <v>https://opac.libnet.pref.okayama.jp/licsxp-opac/WOpacMsgNewListToTifTilDetailAction.do?tilcod=2002222316827</v>
      </c>
    </row>
    <row r="1515" spans="1:9" x14ac:dyDescent="0.4">
      <c r="A1515" t="str">
        <f>"[岡山市立福浜中学校]学校要覧"</f>
        <v>[岡山市立福浜中学校]学校要覧</v>
      </c>
      <c r="B1515" s="1" t="str">
        <f t="shared" si="85"/>
        <v>[岡山市立福浜中学校]学校要覧</v>
      </c>
      <c r="C1515" t="str">
        <f>"オカヤマシリツ フクハマ チュウガッコウ ガッコウ ヨウラン"</f>
        <v>オカヤマシリツ フクハマ チュウガッコウ ガッコウ ヨウラン</v>
      </c>
      <c r="D1515" t="str">
        <f>"岡山市立福浜中学校"</f>
        <v>岡山市立福浜中学校</v>
      </c>
      <c r="E1515" t="str">
        <f>"オカヤマシリツ フクハマ チュウガッコウ"</f>
        <v>オカヤマシリツ フクハマ チュウガッコウ</v>
      </c>
      <c r="F1515" t="str">
        <f t="shared" si="89"/>
        <v>岡山</v>
      </c>
      <c r="G1515" t="str">
        <f t="shared" si="90"/>
        <v>年刊</v>
      </c>
      <c r="H1515" t="str">
        <f>"2002222336654"</f>
        <v>2002222336654</v>
      </c>
      <c r="I1515" t="str">
        <f>HYPERLINK("#", "https://opac.libnet.pref.okayama.jp/licsxp-opac/WOpacMsgNewListToTifTilDetailAction.do?tilcod=2002222336654")</f>
        <v>https://opac.libnet.pref.okayama.jp/licsxp-opac/WOpacMsgNewListToTifTilDetailAction.do?tilcod=2002222336654</v>
      </c>
    </row>
    <row r="1516" spans="1:9" x14ac:dyDescent="0.4">
      <c r="A1516" t="str">
        <f>"岡山市立御南中学校学校要覧"</f>
        <v>岡山市立御南中学校学校要覧</v>
      </c>
      <c r="B1516" s="1" t="str">
        <f t="shared" si="85"/>
        <v>岡山市立御南中学校学校要覧</v>
      </c>
      <c r="C1516" t="str">
        <f>"オカヤマシリツ ミナン チュウガッコウ ガッコウ ヨウラン"</f>
        <v>オカヤマシリツ ミナン チュウガッコウ ガッコウ ヨウラン</v>
      </c>
      <c r="D1516" t="str">
        <f>"岡山市立御南中学校"</f>
        <v>岡山市立御南中学校</v>
      </c>
      <c r="E1516" t="str">
        <f>"オカヤマシリツ ミナン チュウガッコウ"</f>
        <v>オカヤマシリツ ミナン チュウガッコウ</v>
      </c>
      <c r="F1516" t="str">
        <f t="shared" si="89"/>
        <v>岡山</v>
      </c>
      <c r="G1516" t="str">
        <f t="shared" si="90"/>
        <v>年刊</v>
      </c>
      <c r="H1516" t="str">
        <f>"2002222335646"</f>
        <v>2002222335646</v>
      </c>
      <c r="I1516" t="str">
        <f>HYPERLINK("#", "https://opac.libnet.pref.okayama.jp/licsxp-opac/WOpacMsgNewListToTifTilDetailAction.do?tilcod=2002222335646")</f>
        <v>https://opac.libnet.pref.okayama.jp/licsxp-opac/WOpacMsgNewListToTifTilDetailAction.do?tilcod=2002222335646</v>
      </c>
    </row>
    <row r="1517" spans="1:9" x14ac:dyDescent="0.4">
      <c r="A1517" t="str">
        <f>"〔岡山市立岡山工業高等学校〕学校要覧"</f>
        <v>〔岡山市立岡山工業高等学校〕学校要覧</v>
      </c>
      <c r="B1517" s="1" t="str">
        <f t="shared" si="85"/>
        <v>〔岡山市立岡山工業高等学校〕学校要覧</v>
      </c>
      <c r="C1517" t="str">
        <f>"オカヤマシリツオカヤマコウギョウコウトウガッコウ＊ガッコウヨウラン"</f>
        <v>オカヤマシリツオカヤマコウギョウコウトウガッコウ＊ガッコウヨウラン</v>
      </c>
      <c r="D1517" t="str">
        <f>"岡山市立岡山工業高等学校"</f>
        <v>岡山市立岡山工業高等学校</v>
      </c>
      <c r="E1517" t="str">
        <f>"オカヤマシリツオカヤマコウギョウコウトウガッコウ"</f>
        <v>オカヤマシリツオカヤマコウギョウコウトウガッコウ</v>
      </c>
      <c r="F1517" t="str">
        <f t="shared" si="89"/>
        <v>岡山</v>
      </c>
      <c r="G1517" t="str">
        <f t="shared" si="90"/>
        <v>年刊</v>
      </c>
      <c r="H1517" t="str">
        <f>"2002222301990"</f>
        <v>2002222301990</v>
      </c>
      <c r="I1517" t="str">
        <f>HYPERLINK("#", "https://opac.libnet.pref.okayama.jp/licsxp-opac/WOpacMsgNewListToTifTilDetailAction.do?tilcod=2002222301990")</f>
        <v>https://opac.libnet.pref.okayama.jp/licsxp-opac/WOpacMsgNewListToTifTilDetailAction.do?tilcod=2002222301990</v>
      </c>
    </row>
    <row r="1518" spans="1:9" x14ac:dyDescent="0.4">
      <c r="A1518" t="str">
        <f>"〔岡山大学法文学部〕遼遠"</f>
        <v>〔岡山大学法文学部〕遼遠</v>
      </c>
      <c r="B1518" s="1" t="str">
        <f t="shared" si="85"/>
        <v>〔岡山大学法文学部〕遼遠</v>
      </c>
      <c r="C1518" t="str">
        <f>"オカヤマダイガク　ホウブンガクブ＊リョウエン"</f>
        <v>オカヤマダイガク　ホウブンガクブ＊リョウエン</v>
      </c>
      <c r="D1518" t="str">
        <f>"岡山大学法文学部二部文芸部"</f>
        <v>岡山大学法文学部二部文芸部</v>
      </c>
      <c r="E1518" t="str">
        <f>"オカヤマダイガクホウブンガクブニブブンゲイブ"</f>
        <v>オカヤマダイガクホウブンガクブニブブンゲイブ</v>
      </c>
      <c r="F1518" t="str">
        <f t="shared" si="89"/>
        <v>岡山</v>
      </c>
      <c r="G1518" t="str">
        <f>"頻度不明"</f>
        <v>頻度不明</v>
      </c>
      <c r="H1518" t="str">
        <f>"2002222288521"</f>
        <v>2002222288521</v>
      </c>
      <c r="I1518" t="str">
        <f>HYPERLINK("#", "https://opac.libnet.pref.okayama.jp/licsxp-opac/WOpacMsgNewListToTifTilDetailAction.do?tilcod=2002222288521")</f>
        <v>https://opac.libnet.pref.okayama.jp/licsxp-opac/WOpacMsgNewListToTifTilDetailAction.do?tilcod=2002222288521</v>
      </c>
    </row>
    <row r="1519" spans="1:9" x14ac:dyDescent="0.4">
      <c r="A1519" t="str">
        <f>"岡山西"</f>
        <v>岡山西</v>
      </c>
      <c r="B1519" s="1" t="str">
        <f t="shared" si="85"/>
        <v>岡山西</v>
      </c>
      <c r="C1519" t="str">
        <f>"オカヤマニシ"</f>
        <v>オカヤマニシ</v>
      </c>
      <c r="D1519" t="str">
        <f>"岡山西法人会"</f>
        <v>岡山西法人会</v>
      </c>
      <c r="E1519" t="str">
        <f>"オカヤマ ニシ ホウジンカイ"</f>
        <v>オカヤマ ニシ ホウジンカイ</v>
      </c>
      <c r="F1519" t="str">
        <f>""</f>
        <v/>
      </c>
      <c r="G1519" t="str">
        <f>"年２回刊"</f>
        <v>年２回刊</v>
      </c>
      <c r="H1519" t="str">
        <f>"2002222307769"</f>
        <v>2002222307769</v>
      </c>
      <c r="I1519" t="str">
        <f>HYPERLINK("#", "https://opac.libnet.pref.okayama.jp/licsxp-opac/WOpacMsgNewListToTifTilDetailAction.do?tilcod=2002222307769")</f>
        <v>https://opac.libnet.pref.okayama.jp/licsxp-opac/WOpacMsgNewListToTifTilDetailAction.do?tilcod=2002222307769</v>
      </c>
    </row>
    <row r="1520" spans="1:9" x14ac:dyDescent="0.4">
      <c r="A1520" t="str">
        <f>"岡山藩研究"</f>
        <v>岡山藩研究</v>
      </c>
      <c r="B1520" s="1" t="str">
        <f t="shared" si="85"/>
        <v>岡山藩研究</v>
      </c>
      <c r="C1520" t="str">
        <f>"オカヤマハン　ケンキュウ"</f>
        <v>オカヤマハン　ケンキュウ</v>
      </c>
      <c r="D1520" t="str">
        <f>"岡山藩研究会"</f>
        <v>岡山藩研究会</v>
      </c>
      <c r="E1520" t="str">
        <f>"オカヤマハンケンキュウカイ"</f>
        <v>オカヤマハンケンキュウカイ</v>
      </c>
      <c r="F1520" t="str">
        <f>"東京"</f>
        <v>東京</v>
      </c>
      <c r="G1520" t="str">
        <f>"不定期刊"</f>
        <v>不定期刊</v>
      </c>
      <c r="H1520" t="str">
        <f>"2002222291171"</f>
        <v>2002222291171</v>
      </c>
      <c r="I1520" t="str">
        <f>HYPERLINK("#", "https://opac.libnet.pref.okayama.jp/licsxp-opac/WOpacMsgNewListToTifTilDetailAction.do?tilcod=2002222291171")</f>
        <v>https://opac.libnet.pref.okayama.jp/licsxp-opac/WOpacMsgNewListToTifTilDetailAction.do?tilcod=2002222291171</v>
      </c>
    </row>
    <row r="1521" spans="1:9" x14ac:dyDescent="0.4">
      <c r="A1521" t="str">
        <f>"岡山東"</f>
        <v>岡山東</v>
      </c>
      <c r="B1521" s="1" t="str">
        <f t="shared" si="85"/>
        <v>岡山東</v>
      </c>
      <c r="C1521" t="str">
        <f>"オカヤマヒガシ"</f>
        <v>オカヤマヒガシ</v>
      </c>
      <c r="D1521" t="str">
        <f>"岡山東法人会"</f>
        <v>岡山東法人会</v>
      </c>
      <c r="E1521" t="str">
        <f>"オカヤマヒガシホウジンカイ"</f>
        <v>オカヤマヒガシホウジンカイ</v>
      </c>
      <c r="F1521" t="str">
        <f>"岡山"</f>
        <v>岡山</v>
      </c>
      <c r="G1521" t="str">
        <f>"年２回刊"</f>
        <v>年２回刊</v>
      </c>
      <c r="H1521" t="str">
        <f>"2002222302384"</f>
        <v>2002222302384</v>
      </c>
      <c r="I1521" t="str">
        <f>HYPERLINK("#", "https://opac.libnet.pref.okayama.jp/licsxp-opac/WOpacMsgNewListToTifTilDetailAction.do?tilcod=2002222302384")</f>
        <v>https://opac.libnet.pref.okayama.jp/licsxp-opac/WOpacMsgNewListToTifTilDetailAction.do?tilcod=2002222302384</v>
      </c>
    </row>
    <row r="1522" spans="1:9" x14ac:dyDescent="0.4">
      <c r="A1522" t="str">
        <f>"〔岡山東商業高等学校〕図書だより；岡山東商図書館新聞"</f>
        <v>〔岡山東商業高等学校〕図書だより；岡山東商図書館新聞</v>
      </c>
      <c r="B1522" s="1" t="str">
        <f t="shared" si="85"/>
        <v>〔岡山東商業高等学校〕図書だより；岡山東商図書館新聞</v>
      </c>
      <c r="C1522" t="str">
        <f>"オカヤマヒガシ　ショウギョウ　コウトウ　ガッコウ　トショダヨリ＊オカヤマ　ヒガシショウ　トショカン　シンブン"</f>
        <v>オカヤマヒガシ　ショウギョウ　コウトウ　ガッコウ　トショダヨリ＊オカヤマ　ヒガシショウ　トショカン　シンブン</v>
      </c>
      <c r="D1522" t="str">
        <f>"岡山東商業高等学校図書委員会"</f>
        <v>岡山東商業高等学校図書委員会</v>
      </c>
      <c r="E1522" t="str">
        <f>"オカヤマヒガシショウギョウコウトウガッコウトショイインカイ"</f>
        <v>オカヤマヒガシショウギョウコウトウガッコウトショイインカイ</v>
      </c>
      <c r="F1522" t="str">
        <f>"岡山"</f>
        <v>岡山</v>
      </c>
      <c r="G1522" t="str">
        <f>"頻度不明"</f>
        <v>頻度不明</v>
      </c>
      <c r="H1522" t="str">
        <f>"2002222301658"</f>
        <v>2002222301658</v>
      </c>
      <c r="I1522" t="str">
        <f>HYPERLINK("#", "https://opac.libnet.pref.okayama.jp/licsxp-opac/WOpacMsgNewListToTifTilDetailAction.do?tilcod=2002222301658")</f>
        <v>https://opac.libnet.pref.okayama.jp/licsxp-opac/WOpacMsgNewListToTifTilDetailAction.do?tilcod=2002222301658</v>
      </c>
    </row>
    <row r="1523" spans="1:9" x14ac:dyDescent="0.4">
      <c r="A1523" t="str">
        <f>"岡山びと；岡山シティミュージアム紀要"</f>
        <v>岡山びと；岡山シティミュージアム紀要</v>
      </c>
      <c r="B1523" s="1" t="str">
        <f t="shared" si="85"/>
        <v>岡山びと；岡山シティミュージアム紀要</v>
      </c>
      <c r="C1523" t="str">
        <f>"オカヤマビト＊オカヤマ　シティ　ミュージアム　キヨウ"</f>
        <v>オカヤマビト＊オカヤマ　シティ　ミュージアム　キヨウ</v>
      </c>
      <c r="D1523" t="str">
        <f>"岡山シティミュージアム"</f>
        <v>岡山シティミュージアム</v>
      </c>
      <c r="E1523" t="str">
        <f>"オカヤマ シティ ミュージアム"</f>
        <v>オカヤマ シティ ミュージアム</v>
      </c>
      <c r="F1523" t="str">
        <f>"岡山"</f>
        <v>岡山</v>
      </c>
      <c r="G1523" t="str">
        <f>"年刊"</f>
        <v>年刊</v>
      </c>
      <c r="H1523" t="str">
        <f>"2002222301435"</f>
        <v>2002222301435</v>
      </c>
      <c r="I1523" t="str">
        <f>HYPERLINK("#", "https://opac.libnet.pref.okayama.jp/licsxp-opac/WOpacMsgNewListToTifTilDetailAction.do?tilcod=2002222301435")</f>
        <v>https://opac.libnet.pref.okayama.jp/licsxp-opac/WOpacMsgNewListToTifTilDetailAction.do?tilcod=2002222301435</v>
      </c>
    </row>
    <row r="1524" spans="1:9" x14ac:dyDescent="0.4">
      <c r="A1524" t="str">
        <f>"岡山南図書館報"</f>
        <v>岡山南図書館報</v>
      </c>
      <c r="B1524" s="1" t="str">
        <f t="shared" si="85"/>
        <v>岡山南図書館報</v>
      </c>
      <c r="C1524" t="str">
        <f>"オカヤマミナミ　トショカンポウ"</f>
        <v>オカヤマミナミ　トショカンポウ</v>
      </c>
      <c r="D1524" t="str">
        <f>"岡山南高等学校図書委員会"</f>
        <v>岡山南高等学校図書委員会</v>
      </c>
      <c r="E1524" t="str">
        <f>"オカヤマミナミコウトウガッコウトショイインカイ"</f>
        <v>オカヤマミナミコウトウガッコウトショイインカイ</v>
      </c>
      <c r="F1524" t="str">
        <f>"岡山"</f>
        <v>岡山</v>
      </c>
      <c r="G1524" t="str">
        <f>"年刊"</f>
        <v>年刊</v>
      </c>
      <c r="H1524" t="str">
        <f>"2002222284691"</f>
        <v>2002222284691</v>
      </c>
      <c r="I1524" t="str">
        <f>HYPERLINK("#", "https://opac.libnet.pref.okayama.jp/licsxp-opac/WOpacMsgNewListToTifTilDetailAction.do?tilcod=2002222284691")</f>
        <v>https://opac.libnet.pref.okayama.jp/licsxp-opac/WOpacMsgNewListToTifTilDetailAction.do?tilcod=2002222284691</v>
      </c>
    </row>
    <row r="1525" spans="1:9" x14ac:dyDescent="0.4">
      <c r="A1525" t="str">
        <f>"Okayama Rivets Team MatchDay Program"</f>
        <v>Okayama Rivets Team MatchDay Program</v>
      </c>
      <c r="B1525" s="1" t="str">
        <f t="shared" si="85"/>
        <v>Okayama Rivets Team MatchDay Program</v>
      </c>
      <c r="C1525" t="str">
        <f>"オカヤマリ ベッツ チーム マッチディ プログラム"</f>
        <v>オカヤマリ ベッツ チーム マッチディ プログラム</v>
      </c>
      <c r="D1525" t="str">
        <f>"岡山リベッツ"</f>
        <v>岡山リベッツ</v>
      </c>
      <c r="E1525" t="str">
        <f>"オカヤマ リベッツ"</f>
        <v>オカヤマ リベッツ</v>
      </c>
      <c r="F1525" t="str">
        <f>"岡山"</f>
        <v>岡山</v>
      </c>
      <c r="G1525" t="str">
        <f>"不定期刊"</f>
        <v>不定期刊</v>
      </c>
      <c r="H1525" t="str">
        <f>"2002222335647"</f>
        <v>2002222335647</v>
      </c>
      <c r="I1525" t="str">
        <f>HYPERLINK("#", "https://opac.libnet.pref.okayama.jp/licsxp-opac/WOpacMsgNewListToTifTilDetailAction.do?tilcod=2002222335647")</f>
        <v>https://opac.libnet.pref.okayama.jp/licsxp-opac/WOpacMsgNewListToTifTilDetailAction.do?tilcod=2002222335647</v>
      </c>
    </row>
    <row r="1526" spans="1:9" x14ac:dyDescent="0.4">
      <c r="A1526" t="str">
        <f>"邑久海"</f>
        <v>邑久海</v>
      </c>
      <c r="B1526" s="1" t="str">
        <f t="shared" si="85"/>
        <v>邑久海</v>
      </c>
      <c r="C1526" t="str">
        <f>"オク　カイ"</f>
        <v>オク　カイ</v>
      </c>
      <c r="D1526" t="str">
        <f>"邑久海吟社"</f>
        <v>邑久海吟社</v>
      </c>
      <c r="E1526" t="str">
        <f>"オクカイギンシャ"</f>
        <v>オクカイギンシャ</v>
      </c>
      <c r="F1526" t="str">
        <f>""</f>
        <v/>
      </c>
      <c r="G1526" t="str">
        <f>"頻度不明"</f>
        <v>頻度不明</v>
      </c>
      <c r="H1526" t="str">
        <f>"2002222282043"</f>
        <v>2002222282043</v>
      </c>
      <c r="I1526" t="str">
        <f>HYPERLINK("#", "https://opac.libnet.pref.okayama.jp/licsxp-opac/WOpacMsgNewListToTifTilDetailAction.do?tilcod=2002222282043")</f>
        <v>https://opac.libnet.pref.okayama.jp/licsxp-opac/WOpacMsgNewListToTifTilDetailAction.do?tilcod=2002222282043</v>
      </c>
    </row>
    <row r="1527" spans="1:9" x14ac:dyDescent="0.4">
      <c r="A1527" t="str">
        <f>"邑久教育会誌"</f>
        <v>邑久教育会誌</v>
      </c>
      <c r="B1527" s="1" t="str">
        <f t="shared" si="85"/>
        <v>邑久教育会誌</v>
      </c>
      <c r="C1527" t="str">
        <f>"オク　キョウイク　カイ　シ"</f>
        <v>オク　キョウイク　カイ　シ</v>
      </c>
      <c r="D1527" t="str">
        <f>"邑久郡教育会"</f>
        <v>邑久郡教育会</v>
      </c>
      <c r="E1527" t="str">
        <f>"オクグンキョウイクカイ"</f>
        <v>オクグンキョウイクカイ</v>
      </c>
      <c r="F1527" t="str">
        <f>""</f>
        <v/>
      </c>
      <c r="G1527" t="str">
        <f>"頻度不明"</f>
        <v>頻度不明</v>
      </c>
      <c r="H1527" t="str">
        <f>"2002222282053"</f>
        <v>2002222282053</v>
      </c>
      <c r="I1527" t="str">
        <f>HYPERLINK("#", "https://opac.libnet.pref.okayama.jp/licsxp-opac/WOpacMsgNewListToTifTilDetailAction.do?tilcod=2002222282053")</f>
        <v>https://opac.libnet.pref.okayama.jp/licsxp-opac/WOpacMsgNewListToTifTilDetailAction.do?tilcod=2002222282053</v>
      </c>
    </row>
    <row r="1528" spans="1:9" x14ac:dyDescent="0.4">
      <c r="A1528" t="str">
        <f>"邑久高校新聞"</f>
        <v>邑久高校新聞</v>
      </c>
      <c r="B1528" s="1" t="str">
        <f t="shared" si="85"/>
        <v>邑久高校新聞</v>
      </c>
      <c r="C1528" t="str">
        <f>"オク　コウコウ　シンブン"</f>
        <v>オク　コウコウ　シンブン</v>
      </c>
      <c r="D1528" t="str">
        <f>"邑久高等学校新聞部"</f>
        <v>邑久高等学校新聞部</v>
      </c>
      <c r="E1528" t="str">
        <f>"オクコウトウガッコウシンブンブ"</f>
        <v>オクコウトウガッコウシンブンブ</v>
      </c>
      <c r="F1528" t="str">
        <f>"邑久町（邑久郡）"</f>
        <v>邑久町（邑久郡）</v>
      </c>
      <c r="G1528" t="str">
        <f>"頻度不明"</f>
        <v>頻度不明</v>
      </c>
      <c r="H1528" t="str">
        <f>"2002222301937"</f>
        <v>2002222301937</v>
      </c>
      <c r="I1528" t="str">
        <f>HYPERLINK("#", "https://opac.libnet.pref.okayama.jp/licsxp-opac/WOpacMsgNewListToTifTilDetailAction.do?tilcod=2002222301937")</f>
        <v>https://opac.libnet.pref.okayama.jp/licsxp-opac/WOpacMsgNewListToTifTilDetailAction.do?tilcod=2002222301937</v>
      </c>
    </row>
    <row r="1529" spans="1:9" x14ac:dyDescent="0.4">
      <c r="A1529" t="str">
        <f>"邑久高等学校学校案内"</f>
        <v>邑久高等学校学校案内</v>
      </c>
      <c r="B1529" s="1" t="str">
        <f t="shared" si="85"/>
        <v>邑久高等学校学校案内</v>
      </c>
      <c r="C1529" t="str">
        <f>"オク　コウトウ　ガッコウ　ガッコウ　アンナイ"</f>
        <v>オク　コウトウ　ガッコウ　ガッコウ　アンナイ</v>
      </c>
      <c r="D1529" t="str">
        <f>"邑久高等学校"</f>
        <v>邑久高等学校</v>
      </c>
      <c r="E1529" t="str">
        <f>"オク コウトウ ガッコウ"</f>
        <v>オク コウトウ ガッコウ</v>
      </c>
      <c r="F1529" t="str">
        <f>"瀬戸内"</f>
        <v>瀬戸内</v>
      </c>
      <c r="G1529" t="str">
        <f>"年刊"</f>
        <v>年刊</v>
      </c>
      <c r="H1529" t="str">
        <f>"2002222301196"</f>
        <v>2002222301196</v>
      </c>
      <c r="I1529" t="str">
        <f>HYPERLINK("#", "https://opac.libnet.pref.okayama.jp/licsxp-opac/WOpacMsgNewListToTifTilDetailAction.do?tilcod=2002222301196")</f>
        <v>https://opac.libnet.pref.okayama.jp/licsxp-opac/WOpacMsgNewListToTifTilDetailAction.do?tilcod=2002222301196</v>
      </c>
    </row>
    <row r="1530" spans="1:9" x14ac:dyDescent="0.4">
      <c r="A1530" t="str">
        <f>"邑久高等学校学校要覧"</f>
        <v>邑久高等学校学校要覧</v>
      </c>
      <c r="B1530" s="1" t="str">
        <f t="shared" si="85"/>
        <v>邑久高等学校学校要覧</v>
      </c>
      <c r="C1530" t="str">
        <f>"オク　コウトウ　ガッコウ　ガッコウ　ヨウラン"</f>
        <v>オク　コウトウ　ガッコウ　ガッコウ　ヨウラン</v>
      </c>
      <c r="D1530" t="str">
        <f>"邑久高等学校"</f>
        <v>邑久高等学校</v>
      </c>
      <c r="E1530" t="str">
        <f>"オク コウトウ ガッコウ"</f>
        <v>オク コウトウ ガッコウ</v>
      </c>
      <c r="F1530" t="str">
        <f>"瀬戸内"</f>
        <v>瀬戸内</v>
      </c>
      <c r="G1530" t="str">
        <f>"年刊"</f>
        <v>年刊</v>
      </c>
      <c r="H1530" t="str">
        <f>"2002222300536"</f>
        <v>2002222300536</v>
      </c>
      <c r="I1530" t="str">
        <f>HYPERLINK("#", "https://opac.libnet.pref.okayama.jp/licsxp-opac/WOpacMsgNewListToTifTilDetailAction.do?tilcod=2002222300536")</f>
        <v>https://opac.libnet.pref.okayama.jp/licsxp-opac/WOpacMsgNewListToTifTilDetailAction.do?tilcod=2002222300536</v>
      </c>
    </row>
    <row r="1531" spans="1:9" x14ac:dyDescent="0.4">
      <c r="A1531" t="str">
        <f>"[邑久高等学校]千町文庫"</f>
        <v>[邑久高等学校]千町文庫</v>
      </c>
      <c r="B1531" s="1" t="str">
        <f t="shared" si="85"/>
        <v>[邑久高等学校]千町文庫</v>
      </c>
      <c r="C1531" t="str">
        <f>"オク コウトウ ガッコウ センマチ ブンコ"</f>
        <v>オク コウトウ ガッコウ センマチ ブンコ</v>
      </c>
      <c r="D1531" t="str">
        <f>"邑久高等学校図書委員会"</f>
        <v>邑久高等学校図書委員会</v>
      </c>
      <c r="E1531" t="str">
        <f>"オクコウトウガッコウトショイインカイ"</f>
        <v>オクコウトウガッコウトショイインカイ</v>
      </c>
      <c r="F1531" t="str">
        <f>"瀬戸内"</f>
        <v>瀬戸内</v>
      </c>
      <c r="G1531" t="str">
        <f>"年刊"</f>
        <v>年刊</v>
      </c>
      <c r="H1531" t="str">
        <f>"2002222301656"</f>
        <v>2002222301656</v>
      </c>
      <c r="I1531" t="str">
        <f>HYPERLINK("#", "https://opac.libnet.pref.okayama.jp/licsxp-opac/WOpacMsgNewListToTifTilDetailAction.do?tilcod=2002222301656")</f>
        <v>https://opac.libnet.pref.okayama.jp/licsxp-opac/WOpacMsgNewListToTifTilDetailAction.do?tilcod=2002222301656</v>
      </c>
    </row>
    <row r="1532" spans="1:9" x14ac:dyDescent="0.4">
      <c r="A1532" t="str">
        <f>"邑久広報"</f>
        <v>邑久広報</v>
      </c>
      <c r="B1532" s="1" t="str">
        <f t="shared" si="85"/>
        <v>邑久広報</v>
      </c>
      <c r="C1532" t="str">
        <f>"オク コウホウ"</f>
        <v>オク コウホウ</v>
      </c>
      <c r="D1532" t="str">
        <f>"邑久町"</f>
        <v>邑久町</v>
      </c>
      <c r="E1532" t="str">
        <f>"オクチョウ"</f>
        <v>オクチョウ</v>
      </c>
      <c r="F1532" t="str">
        <f>"邑久町"</f>
        <v>邑久町</v>
      </c>
      <c r="G1532" t="str">
        <f>"月刊"</f>
        <v>月刊</v>
      </c>
      <c r="H1532" t="str">
        <f>"2002222341770"</f>
        <v>2002222341770</v>
      </c>
      <c r="I1532" t="str">
        <f>HYPERLINK("#", "https://opac.libnet.pref.okayama.jp/licsxp-opac/WOpacMsgNewListToTifTilDetailAction.do?tilcod=2002222341770")</f>
        <v>https://opac.libnet.pref.okayama.jp/licsxp-opac/WOpacMsgNewListToTifTilDetailAction.do?tilcod=2002222341770</v>
      </c>
    </row>
    <row r="1533" spans="1:9" x14ac:dyDescent="0.4">
      <c r="A1533" t="str">
        <f>"[邑久中学校]学友"</f>
        <v>[邑久中学校]学友</v>
      </c>
      <c r="B1533" s="1" t="str">
        <f t="shared" si="85"/>
        <v>[邑久中学校]学友</v>
      </c>
      <c r="C1533" t="str">
        <f>"オク チュウガッコウ ガクユウ"</f>
        <v>オク チュウガッコウ ガクユウ</v>
      </c>
      <c r="D1533" t="str">
        <f>"邑久中学校生徒会"</f>
        <v>邑久中学校生徒会</v>
      </c>
      <c r="E1533" t="str">
        <f>"オクチュウガッコウセイトカイ"</f>
        <v>オクチュウガッコウセイトカイ</v>
      </c>
      <c r="F1533" t="str">
        <f>"邑久町（邑久郡）"</f>
        <v>邑久町（邑久郡）</v>
      </c>
      <c r="G1533" t="str">
        <f>"頻度不明"</f>
        <v>頻度不明</v>
      </c>
      <c r="H1533" t="str">
        <f>"2002222281111"</f>
        <v>2002222281111</v>
      </c>
      <c r="I1533" t="str">
        <f>HYPERLINK("#", "https://opac.libnet.pref.okayama.jp/licsxp-opac/WOpacMsgNewListToTifTilDetailAction.do?tilcod=2002222281111")</f>
        <v>https://opac.libnet.pref.okayama.jp/licsxp-opac/WOpacMsgNewListToTifTilDetailAction.do?tilcod=2002222281111</v>
      </c>
    </row>
    <row r="1534" spans="1:9" x14ac:dyDescent="0.4">
      <c r="A1534" t="str">
        <f>"[邑久中学校]学友"</f>
        <v>[邑久中学校]学友</v>
      </c>
      <c r="B1534" s="1" t="str">
        <f t="shared" si="85"/>
        <v>[邑久中学校]学友</v>
      </c>
      <c r="C1534" t="str">
        <f>"オク チュウガッコウ ガクユウ"</f>
        <v>オク チュウガッコウ ガクユウ</v>
      </c>
      <c r="D1534" t="str">
        <f>"邑久中学校生徒会"</f>
        <v>邑久中学校生徒会</v>
      </c>
      <c r="E1534" t="str">
        <f>"オクチュウガッコウセイトカイ"</f>
        <v>オクチュウガッコウセイトカイ</v>
      </c>
      <c r="F1534" t="str">
        <f>"邑久町(邑久郡)"</f>
        <v>邑久町(邑久郡)</v>
      </c>
      <c r="G1534" t="str">
        <f>"頻度不明"</f>
        <v>頻度不明</v>
      </c>
      <c r="H1534" t="str">
        <f>"2002222329748"</f>
        <v>2002222329748</v>
      </c>
      <c r="I1534" t="str">
        <f>HYPERLINK("#", "https://opac.libnet.pref.okayama.jp/licsxp-opac/WOpacMsgNewListToTifTilDetailAction.do?tilcod=2002222329748")</f>
        <v>https://opac.libnet.pref.okayama.jp/licsxp-opac/WOpacMsgNewListToTifTilDetailAction.do?tilcod=2002222329748</v>
      </c>
    </row>
    <row r="1535" spans="1:9" x14ac:dyDescent="0.4">
      <c r="A1535" t="str">
        <f>"邑久郡農会報"</f>
        <v>邑久郡農会報</v>
      </c>
      <c r="B1535" s="1" t="str">
        <f t="shared" si="85"/>
        <v>邑久郡農会報</v>
      </c>
      <c r="C1535" t="str">
        <f>"オクグン　ノウカイ　ホウ"</f>
        <v>オクグン　ノウカイ　ホウ</v>
      </c>
      <c r="D1535" t="str">
        <f>"邑久郡農会"</f>
        <v>邑久郡農会</v>
      </c>
      <c r="E1535" t="str">
        <f>"オクグンノウカイ"</f>
        <v>オクグンノウカイ</v>
      </c>
      <c r="F1535" t="str">
        <f>""</f>
        <v/>
      </c>
      <c r="G1535" t="str">
        <f>"頻度不明"</f>
        <v>頻度不明</v>
      </c>
      <c r="H1535" t="str">
        <f>"2002222282063"</f>
        <v>2002222282063</v>
      </c>
      <c r="I1535" t="str">
        <f>HYPERLINK("#", "https://opac.libnet.pref.okayama.jp/licsxp-opac/WOpacMsgNewListToTifTilDetailAction.do?tilcod=2002222282063")</f>
        <v>https://opac.libnet.pref.okayama.jp/licsxp-opac/WOpacMsgNewListToTifTilDetailAction.do?tilcod=2002222282063</v>
      </c>
    </row>
    <row r="1536" spans="1:9" x14ac:dyDescent="0.4">
      <c r="A1536" t="str">
        <f>"邑久高生徒会新聞"</f>
        <v>邑久高生徒会新聞</v>
      </c>
      <c r="B1536" s="1" t="str">
        <f t="shared" si="85"/>
        <v>邑久高生徒会新聞</v>
      </c>
      <c r="C1536" t="str">
        <f>"オクコウ　セイトカイ　シンブン"</f>
        <v>オクコウ　セイトカイ　シンブン</v>
      </c>
      <c r="D1536" t="str">
        <f>"邑久高等学校"</f>
        <v>邑久高等学校</v>
      </c>
      <c r="E1536" t="str">
        <f>"オク コウトウ ガッコウ"</f>
        <v>オク コウトウ ガッコウ</v>
      </c>
      <c r="F1536" t="str">
        <f>"瀬戸内"</f>
        <v>瀬戸内</v>
      </c>
      <c r="G1536" t="str">
        <f>"頻度不明"</f>
        <v>頻度不明</v>
      </c>
      <c r="H1536" t="str">
        <f>"2002222301875"</f>
        <v>2002222301875</v>
      </c>
      <c r="I1536" t="str">
        <f>HYPERLINK("#", "https://opac.libnet.pref.okayama.jp/licsxp-opac/WOpacMsgNewListToTifTilDetailAction.do?tilcod=2002222301875")</f>
        <v>https://opac.libnet.pref.okayama.jp/licsxp-opac/WOpacMsgNewListToTifTilDetailAction.do?tilcod=2002222301875</v>
      </c>
    </row>
    <row r="1537" spans="1:9" x14ac:dyDescent="0.4">
      <c r="A1537" t="str">
        <f>"おぐらせんのう；岡山山草会会報"</f>
        <v>おぐらせんのう；岡山山草会会報</v>
      </c>
      <c r="B1537" s="1" t="str">
        <f t="shared" si="85"/>
        <v>おぐらせんのう；岡山山草会会報</v>
      </c>
      <c r="C1537" t="str">
        <f>"オグラセンノウ＊オカヤマ　サンソウカイ　カイホウ"</f>
        <v>オグラセンノウ＊オカヤマ　サンソウカイ　カイホウ</v>
      </c>
      <c r="D1537" t="str">
        <f>"岡山山草会"</f>
        <v>岡山山草会</v>
      </c>
      <c r="E1537" t="str">
        <f>"オカヤマサンソウカイ"</f>
        <v>オカヤマサンソウカイ</v>
      </c>
      <c r="F1537" t="str">
        <f>""</f>
        <v/>
      </c>
      <c r="G1537" t="str">
        <f>"頻度不明"</f>
        <v>頻度不明</v>
      </c>
      <c r="H1537" t="str">
        <f>"2002222287873"</f>
        <v>2002222287873</v>
      </c>
      <c r="I1537" t="str">
        <f>HYPERLINK("#", "https://opac.libnet.pref.okayama.jp/licsxp-opac/WOpacMsgNewListToTifTilDetailAction.do?tilcod=2002222287873")</f>
        <v>https://opac.libnet.pref.okayama.jp/licsxp-opac/WOpacMsgNewListToTifTilDetailAction.do?tilcod=2002222287873</v>
      </c>
    </row>
    <row r="1538" spans="1:9" x14ac:dyDescent="0.4">
      <c r="A1538" t="str">
        <f>"をこぜ"</f>
        <v>をこぜ</v>
      </c>
      <c r="B1538" s="1" t="str">
        <f t="shared" si="85"/>
        <v>をこぜ</v>
      </c>
      <c r="C1538" t="str">
        <f>"オコゼ"</f>
        <v>オコゼ</v>
      </c>
      <c r="D1538" t="str">
        <f>"をこぜ発行所"</f>
        <v>をこぜ発行所</v>
      </c>
      <c r="E1538" t="str">
        <f>"オコゼ ハッコウショ"</f>
        <v>オコゼ ハッコウショ</v>
      </c>
      <c r="F1538" t="str">
        <f>"岡山"</f>
        <v>岡山</v>
      </c>
      <c r="G1538" t="str">
        <f>"月刊"</f>
        <v>月刊</v>
      </c>
      <c r="H1538" t="str">
        <f>"2002222307207"</f>
        <v>2002222307207</v>
      </c>
      <c r="I1538" t="str">
        <f>HYPERLINK("#", "https://opac.libnet.pref.okayama.jp/licsxp-opac/WOpacMsgNewListToTifTilDetailAction.do?tilcod=2002222307207")</f>
        <v>https://opac.libnet.pref.okayama.jp/licsxp-opac/WOpacMsgNewListToTifTilDetailAction.do?tilcod=2002222307207</v>
      </c>
    </row>
    <row r="1539" spans="1:9" x14ac:dyDescent="0.4">
      <c r="A1539" t="str">
        <f>"?(おこぜ)"</f>
        <v>?(おこぜ)</v>
      </c>
      <c r="B1539" s="1" t="str">
        <f t="shared" si="85"/>
        <v>?(おこぜ)</v>
      </c>
      <c r="C1539" t="str">
        <f>"オコゼ"</f>
        <v>オコゼ</v>
      </c>
      <c r="D1539" t="str">
        <f>"おこぜ詩社"</f>
        <v>おこぜ詩社</v>
      </c>
      <c r="E1539" t="str">
        <f>"オコゼシシャ"</f>
        <v>オコゼシシャ</v>
      </c>
      <c r="F1539" t="str">
        <f>"邑久郡"</f>
        <v>邑久郡</v>
      </c>
      <c r="G1539" t="str">
        <f>"頻度不明"</f>
        <v>頻度不明</v>
      </c>
      <c r="H1539" t="str">
        <f>"2002222307275"</f>
        <v>2002222307275</v>
      </c>
      <c r="I1539" t="str">
        <f>HYPERLINK("#", "https://opac.libnet.pref.okayama.jp/licsxp-opac/WOpacMsgNewListToTifTilDetailAction.do?tilcod=2002222307275")</f>
        <v>https://opac.libnet.pref.okayama.jp/licsxp-opac/WOpacMsgNewListToTifTilDetailAction.do?tilcod=2002222307275</v>
      </c>
    </row>
    <row r="1540" spans="1:9" x14ac:dyDescent="0.4">
      <c r="A1540" t="str">
        <f>"稚児新聞"</f>
        <v>稚児新聞</v>
      </c>
      <c r="B1540" s="1" t="str">
        <f t="shared" ref="B1540:B1603" si="91">HYPERLINK("#", A1540)</f>
        <v>稚児新聞</v>
      </c>
      <c r="C1540" t="str">
        <f>"オサナ　シンブン"</f>
        <v>オサナ　シンブン</v>
      </c>
      <c r="D1540" t="str">
        <f>"時習社"</f>
        <v>時習社</v>
      </c>
      <c r="E1540" t="str">
        <f>"ジシュウシャ"</f>
        <v>ジシュウシャ</v>
      </c>
      <c r="F1540" t="str">
        <f>"岡山"</f>
        <v>岡山</v>
      </c>
      <c r="G1540" t="str">
        <f>"頻度不明"</f>
        <v>頻度不明</v>
      </c>
      <c r="H1540" t="str">
        <f>"2002222301005"</f>
        <v>2002222301005</v>
      </c>
      <c r="I1540" t="str">
        <f>HYPERLINK("#", "https://opac.libnet.pref.okayama.jp/licsxp-opac/WOpacMsgNewListToTifTilDetailAction.do?tilcod=2002222301005")</f>
        <v>https://opac.libnet.pref.okayama.jp/licsxp-opac/WOpacMsgNewListToTifTilDetailAction.do?tilcod=2002222301005</v>
      </c>
    </row>
    <row r="1541" spans="1:9" x14ac:dyDescent="0.4">
      <c r="A1541" t="str">
        <f>"をさな草誌；絵入人情(複製)"</f>
        <v>をさな草誌；絵入人情(複製)</v>
      </c>
      <c r="B1541" s="1" t="str">
        <f t="shared" si="91"/>
        <v>をさな草誌；絵入人情(複製)</v>
      </c>
      <c r="C1541" t="str">
        <f>"オサナ ソウシ＊エイリ ニンジョウ"</f>
        <v>オサナ ソウシ＊エイリ ニンジョウ</v>
      </c>
      <c r="D1541" t="str">
        <f>"恵善社"</f>
        <v>恵善社</v>
      </c>
      <c r="E1541" t="str">
        <f>"ケイゼンシャ"</f>
        <v>ケイゼンシャ</v>
      </c>
      <c r="F1541" t="str">
        <f>""</f>
        <v/>
      </c>
      <c r="G1541" t="str">
        <f>"頻度不明"</f>
        <v>頻度不明</v>
      </c>
      <c r="H1541" t="str">
        <f>"2002222287691"</f>
        <v>2002222287691</v>
      </c>
      <c r="I1541" t="str">
        <f>HYPERLINK("#", "https://opac.libnet.pref.okayama.jp/licsxp-opac/WOpacMsgNewListToTifTilDetailAction.do?tilcod=2002222287691")</f>
        <v>https://opac.libnet.pref.okayama.jp/licsxp-opac/WOpacMsgNewListToTifTilDetailAction.do?tilcod=2002222287691</v>
      </c>
    </row>
    <row r="1542" spans="1:9" x14ac:dyDescent="0.4">
      <c r="A1542" t="str">
        <f>"〔長船町中央公民館〕公民館だより"</f>
        <v>〔長船町中央公民館〕公民館だより</v>
      </c>
      <c r="B1542" s="1" t="str">
        <f t="shared" si="91"/>
        <v>〔長船町中央公民館〕公民館だより</v>
      </c>
      <c r="C1542" t="str">
        <f>"オサフネチョウ　チュウオウ　コウミンカン＊コウミンカン　ダヨリ"</f>
        <v>オサフネチョウ　チュウオウ　コウミンカン＊コウミンカン　ダヨリ</v>
      </c>
      <c r="D1542" t="str">
        <f>"長船町中央公民館"</f>
        <v>長船町中央公民館</v>
      </c>
      <c r="E1542" t="str">
        <f>"オサフネチョウチュウオウコウミンカン"</f>
        <v>オサフネチョウチュウオウコウミンカン</v>
      </c>
      <c r="F1542" t="str">
        <f>""</f>
        <v/>
      </c>
      <c r="G1542" t="str">
        <f>"頻度不明"</f>
        <v>頻度不明</v>
      </c>
      <c r="H1542" t="str">
        <f>"2002222289923"</f>
        <v>2002222289923</v>
      </c>
      <c r="I1542" t="str">
        <f>HYPERLINK("#", "https://opac.libnet.pref.okayama.jp/licsxp-opac/WOpacMsgNewListToTifTilDetailAction.do?tilcod=2002222289923")</f>
        <v>https://opac.libnet.pref.okayama.jp/licsxp-opac/WOpacMsgNewListToTifTilDetailAction.do?tilcod=2002222289923</v>
      </c>
    </row>
    <row r="1543" spans="1:9" x14ac:dyDescent="0.4">
      <c r="A1543" t="str">
        <f>"をしへ"</f>
        <v>をしへ</v>
      </c>
      <c r="B1543" s="1" t="str">
        <f t="shared" si="91"/>
        <v>をしへ</v>
      </c>
      <c r="C1543" t="str">
        <f>"オシエ"</f>
        <v>オシエ</v>
      </c>
      <c r="D1543" t="str">
        <f>"耳目堂"</f>
        <v>耳目堂</v>
      </c>
      <c r="E1543" t="str">
        <f>"ジモクドウ"</f>
        <v>ジモクドウ</v>
      </c>
      <c r="F1543" t="str">
        <f>""</f>
        <v/>
      </c>
      <c r="G1543" t="str">
        <f>"頻度不明"</f>
        <v>頻度不明</v>
      </c>
      <c r="H1543" t="str">
        <f>"2002222282073"</f>
        <v>2002222282073</v>
      </c>
      <c r="I1543" t="str">
        <f>HYPERLINK("#", "https://opac.libnet.pref.okayama.jp/licsxp-opac/WOpacMsgNewListToTifTilDetailAction.do?tilcod=2002222282073")</f>
        <v>https://opac.libnet.pref.okayama.jp/licsxp-opac/WOpacMsgNewListToTifTilDetailAction.do?tilcod=2002222282073</v>
      </c>
    </row>
    <row r="1544" spans="1:9" x14ac:dyDescent="0.4">
      <c r="A1544" t="str">
        <f>"をしゑ"</f>
        <v>をしゑ</v>
      </c>
      <c r="B1544" s="1" t="str">
        <f t="shared" si="91"/>
        <v>をしゑ</v>
      </c>
      <c r="C1544" t="str">
        <f>"オシエ"</f>
        <v>オシエ</v>
      </c>
      <c r="D1544" t="str">
        <f>"教育書房"</f>
        <v>教育書房</v>
      </c>
      <c r="E1544" t="str">
        <f>"キョウイクショボウ"</f>
        <v>キョウイクショボウ</v>
      </c>
      <c r="F1544" t="str">
        <f>""</f>
        <v/>
      </c>
      <c r="G1544" t="str">
        <f>"月刊"</f>
        <v>月刊</v>
      </c>
      <c r="H1544" t="str">
        <f>"2002222336968"</f>
        <v>2002222336968</v>
      </c>
      <c r="I1544" t="str">
        <f>HYPERLINK("#", "https://opac.libnet.pref.okayama.jp/licsxp-opac/WOpacMsgNewListToTifTilDetailAction.do?tilcod=2002222336968")</f>
        <v>https://opac.libnet.pref.okayama.jp/licsxp-opac/WOpacMsgNewListToTifTilDetailAction.do?tilcod=2002222336968</v>
      </c>
    </row>
    <row r="1545" spans="1:9" x14ac:dyDescent="0.4">
      <c r="A1545" t="str">
        <f>"教への光"</f>
        <v>教への光</v>
      </c>
      <c r="B1545" s="1" t="str">
        <f t="shared" si="91"/>
        <v>教への光</v>
      </c>
      <c r="C1545" t="str">
        <f>"オシエ　ノ　ヒカリ"</f>
        <v>オシエ　ノ　ヒカリ</v>
      </c>
      <c r="D1545" t="str">
        <f>"教光団"</f>
        <v>教光団</v>
      </c>
      <c r="E1545" t="str">
        <f>"キョウコウダン"</f>
        <v>キョウコウダン</v>
      </c>
      <c r="F1545" t="str">
        <f>"福谷村（吉備郡）"</f>
        <v>福谷村（吉備郡）</v>
      </c>
      <c r="G1545" t="str">
        <f>"隔月刊"</f>
        <v>隔月刊</v>
      </c>
      <c r="H1545" t="str">
        <f>"2002222300398"</f>
        <v>2002222300398</v>
      </c>
      <c r="I1545" t="str">
        <f>HYPERLINK("#", "https://opac.libnet.pref.okayama.jp/licsxp-opac/WOpacMsgNewListToTifTilDetailAction.do?tilcod=2002222300398")</f>
        <v>https://opac.libnet.pref.okayama.jp/licsxp-opac/WOpacMsgNewListToTifTilDetailAction.do?tilcod=2002222300398</v>
      </c>
    </row>
    <row r="1546" spans="1:9" x14ac:dyDescent="0.4">
      <c r="A1546" t="str">
        <f>"オセラ；おとな、暮らし、ときどきプレミアム"</f>
        <v>オセラ；おとな、暮らし、ときどきプレミアム</v>
      </c>
      <c r="B1546" s="1" t="str">
        <f t="shared" si="91"/>
        <v>オセラ；おとな、暮らし、ときどきプレミアム</v>
      </c>
      <c r="C1546" t="str">
        <f>"オセラ＊オトナ クラシ トキドキ プレミアム"</f>
        <v>オセラ＊オトナ クラシ トキドキ プレミアム</v>
      </c>
      <c r="D1546" t="str">
        <f>"ビザビ"</f>
        <v>ビザビ</v>
      </c>
      <c r="E1546" t="str">
        <f>"ビザビ"</f>
        <v>ビザビ</v>
      </c>
      <c r="F1546" t="str">
        <f>"岡山"</f>
        <v>岡山</v>
      </c>
      <c r="G1546" t="str">
        <f>"隔月刊"</f>
        <v>隔月刊</v>
      </c>
      <c r="H1546" t="str">
        <f>"2002222285601"</f>
        <v>2002222285601</v>
      </c>
      <c r="I1546" t="str">
        <f>HYPERLINK("#", "https://opac.libnet.pref.okayama.jp/licsxp-opac/WOpacMsgNewListToTifTilDetailAction.do?tilcod=2002222285601")</f>
        <v>https://opac.libnet.pref.okayama.jp/licsxp-opac/WOpacMsgNewListToTifTilDetailAction.do?tilcod=2002222285601</v>
      </c>
    </row>
    <row r="1547" spans="1:9" x14ac:dyDescent="0.4">
      <c r="A1547" t="str">
        <f>"小田郡農会年報"</f>
        <v>小田郡農会年報</v>
      </c>
      <c r="B1547" s="1" t="str">
        <f t="shared" si="91"/>
        <v>小田郡農会年報</v>
      </c>
      <c r="C1547" t="str">
        <f>"オダグン　ノウカイ　ネンポウ"</f>
        <v>オダグン　ノウカイ　ネンポウ</v>
      </c>
      <c r="D1547" t="str">
        <f>"小田郡農会"</f>
        <v>小田郡農会</v>
      </c>
      <c r="E1547" t="str">
        <f>"オダグンノウカイ"</f>
        <v>オダグンノウカイ</v>
      </c>
      <c r="F1547" t="str">
        <f>""</f>
        <v/>
      </c>
      <c r="G1547" t="str">
        <f>"頻度不明"</f>
        <v>頻度不明</v>
      </c>
      <c r="H1547" t="str">
        <f>"2002222282083"</f>
        <v>2002222282083</v>
      </c>
      <c r="I1547" t="str">
        <f>HYPERLINK("#", "https://opac.libnet.pref.okayama.jp/licsxp-opac/WOpacMsgNewListToTifTilDetailAction.do?tilcod=2002222282083")</f>
        <v>https://opac.libnet.pref.okayama.jp/licsxp-opac/WOpacMsgNewListToTifTilDetailAction.do?tilcod=2002222282083</v>
      </c>
    </row>
    <row r="1548" spans="1:9" x14ac:dyDescent="0.4">
      <c r="A1548" t="str">
        <f>"雄叫"</f>
        <v>雄叫</v>
      </c>
      <c r="B1548" s="1" t="str">
        <f t="shared" si="91"/>
        <v>雄叫</v>
      </c>
      <c r="C1548" t="str">
        <f>"オタケビ"</f>
        <v>オタケビ</v>
      </c>
      <c r="D1548" t="str">
        <f>"太伯村青年団"</f>
        <v>太伯村青年団</v>
      </c>
      <c r="E1548" t="str">
        <f>"タイハクソン セイネンダン"</f>
        <v>タイハクソン セイネンダン</v>
      </c>
      <c r="F1548" t="str">
        <f>"邑久"</f>
        <v>邑久</v>
      </c>
      <c r="G1548" t="str">
        <f>"頻度不明"</f>
        <v>頻度不明</v>
      </c>
      <c r="H1548" t="str">
        <f>"2002222306698"</f>
        <v>2002222306698</v>
      </c>
      <c r="I1548" t="str">
        <f>HYPERLINK("#", "https://opac.libnet.pref.okayama.jp/licsxp-opac/WOpacMsgNewListToTifTilDetailAction.do?tilcod=2002222306698")</f>
        <v>https://opac.libnet.pref.okayama.jp/licsxp-opac/WOpacMsgNewListToTifTilDetailAction.do?tilcod=2002222306698</v>
      </c>
    </row>
    <row r="1549" spans="1:9" x14ac:dyDescent="0.4">
      <c r="A1549" t="str">
        <f>"落合高校ＰＴＡ会報"</f>
        <v>落合高校ＰＴＡ会報</v>
      </c>
      <c r="B1549" s="1" t="str">
        <f t="shared" si="91"/>
        <v>落合高校ＰＴＡ会報</v>
      </c>
      <c r="C1549" t="str">
        <f>"オチアイ　コウコウ　ピーティーエー　カイホウ"</f>
        <v>オチアイ　コウコウ　ピーティーエー　カイホウ</v>
      </c>
      <c r="D1549" t="str">
        <f>"落合高等学校ＰＴＡ"</f>
        <v>落合高等学校ＰＴＡ</v>
      </c>
      <c r="E1549" t="str">
        <f>"オチアイコウトウガッコウピーティーエー"</f>
        <v>オチアイコウトウガッコウピーティーエー</v>
      </c>
      <c r="F1549" t="str">
        <f t="shared" ref="F1549:F1554" si="92">"真庭"</f>
        <v>真庭</v>
      </c>
      <c r="G1549" t="str">
        <f>"頻度不明"</f>
        <v>頻度不明</v>
      </c>
      <c r="H1549" t="str">
        <f>"2002222301874"</f>
        <v>2002222301874</v>
      </c>
      <c r="I1549" t="str">
        <f>HYPERLINK("#", "https://opac.libnet.pref.okayama.jp/licsxp-opac/WOpacMsgNewListToTifTilDetailAction.do?tilcod=2002222301874")</f>
        <v>https://opac.libnet.pref.okayama.jp/licsxp-opac/WOpacMsgNewListToTifTilDetailAction.do?tilcod=2002222301874</v>
      </c>
    </row>
    <row r="1550" spans="1:9" x14ac:dyDescent="0.4">
      <c r="A1550" t="str">
        <f>"落合高等学校学校案内"</f>
        <v>落合高等学校学校案内</v>
      </c>
      <c r="B1550" s="1" t="str">
        <f t="shared" si="91"/>
        <v>落合高等学校学校案内</v>
      </c>
      <c r="C1550" t="str">
        <f>"オチアイ　コウトウ　ガッコウ　ガッコウ　アンナイ"</f>
        <v>オチアイ　コウトウ　ガッコウ　ガッコウ　アンナイ</v>
      </c>
      <c r="D1550" t="str">
        <f>"落合高等学校"</f>
        <v>落合高等学校</v>
      </c>
      <c r="E1550" t="str">
        <f>"オチアイコウトウガッコウ"</f>
        <v>オチアイコウトウガッコウ</v>
      </c>
      <c r="F1550" t="str">
        <f t="shared" si="92"/>
        <v>真庭</v>
      </c>
      <c r="G1550" t="str">
        <f>"年刊"</f>
        <v>年刊</v>
      </c>
      <c r="H1550" t="str">
        <f>"2002222301285"</f>
        <v>2002222301285</v>
      </c>
      <c r="I1550" t="str">
        <f>HYPERLINK("#", "https://opac.libnet.pref.okayama.jp/licsxp-opac/WOpacMsgNewListToTifTilDetailAction.do?tilcod=2002222301285")</f>
        <v>https://opac.libnet.pref.okayama.jp/licsxp-opac/WOpacMsgNewListToTifTilDetailAction.do?tilcod=2002222301285</v>
      </c>
    </row>
    <row r="1551" spans="1:9" x14ac:dyDescent="0.4">
      <c r="A1551" t="str">
        <f>"落合高等学校学校要覧"</f>
        <v>落合高等学校学校要覧</v>
      </c>
      <c r="B1551" s="1" t="str">
        <f t="shared" si="91"/>
        <v>落合高等学校学校要覧</v>
      </c>
      <c r="C1551" t="str">
        <f>"オチアイ　コウトウ　ガッコウ　ガッコウ　ヨウラン"</f>
        <v>オチアイ　コウトウ　ガッコウ　ガッコウ　ヨウラン</v>
      </c>
      <c r="D1551" t="str">
        <f>"落合高等学校"</f>
        <v>落合高等学校</v>
      </c>
      <c r="E1551" t="str">
        <f>"オチアイコウトウガッコウ"</f>
        <v>オチアイコウトウガッコウ</v>
      </c>
      <c r="F1551" t="str">
        <f t="shared" si="92"/>
        <v>真庭</v>
      </c>
      <c r="G1551" t="str">
        <f>"年刊"</f>
        <v>年刊</v>
      </c>
      <c r="H1551" t="str">
        <f>"2002222300602"</f>
        <v>2002222300602</v>
      </c>
      <c r="I1551" t="str">
        <f>HYPERLINK("#", "https://opac.libnet.pref.okayama.jp/licsxp-opac/WOpacMsgNewListToTifTilDetailAction.do?tilcod=2002222300602")</f>
        <v>https://opac.libnet.pref.okayama.jp/licsxp-opac/WOpacMsgNewListToTifTilDetailAction.do?tilcod=2002222300602</v>
      </c>
    </row>
    <row r="1552" spans="1:9" x14ac:dyDescent="0.4">
      <c r="A1552" t="str">
        <f>"〔落合高等学校〕落高だより"</f>
        <v>〔落合高等学校〕落高だより</v>
      </c>
      <c r="B1552" s="1" t="str">
        <f t="shared" si="91"/>
        <v>〔落合高等学校〕落高だより</v>
      </c>
      <c r="C1552" t="str">
        <f>"オチアイ　コウトウ　ガッコウ＊オチコウ　ダヨリ"</f>
        <v>オチアイ　コウトウ　ガッコウ＊オチコウ　ダヨリ</v>
      </c>
      <c r="D1552" t="str">
        <f>"落合高等学校"</f>
        <v>落合高等学校</v>
      </c>
      <c r="E1552" t="str">
        <f>"オチアイコウトウガッコウ"</f>
        <v>オチアイコウトウガッコウ</v>
      </c>
      <c r="F1552" t="str">
        <f t="shared" si="92"/>
        <v>真庭</v>
      </c>
      <c r="G1552" t="str">
        <f>"頻度不明"</f>
        <v>頻度不明</v>
      </c>
      <c r="H1552" t="str">
        <f>"2002222301870"</f>
        <v>2002222301870</v>
      </c>
      <c r="I1552" t="str">
        <f>HYPERLINK("#", "https://opac.libnet.pref.okayama.jp/licsxp-opac/WOpacMsgNewListToTifTilDetailAction.do?tilcod=2002222301870")</f>
        <v>https://opac.libnet.pref.okayama.jp/licsxp-opac/WOpacMsgNewListToTifTilDetailAction.do?tilcod=2002222301870</v>
      </c>
    </row>
    <row r="1553" spans="1:9" x14ac:dyDescent="0.4">
      <c r="A1553" t="str">
        <f>"〔落合高等学校〕図書館報"</f>
        <v>〔落合高等学校〕図書館報</v>
      </c>
      <c r="B1553" s="1" t="str">
        <f t="shared" si="91"/>
        <v>〔落合高等学校〕図書館報</v>
      </c>
      <c r="C1553" t="str">
        <f>"オチアイ　コウトウ　ガッコウ＊トショカンポウ"</f>
        <v>オチアイ　コウトウ　ガッコウ＊トショカンポウ</v>
      </c>
      <c r="D1553" t="str">
        <f>"落合高等学校図書委員会"</f>
        <v>落合高等学校図書委員会</v>
      </c>
      <c r="E1553" t="str">
        <f>"オチアイコウトウガッコウトショイインカイ"</f>
        <v>オチアイコウトウガッコウトショイインカイ</v>
      </c>
      <c r="F1553" t="str">
        <f t="shared" si="92"/>
        <v>真庭</v>
      </c>
      <c r="G1553" t="str">
        <f>"頻度不明"</f>
        <v>頻度不明</v>
      </c>
      <c r="H1553" t="str">
        <f>"2002222301876"</f>
        <v>2002222301876</v>
      </c>
      <c r="I1553" t="str">
        <f>HYPERLINK("#", "https://opac.libnet.pref.okayama.jp/licsxp-opac/WOpacMsgNewListToTifTilDetailAction.do?tilcod=2002222301876")</f>
        <v>https://opac.libnet.pref.okayama.jp/licsxp-opac/WOpacMsgNewListToTifTilDetailAction.do?tilcod=2002222301876</v>
      </c>
    </row>
    <row r="1554" spans="1:9" x14ac:dyDescent="0.4">
      <c r="A1554" t="str">
        <f>"落合文化協会だより"</f>
        <v>落合文化協会だより</v>
      </c>
      <c r="B1554" s="1" t="str">
        <f t="shared" si="91"/>
        <v>落合文化協会だより</v>
      </c>
      <c r="C1554" t="str">
        <f>"オチアイ ブンカ キョウカイ ダヨリ"</f>
        <v>オチアイ ブンカ キョウカイ ダヨリ</v>
      </c>
      <c r="D1554" t="str">
        <f>"落合文化協会"</f>
        <v>落合文化協会</v>
      </c>
      <c r="E1554" t="str">
        <f>"オチアイ ブンカ キョウカイ"</f>
        <v>オチアイ ブンカ キョウカイ</v>
      </c>
      <c r="F1554" t="str">
        <f t="shared" si="92"/>
        <v>真庭</v>
      </c>
      <c r="G1554" t="str">
        <f>"年刊"</f>
        <v>年刊</v>
      </c>
      <c r="H1554" t="str">
        <f>"2002222335009"</f>
        <v>2002222335009</v>
      </c>
      <c r="I1554" t="str">
        <f>HYPERLINK("#", "https://opac.libnet.pref.okayama.jp/licsxp-opac/WOpacMsgNewListToTifTilDetailAction.do?tilcod=2002222335009")</f>
        <v>https://opac.libnet.pref.okayama.jp/licsxp-opac/WOpacMsgNewListToTifTilDetailAction.do?tilcod=2002222335009</v>
      </c>
    </row>
    <row r="1555" spans="1:9" x14ac:dyDescent="0.4">
      <c r="A1555" t="str">
        <f>"ＯＦＡ（オッファー）；岡山サッカーニュース"</f>
        <v>ＯＦＡ（オッファー）；岡山サッカーニュース</v>
      </c>
      <c r="B1555" s="1" t="str">
        <f t="shared" si="91"/>
        <v>ＯＦＡ（オッファー）；岡山サッカーニュース</v>
      </c>
      <c r="C1555" t="str">
        <f>"オッファー＊オカヤマ　サッカー　ニュース"</f>
        <v>オッファー＊オカヤマ　サッカー　ニュース</v>
      </c>
      <c r="D1555" t="str">
        <f>"岡山県サッカー協会"</f>
        <v>岡山県サッカー協会</v>
      </c>
      <c r="E1555" t="str">
        <f>"オカヤマケン サッカー キョウカイ"</f>
        <v>オカヤマケン サッカー キョウカイ</v>
      </c>
      <c r="F1555" t="str">
        <f>"岡山"</f>
        <v>岡山</v>
      </c>
      <c r="G1555" t="str">
        <f>"隔月刊"</f>
        <v>隔月刊</v>
      </c>
      <c r="H1555" t="str">
        <f>"2002222302323"</f>
        <v>2002222302323</v>
      </c>
      <c r="I1555" t="str">
        <f>HYPERLINK("#", "https://opac.libnet.pref.okayama.jp/licsxp-opac/WOpacMsgNewListToTifTilDetailAction.do?tilcod=2002222302323")</f>
        <v>https://opac.libnet.pref.okayama.jp/licsxp-opac/WOpacMsgNewListToTifTilDetailAction.do?tilcod=2002222302323</v>
      </c>
    </row>
    <row r="1556" spans="1:9" x14ac:dyDescent="0.4">
      <c r="A1556" t="str">
        <f>"お天気あれこれ"</f>
        <v>お天気あれこれ</v>
      </c>
      <c r="B1556" s="1" t="str">
        <f t="shared" si="91"/>
        <v>お天気あれこれ</v>
      </c>
      <c r="C1556" t="str">
        <f>"オテンキ　アレコレ"</f>
        <v>オテンキ　アレコレ</v>
      </c>
      <c r="D1556" t="str">
        <f>"岡山地方気象台防災業務課"</f>
        <v>岡山地方気象台防災業務課</v>
      </c>
      <c r="E1556" t="str">
        <f>"オカヤマチホウキショウダイボウサイギョウムカ"</f>
        <v>オカヤマチホウキショウダイボウサイギョウムカ</v>
      </c>
      <c r="F1556" t="str">
        <f>"岡山"</f>
        <v>岡山</v>
      </c>
      <c r="G1556" t="str">
        <f>"月刊"</f>
        <v>月刊</v>
      </c>
      <c r="H1556" t="str">
        <f>"2002222284861"</f>
        <v>2002222284861</v>
      </c>
      <c r="I1556" t="str">
        <f>HYPERLINK("#", "https://opac.libnet.pref.okayama.jp/licsxp-opac/WOpacMsgNewListToTifTilDetailAction.do?tilcod=2002222284861")</f>
        <v>https://opac.libnet.pref.okayama.jp/licsxp-opac/WOpacMsgNewListToTifTilDetailAction.do?tilcod=2002222284861</v>
      </c>
    </row>
    <row r="1557" spans="1:9" x14ac:dyDescent="0.4">
      <c r="A1557" t="str">
        <f>"乙島歴史だより"</f>
        <v>乙島歴史だより</v>
      </c>
      <c r="B1557" s="1" t="str">
        <f t="shared" si="91"/>
        <v>乙島歴史だより</v>
      </c>
      <c r="C1557" t="str">
        <f>"オトシマ レキシ ダヨリ"</f>
        <v>オトシマ レキシ ダヨリ</v>
      </c>
      <c r="D1557" t="str">
        <f>"乙島歴史研究会"</f>
        <v>乙島歴史研究会</v>
      </c>
      <c r="E1557" t="str">
        <f>"オトシマ レキシ ケンキュウカイ"</f>
        <v>オトシマ レキシ ケンキュウカイ</v>
      </c>
      <c r="F1557" t="str">
        <f>"倉敷"</f>
        <v>倉敷</v>
      </c>
      <c r="G1557" t="str">
        <f>"年刊"</f>
        <v>年刊</v>
      </c>
      <c r="H1557" t="str">
        <f>"2002222344013"</f>
        <v>2002222344013</v>
      </c>
      <c r="I1557" t="str">
        <f>HYPERLINK("#", "https://opac.libnet.pref.okayama.jp/licsxp-opac/WOpacMsgNewListToTifTilDetailAction.do?tilcod=2002222344013")</f>
        <v>https://opac.libnet.pref.okayama.jp/licsxp-opac/WOpacMsgNewListToTifTilDetailAction.do?tilcod=2002222344013</v>
      </c>
    </row>
    <row r="1558" spans="1:9" x14ac:dyDescent="0.4">
      <c r="A1558" t="str">
        <f>"おとでぇー"</f>
        <v>おとでぇー</v>
      </c>
      <c r="B1558" s="1" t="str">
        <f t="shared" si="91"/>
        <v>おとでぇー</v>
      </c>
      <c r="C1558" t="str">
        <f>"オトデェー"</f>
        <v>オトデェー</v>
      </c>
      <c r="D1558" t="str">
        <f>"美星町青年団広報部"</f>
        <v>美星町青年団広報部</v>
      </c>
      <c r="E1558" t="str">
        <f>"ビセイチョウセイネンダンコウホウブ"</f>
        <v>ビセイチョウセイネンダンコウホウブ</v>
      </c>
      <c r="F1558" t="str">
        <f>""</f>
        <v/>
      </c>
      <c r="G1558" t="str">
        <f>"頻度不明"</f>
        <v>頻度不明</v>
      </c>
      <c r="H1558" t="str">
        <f>"2002222282093"</f>
        <v>2002222282093</v>
      </c>
      <c r="I1558" t="str">
        <f>HYPERLINK("#", "https://opac.libnet.pref.okayama.jp/licsxp-opac/WOpacMsgNewListToTifTilDetailAction.do?tilcod=2002222282093")</f>
        <v>https://opac.libnet.pref.okayama.jp/licsxp-opac/WOpacMsgNewListToTifTilDetailAction.do?tilcod=2002222282093</v>
      </c>
    </row>
    <row r="1559" spans="1:9" x14ac:dyDescent="0.4">
      <c r="A1559" t="str">
        <f>"大人の時間割"</f>
        <v>大人の時間割</v>
      </c>
      <c r="B1559" s="1" t="str">
        <f t="shared" si="91"/>
        <v>大人の時間割</v>
      </c>
      <c r="C1559" t="str">
        <f>"オトナ　ノ　ジカン　ワリ"</f>
        <v>オトナ　ノ　ジカン　ワリ</v>
      </c>
      <c r="D1559" t="str">
        <f>"ありみつゆうこ・たかはらともこ"</f>
        <v>ありみつゆうこ・たかはらともこ</v>
      </c>
      <c r="E1559" t="str">
        <f>"アリミツユウコタカハラトモコ"</f>
        <v>アリミツユウコタカハラトモコ</v>
      </c>
      <c r="F1559" t="str">
        <f>"〔岡山〕"</f>
        <v>〔岡山〕</v>
      </c>
      <c r="G1559" t="str">
        <f>"頻度不明"</f>
        <v>頻度不明</v>
      </c>
      <c r="H1559" t="str">
        <f>"2002222302360"</f>
        <v>2002222302360</v>
      </c>
      <c r="I1559" t="str">
        <f>HYPERLINK("#", "https://opac.libnet.pref.okayama.jp/licsxp-opac/WOpacMsgNewListToTifTilDetailAction.do?tilcod=2002222302360")</f>
        <v>https://opac.libnet.pref.okayama.jp/licsxp-opac/WOpacMsgNewListToTifTilDetailAction.do?tilcod=2002222302360</v>
      </c>
    </row>
    <row r="1560" spans="1:9" x14ac:dyDescent="0.4">
      <c r="A1560" t="str">
        <f>"おにきのぞみ 虹色通信"</f>
        <v>おにきのぞみ 虹色通信</v>
      </c>
      <c r="B1560" s="1" t="str">
        <f t="shared" si="91"/>
        <v>おにきのぞみ 虹色通信</v>
      </c>
      <c r="C1560" t="str">
        <f>"オニキノゾミ ニジイロ　ツウシン"</f>
        <v>オニキノゾミ ニジイロ　ツウシン</v>
      </c>
      <c r="D1560" t="str">
        <f>"おにきのぞみ"</f>
        <v>おにきのぞみ</v>
      </c>
      <c r="E1560" t="str">
        <f>"オニキノゾミ"</f>
        <v>オニキノゾミ</v>
      </c>
      <c r="F1560" t="str">
        <f>"岡山"</f>
        <v>岡山</v>
      </c>
      <c r="G1560" t="str">
        <f>"不定期刊"</f>
        <v>不定期刊</v>
      </c>
      <c r="H1560" t="str">
        <f>"2002222302418"</f>
        <v>2002222302418</v>
      </c>
      <c r="I1560" t="str">
        <f>HYPERLINK("#", "https://opac.libnet.pref.okayama.jp/licsxp-opac/WOpacMsgNewListToTifTilDetailAction.do?tilcod=2002222302418")</f>
        <v>https://opac.libnet.pref.okayama.jp/licsxp-opac/WOpacMsgNewListToTifTilDetailAction.do?tilcod=2002222302418</v>
      </c>
    </row>
    <row r="1561" spans="1:9" x14ac:dyDescent="0.4">
      <c r="A1561" t="str">
        <f>"オノマトペ通信"</f>
        <v>オノマトペ通信</v>
      </c>
      <c r="B1561" s="1" t="str">
        <f t="shared" si="91"/>
        <v>オノマトペ通信</v>
      </c>
      <c r="C1561" t="str">
        <f>"オノマトペ ツウシン"</f>
        <v>オノマトペ ツウシン</v>
      </c>
      <c r="D1561" t="str">
        <f>"現代玩具博物館・オルゴール夢館"</f>
        <v>現代玩具博物館・オルゴール夢館</v>
      </c>
      <c r="E1561" t="str">
        <f>"ゲンダイ ガング ハクブツカン オルゴール ユメカン"</f>
        <v>ゲンダイ ガング ハクブツカン オルゴール ユメカン</v>
      </c>
      <c r="F1561" t="str">
        <f>"美作"</f>
        <v>美作</v>
      </c>
      <c r="G1561" t="str">
        <f>"季刊"</f>
        <v>季刊</v>
      </c>
      <c r="H1561" t="str">
        <f>"2002222341231"</f>
        <v>2002222341231</v>
      </c>
      <c r="I1561" t="str">
        <f>HYPERLINK("#", "https://opac.libnet.pref.okayama.jp/licsxp-opac/WOpacMsgNewListToTifTilDetailAction.do?tilcod=2002222341231")</f>
        <v>https://opac.libnet.pref.okayama.jp/licsxp-opac/WOpacMsgNewListToTifTilDetailAction.do?tilcod=2002222341231</v>
      </c>
    </row>
    <row r="1562" spans="1:9" x14ac:dyDescent="0.4">
      <c r="A1562" t="str">
        <f>"おはなしおはなし銀の笛"</f>
        <v>おはなしおはなし銀の笛</v>
      </c>
      <c r="B1562" s="1" t="str">
        <f t="shared" si="91"/>
        <v>おはなしおはなし銀の笛</v>
      </c>
      <c r="C1562" t="str">
        <f>"オハナシ　オハナシ　ギン　ノ　フエ"</f>
        <v>オハナシ　オハナシ　ギン　ノ　フエ</v>
      </c>
      <c r="D1562" t="str">
        <f>"影山美佐子"</f>
        <v>影山美佐子</v>
      </c>
      <c r="E1562" t="str">
        <f>"カゲヤマミサコ"</f>
        <v>カゲヤマミサコ</v>
      </c>
      <c r="F1562" t="str">
        <f>"岡山"</f>
        <v>岡山</v>
      </c>
      <c r="G1562" t="str">
        <f>"年刊"</f>
        <v>年刊</v>
      </c>
      <c r="H1562" t="str">
        <f>"2002222284791"</f>
        <v>2002222284791</v>
      </c>
      <c r="I1562" t="str">
        <f>HYPERLINK("#", "https://opac.libnet.pref.okayama.jp/licsxp-opac/WOpacMsgNewListToTifTilDetailAction.do?tilcod=2002222284791")</f>
        <v>https://opac.libnet.pref.okayama.jp/licsxp-opac/WOpacMsgNewListToTifTilDetailAction.do?tilcod=2002222284791</v>
      </c>
    </row>
    <row r="1563" spans="1:9" x14ac:dyDescent="0.4">
      <c r="A1563" t="str">
        <f>"おはなし通信"</f>
        <v>おはなし通信</v>
      </c>
      <c r="B1563" s="1" t="str">
        <f t="shared" si="91"/>
        <v>おはなし通信</v>
      </c>
      <c r="C1563" t="str">
        <f>"オハナシ ツウシン"</f>
        <v>オハナシ ツウシン</v>
      </c>
      <c r="D1563" t="str">
        <f>"岡山ストーリーテリング研究会"</f>
        <v>岡山ストーリーテリング研究会</v>
      </c>
      <c r="E1563" t="str">
        <f>"オカヤマ ストーリー テリング ケンキュウカイ"</f>
        <v>オカヤマ ストーリー テリング ケンキュウカイ</v>
      </c>
      <c r="F1563" t="str">
        <f>"岡山"</f>
        <v>岡山</v>
      </c>
      <c r="G1563" t="str">
        <f>"年刊"</f>
        <v>年刊</v>
      </c>
      <c r="H1563" t="str">
        <f>"2002222306983"</f>
        <v>2002222306983</v>
      </c>
      <c r="I1563" t="str">
        <f>HYPERLINK("#", "https://opac.libnet.pref.okayama.jp/licsxp-opac/WOpacMsgNewListToTifTilDetailAction.do?tilcod=2002222306983")</f>
        <v>https://opac.libnet.pref.okayama.jp/licsxp-opac/WOpacMsgNewListToTifTilDetailAction.do?tilcod=2002222306983</v>
      </c>
    </row>
    <row r="1564" spans="1:9" x14ac:dyDescent="0.4">
      <c r="A1564" t="str">
        <f>"「帯江研」だより"</f>
        <v>「帯江研」だより</v>
      </c>
      <c r="B1564" s="1" t="str">
        <f t="shared" si="91"/>
        <v>「帯江研」だより</v>
      </c>
      <c r="C1564" t="str">
        <f>"オビエケン ダヨリ"</f>
        <v>オビエケン ダヨリ</v>
      </c>
      <c r="D1564" t="str">
        <f>"帯江鉱山研究会"</f>
        <v>帯江鉱山研究会</v>
      </c>
      <c r="E1564" t="str">
        <f>"オビエ コウザン ケンキュウカイ"</f>
        <v>オビエ コウザン ケンキュウカイ</v>
      </c>
      <c r="F1564" t="str">
        <f>"岡山"</f>
        <v>岡山</v>
      </c>
      <c r="G1564" t="str">
        <f>"頻度不明"</f>
        <v>頻度不明</v>
      </c>
      <c r="H1564" t="str">
        <f>"2002222336907"</f>
        <v>2002222336907</v>
      </c>
      <c r="I1564" t="str">
        <f>HYPERLINK("#", "https://opac.libnet.pref.okayama.jp/licsxp-opac/WOpacMsgNewListToTifTilDetailAction.do?tilcod=2002222336907")</f>
        <v>https://opac.libnet.pref.okayama.jp/licsxp-opac/WOpacMsgNewListToTifTilDetailAction.do?tilcod=2002222336907</v>
      </c>
    </row>
    <row r="1565" spans="1:9" x14ac:dyDescent="0.4">
      <c r="A1565" t="str">
        <f>"帯中"</f>
        <v>帯中</v>
      </c>
      <c r="B1565" s="1" t="str">
        <f t="shared" si="91"/>
        <v>帯中</v>
      </c>
      <c r="C1565" t="str">
        <f>"オビチュウ"</f>
        <v>オビチュウ</v>
      </c>
      <c r="D1565" t="str">
        <f>"倉敷市立帯江中学校"</f>
        <v>倉敷市立帯江中学校</v>
      </c>
      <c r="E1565" t="str">
        <f>"クラシキシリツオビエチュウガッコウ"</f>
        <v>クラシキシリツオビエチュウガッコウ</v>
      </c>
      <c r="F1565" t="str">
        <f>""</f>
        <v/>
      </c>
      <c r="G1565" t="str">
        <f>"頻度不明"</f>
        <v>頻度不明</v>
      </c>
      <c r="H1565" t="str">
        <f>"2002222282103"</f>
        <v>2002222282103</v>
      </c>
      <c r="I1565" t="str">
        <f>HYPERLINK("#", "https://opac.libnet.pref.okayama.jp/licsxp-opac/WOpacMsgNewListToTifTilDetailAction.do?tilcod=2002222282103")</f>
        <v>https://opac.libnet.pref.okayama.jp/licsxp-opac/WOpacMsgNewListToTifTilDetailAction.do?tilcod=2002222282103</v>
      </c>
    </row>
    <row r="1566" spans="1:9" x14ac:dyDescent="0.4">
      <c r="A1566" t="str">
        <f>"お部屋さがしはいい部屋ネット；岡山版"</f>
        <v>お部屋さがしはいい部屋ネット；岡山版</v>
      </c>
      <c r="B1566" s="1" t="str">
        <f t="shared" si="91"/>
        <v>お部屋さがしはいい部屋ネット；岡山版</v>
      </c>
      <c r="C1566" t="str">
        <f>"オヘヤ サガシ ワ イイ ヘヤ ネット＊オカヤマ バン"</f>
        <v>オヘヤ サガシ ワ イイ ヘヤ ネット＊オカヤマ バン</v>
      </c>
      <c r="D1566" t="str">
        <f>"大東建託"</f>
        <v>大東建託</v>
      </c>
      <c r="E1566" t="str">
        <f>"ダイトウケンタク"</f>
        <v>ダイトウケンタク</v>
      </c>
      <c r="F1566" t="str">
        <f>"岡山"</f>
        <v>岡山</v>
      </c>
      <c r="G1566" t="str">
        <f>"頻度不明"</f>
        <v>頻度不明</v>
      </c>
      <c r="H1566" t="str">
        <f>"2002222302399"</f>
        <v>2002222302399</v>
      </c>
      <c r="I1566" t="str">
        <f>HYPERLINK("#", "https://opac.libnet.pref.okayama.jp/licsxp-opac/WOpacMsgNewListToTifTilDetailAction.do?tilcod=2002222302399")</f>
        <v>https://opac.libnet.pref.okayama.jp/licsxp-opac/WOpacMsgNewListToTifTilDetailAction.do?tilcod=2002222302399</v>
      </c>
    </row>
    <row r="1567" spans="1:9" x14ac:dyDescent="0.4">
      <c r="A1567" t="str">
        <f>"お部屋さがしはいい部屋ネット；岡山東版"</f>
        <v>お部屋さがしはいい部屋ネット；岡山東版</v>
      </c>
      <c r="B1567" s="1" t="str">
        <f t="shared" si="91"/>
        <v>お部屋さがしはいい部屋ネット；岡山東版</v>
      </c>
      <c r="C1567" t="str">
        <f>"オヘヤ サガシ ワ イイ ヘヤ ネット＊オカヤマ ヒガシ バン"</f>
        <v>オヘヤ サガシ ワ イイ ヘヤ ネット＊オカヤマ ヒガシ バン</v>
      </c>
      <c r="D1567" t="str">
        <f>"大東建託"</f>
        <v>大東建託</v>
      </c>
      <c r="E1567" t="str">
        <f>"ダイトウケンタク"</f>
        <v>ダイトウケンタク</v>
      </c>
      <c r="F1567" t="str">
        <f>"岡山"</f>
        <v>岡山</v>
      </c>
      <c r="G1567" t="str">
        <f>"月刊"</f>
        <v>月刊</v>
      </c>
      <c r="H1567" t="str">
        <f>"2002222314886"</f>
        <v>2002222314886</v>
      </c>
      <c r="I1567" t="str">
        <f>HYPERLINK("#", "https://opac.libnet.pref.okayama.jp/licsxp-opac/WOpacMsgNewListToTifTilDetailAction.do?tilcod=2002222314886")</f>
        <v>https://opac.libnet.pref.okayama.jp/licsxp-opac/WOpacMsgNewListToTifTilDetailAction.do?tilcod=2002222314886</v>
      </c>
    </row>
    <row r="1568" spans="1:9" x14ac:dyDescent="0.4">
      <c r="A1568" t="str">
        <f>"お道の婦人"</f>
        <v>お道の婦人</v>
      </c>
      <c r="B1568" s="1" t="str">
        <f t="shared" si="91"/>
        <v>お道の婦人</v>
      </c>
      <c r="C1568" t="str">
        <f>"オミチ　ノ　フジン"</f>
        <v>オミチ　ノ　フジン</v>
      </c>
      <c r="D1568" t="str">
        <f>"黒住教婦人会本部"</f>
        <v>黒住教婦人会本部</v>
      </c>
      <c r="E1568" t="str">
        <f>"クロズミキョウ フジンカイ ホンブ"</f>
        <v>クロズミキョウ フジンカイ ホンブ</v>
      </c>
      <c r="F1568" t="str">
        <f>""</f>
        <v/>
      </c>
      <c r="G1568" t="str">
        <f>"頻度不明"</f>
        <v>頻度不明</v>
      </c>
      <c r="H1568" t="str">
        <f>"2002222282113"</f>
        <v>2002222282113</v>
      </c>
      <c r="I1568" t="str">
        <f>HYPERLINK("#", "https://opac.libnet.pref.okayama.jp/licsxp-opac/WOpacMsgNewListToTifTilDetailAction.do?tilcod=2002222282113")</f>
        <v>https://opac.libnet.pref.okayama.jp/licsxp-opac/WOpacMsgNewListToTifTilDetailAction.do?tilcod=2002222282113</v>
      </c>
    </row>
    <row r="1569" spans="1:9" x14ac:dyDescent="0.4">
      <c r="A1569" t="str">
        <f>"お道づれ"</f>
        <v>お道づれ</v>
      </c>
      <c r="B1569" s="1" t="str">
        <f t="shared" si="91"/>
        <v>お道づれ</v>
      </c>
      <c r="C1569" t="str">
        <f>"オミチズレ"</f>
        <v>オミチズレ</v>
      </c>
      <c r="D1569" t="str">
        <f>"黒住教日新社"</f>
        <v>黒住教日新社</v>
      </c>
      <c r="E1569" t="str">
        <f>"クロズミキョウ ニッシンシャ"</f>
        <v>クロズミキョウ ニッシンシャ</v>
      </c>
      <c r="F1569" t="str">
        <f>""</f>
        <v/>
      </c>
      <c r="G1569" t="str">
        <f>"月刊"</f>
        <v>月刊</v>
      </c>
      <c r="H1569" t="str">
        <f>"2002222331937"</f>
        <v>2002222331937</v>
      </c>
      <c r="I1569" t="str">
        <f>HYPERLINK("#", "https://opac.libnet.pref.okayama.jp/licsxp-opac/WOpacMsgNewListToTifTilDetailAction.do?tilcod=2002222331937")</f>
        <v>https://opac.libnet.pref.okayama.jp/licsxp-opac/WOpacMsgNewListToTifTilDetailAction.do?tilcod=2002222331937</v>
      </c>
    </row>
    <row r="1570" spans="1:9" x14ac:dyDescent="0.4">
      <c r="A1570" t="str">
        <f>"思い草;就実大学同窓会会報(就実女子大学同窓会会報)"</f>
        <v>思い草;就実大学同窓会会報(就実女子大学同窓会会報)</v>
      </c>
      <c r="B1570" s="1" t="str">
        <f t="shared" si="91"/>
        <v>思い草;就実大学同窓会会報(就実女子大学同窓会会報)</v>
      </c>
      <c r="C1570" t="str">
        <f>"オモイ グサ*シュウジツ ダイガク ドウソウカイ カイホウ シュウジツ ジョシ ダイガク ドウソウカイ カイホウ"</f>
        <v>オモイ グサ*シュウジツ ダイガク ドウソウカイ カイホウ シュウジツ ジョシ ダイガク ドウソウカイ カイホウ</v>
      </c>
      <c r="D1570" t="str">
        <f>"就実大学同窓会事務局"</f>
        <v>就実大学同窓会事務局</v>
      </c>
      <c r="E1570" t="str">
        <f>"シュウジツ ダイガク ドウソウカイ ジムキョク"</f>
        <v>シュウジツ ダイガク ドウソウカイ ジムキョク</v>
      </c>
      <c r="F1570" t="str">
        <f>"岡山"</f>
        <v>岡山</v>
      </c>
      <c r="G1570" t="str">
        <f>"不定期刊"</f>
        <v>不定期刊</v>
      </c>
      <c r="H1570" t="str">
        <f>"2002222310126"</f>
        <v>2002222310126</v>
      </c>
      <c r="I1570" t="str">
        <f>HYPERLINK("#", "https://opac.libnet.pref.okayama.jp/licsxp-opac/WOpacMsgNewListToTifTilDetailAction.do?tilcod=2002222310126")</f>
        <v>https://opac.libnet.pref.okayama.jp/licsxp-opac/WOpacMsgNewListToTifTilDetailAction.do?tilcod=2002222310126</v>
      </c>
    </row>
    <row r="1571" spans="1:9" x14ac:dyDescent="0.4">
      <c r="A1571" t="str">
        <f>"思いのまま"</f>
        <v>思いのまま</v>
      </c>
      <c r="B1571" s="1" t="str">
        <f t="shared" si="91"/>
        <v>思いのまま</v>
      </c>
      <c r="C1571" t="str">
        <f>"オモイ　ノ　ママ"</f>
        <v>オモイ　ノ　ママ</v>
      </c>
      <c r="D1571" t="str">
        <f>"赤坂町公民館講座「思いのままをつづる学級」"</f>
        <v>赤坂町公民館講座「思いのままをつづる学級」</v>
      </c>
      <c r="E1571" t="str">
        <f>"アカサカチョウコウミンカンコウザオモイノママオツズルガッキュウ"</f>
        <v>アカサカチョウコウミンカンコウザオモイノママオツズルガッキュウ</v>
      </c>
      <c r="F1571" t="str">
        <f>"赤坂町（赤磐郡）"</f>
        <v>赤坂町（赤磐郡）</v>
      </c>
      <c r="G1571" t="str">
        <f>"年刊"</f>
        <v>年刊</v>
      </c>
      <c r="H1571" t="str">
        <f>"2002222294891"</f>
        <v>2002222294891</v>
      </c>
      <c r="I1571" t="str">
        <f>HYPERLINK("#", "https://opac.libnet.pref.okayama.jp/licsxp-opac/WOpacMsgNewListToTifTilDetailAction.do?tilcod=2002222294891")</f>
        <v>https://opac.libnet.pref.okayama.jp/licsxp-opac/WOpacMsgNewListToTifTilDetailAction.do?tilcod=2002222294891</v>
      </c>
    </row>
    <row r="1572" spans="1:9" x14ac:dyDescent="0.4">
      <c r="A1572" t="str">
        <f>"想い出と消息"</f>
        <v>想い出と消息</v>
      </c>
      <c r="B1572" s="1" t="str">
        <f t="shared" si="91"/>
        <v>想い出と消息</v>
      </c>
      <c r="C1572" t="str">
        <f>"オモイデ　ト　ショウソク"</f>
        <v>オモイデ　ト　ショウソク</v>
      </c>
      <c r="D1572" t="str">
        <f>"岡山ハルビン会"</f>
        <v>岡山ハルビン会</v>
      </c>
      <c r="E1572" t="str">
        <f>"オカヤマハルビンカイ"</f>
        <v>オカヤマハルビンカイ</v>
      </c>
      <c r="F1572" t="str">
        <f>""</f>
        <v/>
      </c>
      <c r="G1572" t="str">
        <f>"頻度不明"</f>
        <v>頻度不明</v>
      </c>
      <c r="H1572" t="str">
        <f>"2002222282123"</f>
        <v>2002222282123</v>
      </c>
      <c r="I1572" t="str">
        <f>HYPERLINK("#", "https://opac.libnet.pref.okayama.jp/licsxp-opac/WOpacMsgNewListToTifTilDetailAction.do?tilcod=2002222282123")</f>
        <v>https://opac.libnet.pref.okayama.jp/licsxp-opac/WOpacMsgNewListToTifTilDetailAction.do?tilcod=2002222282123</v>
      </c>
    </row>
    <row r="1573" spans="1:9" x14ac:dyDescent="0.4">
      <c r="A1573" t="str">
        <f>"おもいやり"</f>
        <v>おもいやり</v>
      </c>
      <c r="B1573" s="1" t="str">
        <f t="shared" si="91"/>
        <v>おもいやり</v>
      </c>
      <c r="C1573" t="str">
        <f>"オモイヤリ"</f>
        <v>オモイヤリ</v>
      </c>
      <c r="D1573" t="str">
        <f>"岡山動物愛護会"</f>
        <v>岡山動物愛護会</v>
      </c>
      <c r="E1573" t="str">
        <f>"オカヤマドウブツアイゴカイ"</f>
        <v>オカヤマドウブツアイゴカイ</v>
      </c>
      <c r="F1573" t="str">
        <f>""</f>
        <v/>
      </c>
      <c r="G1573" t="str">
        <f>"頻度不明"</f>
        <v>頻度不明</v>
      </c>
      <c r="H1573" t="str">
        <f>"2002222282133"</f>
        <v>2002222282133</v>
      </c>
      <c r="I1573" t="str">
        <f>HYPERLINK("#", "https://opac.libnet.pref.okayama.jp/licsxp-opac/WOpacMsgNewListToTifTilDetailAction.do?tilcod=2002222282133")</f>
        <v>https://opac.libnet.pref.okayama.jp/licsxp-opac/WOpacMsgNewListToTifTilDetailAction.do?tilcod=2002222282133</v>
      </c>
    </row>
    <row r="1574" spans="1:9" x14ac:dyDescent="0.4">
      <c r="A1574" t="str">
        <f>"おやつたいむ・ポエチカ作品集"</f>
        <v>おやつたいむ・ポエチカ作品集</v>
      </c>
      <c r="B1574" s="1" t="str">
        <f t="shared" si="91"/>
        <v>おやつたいむ・ポエチカ作品集</v>
      </c>
      <c r="C1574" t="str">
        <f>"オヤツ　タイム　ポエチカ　サクヒン　シュウ"</f>
        <v>オヤツ　タイム　ポエチカ　サクヒン　シュウ</v>
      </c>
      <c r="D1574" t="str">
        <f>"詩の会・裸足"</f>
        <v>詩の会・裸足</v>
      </c>
      <c r="E1574" t="str">
        <f>"シノカイハダシ"</f>
        <v>シノカイハダシ</v>
      </c>
      <c r="F1574" t="str">
        <f>""</f>
        <v/>
      </c>
      <c r="G1574" t="str">
        <f>"頻度不明"</f>
        <v>頻度不明</v>
      </c>
      <c r="H1574" t="str">
        <f>"2002222282143"</f>
        <v>2002222282143</v>
      </c>
      <c r="I1574" t="str">
        <f>HYPERLINK("#", "https://opac.libnet.pref.okayama.jp/licsxp-opac/WOpacMsgNewListToTifTilDetailAction.do?tilcod=2002222282143")</f>
        <v>https://opac.libnet.pref.okayama.jp/licsxp-opac/WOpacMsgNewListToTifTilDetailAction.do?tilcod=2002222282143</v>
      </c>
    </row>
    <row r="1575" spans="1:9" x14ac:dyDescent="0.4">
      <c r="A1575" t="str">
        <f>"オリコミアルパ 岡山版"</f>
        <v>オリコミアルパ 岡山版</v>
      </c>
      <c r="B1575" s="1" t="str">
        <f t="shared" si="91"/>
        <v>オリコミアルパ 岡山版</v>
      </c>
      <c r="C1575" t="str">
        <f>"オリコミ アルパ オカヤマ バン"</f>
        <v>オリコミ アルパ オカヤマ バン</v>
      </c>
      <c r="D1575" t="str">
        <f t="shared" ref="D1575:D1586" si="93">"KG情報"</f>
        <v>KG情報</v>
      </c>
      <c r="E1575" t="str">
        <f t="shared" ref="E1575:E1581" si="94">"ケージー ジョウホウ"</f>
        <v>ケージー ジョウホウ</v>
      </c>
      <c r="F1575" t="str">
        <f>"[岡山]"</f>
        <v>[岡山]</v>
      </c>
      <c r="G1575" t="str">
        <f t="shared" ref="G1575:G1586" si="95">"週刊"</f>
        <v>週刊</v>
      </c>
      <c r="H1575" t="str">
        <f>"2002222332348"</f>
        <v>2002222332348</v>
      </c>
      <c r="I1575" t="str">
        <f>HYPERLINK("#", "https://opac.libnet.pref.okayama.jp/licsxp-opac/WOpacMsgNewListToTifTilDetailAction.do?tilcod=2002222332348")</f>
        <v>https://opac.libnet.pref.okayama.jp/licsxp-opac/WOpacMsgNewListToTifTilDetailAction.do?tilcod=2002222332348</v>
      </c>
    </row>
    <row r="1576" spans="1:9" x14ac:dyDescent="0.4">
      <c r="A1576" t="str">
        <f>"オリコミアルパ 岡山県西版"</f>
        <v>オリコミアルパ 岡山県西版</v>
      </c>
      <c r="B1576" s="1" t="str">
        <f t="shared" si="91"/>
        <v>オリコミアルパ 岡山県西版</v>
      </c>
      <c r="C1576" t="str">
        <f>"オリコミ アルパ オカヤマケン ニシバン"</f>
        <v>オリコミ アルパ オカヤマケン ニシバン</v>
      </c>
      <c r="D1576" t="str">
        <f t="shared" si="93"/>
        <v>KG情報</v>
      </c>
      <c r="E1576" t="str">
        <f t="shared" si="94"/>
        <v>ケージー ジョウホウ</v>
      </c>
      <c r="F1576" t="str">
        <f>"[岡山]"</f>
        <v>[岡山]</v>
      </c>
      <c r="G1576" t="str">
        <f t="shared" si="95"/>
        <v>週刊</v>
      </c>
      <c r="H1576" t="str">
        <f>"2002222341271"</f>
        <v>2002222341271</v>
      </c>
      <c r="I1576" t="str">
        <f>HYPERLINK("#", "https://opac.libnet.pref.okayama.jp/licsxp-opac/WOpacMsgNewListToTifTilDetailAction.do?tilcod=2002222341271")</f>
        <v>https://opac.libnet.pref.okayama.jp/licsxp-opac/WOpacMsgNewListToTifTilDetailAction.do?tilcod=2002222341271</v>
      </c>
    </row>
    <row r="1577" spans="1:9" x14ac:dyDescent="0.4">
      <c r="A1577" t="str">
        <f>"オリコミアルパ 岡山県東版"</f>
        <v>オリコミアルパ 岡山県東版</v>
      </c>
      <c r="B1577" s="1" t="str">
        <f t="shared" si="91"/>
        <v>オリコミアルパ 岡山県東版</v>
      </c>
      <c r="C1577" t="str">
        <f>"オリコミ アルパ オカヤマケン ヒガシ バン"</f>
        <v>オリコミ アルパ オカヤマケン ヒガシ バン</v>
      </c>
      <c r="D1577" t="str">
        <f t="shared" si="93"/>
        <v>KG情報</v>
      </c>
      <c r="E1577" t="str">
        <f t="shared" si="94"/>
        <v>ケージー ジョウホウ</v>
      </c>
      <c r="F1577" t="str">
        <f>"岡山"</f>
        <v>岡山</v>
      </c>
      <c r="G1577" t="str">
        <f t="shared" si="95"/>
        <v>週刊</v>
      </c>
      <c r="H1577" t="str">
        <f>"2002222335746"</f>
        <v>2002222335746</v>
      </c>
      <c r="I1577" t="str">
        <f>HYPERLINK("#", "https://opac.libnet.pref.okayama.jp/licsxp-opac/WOpacMsgNewListToTifTilDetailAction.do?tilcod=2002222335746")</f>
        <v>https://opac.libnet.pref.okayama.jp/licsxp-opac/WOpacMsgNewListToTifTilDetailAction.do?tilcod=2002222335746</v>
      </c>
    </row>
    <row r="1578" spans="1:9" x14ac:dyDescent="0.4">
      <c r="A1578" t="str">
        <f>"オリコミアルパ 岡山中央版"</f>
        <v>オリコミアルパ 岡山中央版</v>
      </c>
      <c r="B1578" s="1" t="str">
        <f t="shared" si="91"/>
        <v>オリコミアルパ 岡山中央版</v>
      </c>
      <c r="C1578" t="str">
        <f>"オリコミ アルパ オカヤマチュウオウ バン"</f>
        <v>オリコミ アルパ オカヤマチュウオウ バン</v>
      </c>
      <c r="D1578" t="str">
        <f t="shared" si="93"/>
        <v>KG情報</v>
      </c>
      <c r="E1578" t="str">
        <f t="shared" si="94"/>
        <v>ケージー ジョウホウ</v>
      </c>
      <c r="F1578" t="str">
        <f t="shared" ref="F1578:F1586" si="96">"[岡山]"</f>
        <v>[岡山]</v>
      </c>
      <c r="G1578" t="str">
        <f t="shared" si="95"/>
        <v>週刊</v>
      </c>
      <c r="H1578" t="str">
        <f>"2002222334590"</f>
        <v>2002222334590</v>
      </c>
      <c r="I1578" t="str">
        <f>HYPERLINK("#", "https://opac.libnet.pref.okayama.jp/licsxp-opac/WOpacMsgNewListToTifTilDetailAction.do?tilcod=2002222334590")</f>
        <v>https://opac.libnet.pref.okayama.jp/licsxp-opac/WOpacMsgNewListToTifTilDetailAction.do?tilcod=2002222334590</v>
      </c>
    </row>
    <row r="1579" spans="1:9" x14ac:dyDescent="0.4">
      <c r="A1579" t="str">
        <f>"オリコミアルパ 岡山中央・北部版"</f>
        <v>オリコミアルパ 岡山中央・北部版</v>
      </c>
      <c r="B1579" s="1" t="str">
        <f t="shared" si="91"/>
        <v>オリコミアルパ 岡山中央・北部版</v>
      </c>
      <c r="C1579" t="str">
        <f>"オリコミ アルパ オカヤマチュウオウ ホクブ バン"</f>
        <v>オリコミ アルパ オカヤマチュウオウ ホクブ バン</v>
      </c>
      <c r="D1579" t="str">
        <f t="shared" si="93"/>
        <v>KG情報</v>
      </c>
      <c r="E1579" t="str">
        <f t="shared" si="94"/>
        <v>ケージー ジョウホウ</v>
      </c>
      <c r="F1579" t="str">
        <f t="shared" si="96"/>
        <v>[岡山]</v>
      </c>
      <c r="G1579" t="str">
        <f t="shared" si="95"/>
        <v>週刊</v>
      </c>
      <c r="H1579" t="str">
        <f>"2002222334589"</f>
        <v>2002222334589</v>
      </c>
      <c r="I1579" t="str">
        <f>HYPERLINK("#", "https://opac.libnet.pref.okayama.jp/licsxp-opac/WOpacMsgNewListToTifTilDetailAction.do?tilcod=2002222334589")</f>
        <v>https://opac.libnet.pref.okayama.jp/licsxp-opac/WOpacMsgNewListToTifTilDetailAction.do?tilcod=2002222334589</v>
      </c>
    </row>
    <row r="1580" spans="1:9" x14ac:dyDescent="0.4">
      <c r="A1580" t="str">
        <f>"オリコミアルパ 岡山中央・南版"</f>
        <v>オリコミアルパ 岡山中央・南版</v>
      </c>
      <c r="B1580" s="1" t="str">
        <f t="shared" si="91"/>
        <v>オリコミアルパ 岡山中央・南版</v>
      </c>
      <c r="C1580" t="str">
        <f>"オリコミ アルパ オカヤマチュウオウ ミナミ バン"</f>
        <v>オリコミ アルパ オカヤマチュウオウ ミナミ バン</v>
      </c>
      <c r="D1580" t="str">
        <f t="shared" si="93"/>
        <v>KG情報</v>
      </c>
      <c r="E1580" t="str">
        <f t="shared" si="94"/>
        <v>ケージー ジョウホウ</v>
      </c>
      <c r="F1580" t="str">
        <f t="shared" si="96"/>
        <v>[岡山]</v>
      </c>
      <c r="G1580" t="str">
        <f t="shared" si="95"/>
        <v>週刊</v>
      </c>
      <c r="H1580" t="str">
        <f>"2002222334592"</f>
        <v>2002222334592</v>
      </c>
      <c r="I1580" t="str">
        <f>HYPERLINK("#", "https://opac.libnet.pref.okayama.jp/licsxp-opac/WOpacMsgNewListToTifTilDetailAction.do?tilcod=2002222334592")</f>
        <v>https://opac.libnet.pref.okayama.jp/licsxp-opac/WOpacMsgNewListToTifTilDetailAction.do?tilcod=2002222334592</v>
      </c>
    </row>
    <row r="1581" spans="1:9" x14ac:dyDescent="0.4">
      <c r="A1581" t="str">
        <f>"オリコミアルパ 岡山東版"</f>
        <v>オリコミアルパ 岡山東版</v>
      </c>
      <c r="B1581" s="1" t="str">
        <f t="shared" si="91"/>
        <v>オリコミアルパ 岡山東版</v>
      </c>
      <c r="C1581" t="str">
        <f>"オリコミ アルパ オカヤマヒガシ バン"</f>
        <v>オリコミ アルパ オカヤマヒガシ バン</v>
      </c>
      <c r="D1581" t="str">
        <f t="shared" si="93"/>
        <v>KG情報</v>
      </c>
      <c r="E1581" t="str">
        <f t="shared" si="94"/>
        <v>ケージー ジョウホウ</v>
      </c>
      <c r="F1581" t="str">
        <f t="shared" si="96"/>
        <v>[岡山]</v>
      </c>
      <c r="G1581" t="str">
        <f t="shared" si="95"/>
        <v>週刊</v>
      </c>
      <c r="H1581" t="str">
        <f>"2002222334586"</f>
        <v>2002222334586</v>
      </c>
      <c r="I1581" t="str">
        <f>HYPERLINK("#", "https://opac.libnet.pref.okayama.jp/licsxp-opac/WOpacMsgNewListToTifTilDetailAction.do?tilcod=2002222334586")</f>
        <v>https://opac.libnet.pref.okayama.jp/licsxp-opac/WOpacMsgNewListToTifTilDetailAction.do?tilcod=2002222334586</v>
      </c>
    </row>
    <row r="1582" spans="1:9" x14ac:dyDescent="0.4">
      <c r="A1582" t="str">
        <f>"オリコミアルパ 岡山北東版"</f>
        <v>オリコミアルパ 岡山北東版</v>
      </c>
      <c r="B1582" s="1" t="str">
        <f t="shared" si="91"/>
        <v>オリコミアルパ 岡山北東版</v>
      </c>
      <c r="C1582" t="str">
        <f>"オリコミ アルパ オカヤマホクトウ バン"</f>
        <v>オリコミ アルパ オカヤマホクトウ バン</v>
      </c>
      <c r="D1582" t="str">
        <f t="shared" si="93"/>
        <v>KG情報</v>
      </c>
      <c r="E1582" t="str">
        <f>""</f>
        <v/>
      </c>
      <c r="F1582" t="str">
        <f t="shared" si="96"/>
        <v>[岡山]</v>
      </c>
      <c r="G1582" t="str">
        <f t="shared" si="95"/>
        <v>週刊</v>
      </c>
      <c r="H1582" t="str">
        <f>"2002222334587"</f>
        <v>2002222334587</v>
      </c>
      <c r="I1582" t="str">
        <f>HYPERLINK("#", "https://opac.libnet.pref.okayama.jp/licsxp-opac/WOpacMsgNewListToTifTilDetailAction.do?tilcod=2002222334587")</f>
        <v>https://opac.libnet.pref.okayama.jp/licsxp-opac/WOpacMsgNewListToTifTilDetailAction.do?tilcod=2002222334587</v>
      </c>
    </row>
    <row r="1583" spans="1:9" x14ac:dyDescent="0.4">
      <c r="A1583" t="str">
        <f>"オリコミアルパ 岡山南版"</f>
        <v>オリコミアルパ 岡山南版</v>
      </c>
      <c r="B1583" s="1" t="str">
        <f t="shared" si="91"/>
        <v>オリコミアルパ 岡山南版</v>
      </c>
      <c r="C1583" t="str">
        <f>"オリコミ アルパ オカヤマミナミ バン"</f>
        <v>オリコミ アルパ オカヤマミナミ バン</v>
      </c>
      <c r="D1583" t="str">
        <f t="shared" si="93"/>
        <v>KG情報</v>
      </c>
      <c r="E1583" t="str">
        <f>""</f>
        <v/>
      </c>
      <c r="F1583" t="str">
        <f t="shared" si="96"/>
        <v>[岡山]</v>
      </c>
      <c r="G1583" t="str">
        <f t="shared" si="95"/>
        <v>週刊</v>
      </c>
      <c r="H1583" t="str">
        <f>"2002222334588"</f>
        <v>2002222334588</v>
      </c>
      <c r="I1583" t="str">
        <f>HYPERLINK("#", "https://opac.libnet.pref.okayama.jp/licsxp-opac/WOpacMsgNewListToTifTilDetailAction.do?tilcod=2002222334588")</f>
        <v>https://opac.libnet.pref.okayama.jp/licsxp-opac/WOpacMsgNewListToTifTilDetailAction.do?tilcod=2002222334588</v>
      </c>
    </row>
    <row r="1584" spans="1:9" x14ac:dyDescent="0.4">
      <c r="A1584" t="str">
        <f>"オリコミアルパ 倉敷版"</f>
        <v>オリコミアルパ 倉敷版</v>
      </c>
      <c r="B1584" s="1" t="str">
        <f t="shared" si="91"/>
        <v>オリコミアルパ 倉敷版</v>
      </c>
      <c r="C1584" t="str">
        <f>"オリコミ アルパ クラシキ  バン"</f>
        <v>オリコミ アルパ クラシキ  バン</v>
      </c>
      <c r="D1584" t="str">
        <f t="shared" si="93"/>
        <v>KG情報</v>
      </c>
      <c r="E1584" t="str">
        <f>"ケージー ジョウホウ"</f>
        <v>ケージー ジョウホウ</v>
      </c>
      <c r="F1584" t="str">
        <f t="shared" si="96"/>
        <v>[岡山]</v>
      </c>
      <c r="G1584" t="str">
        <f t="shared" si="95"/>
        <v>週刊</v>
      </c>
      <c r="H1584" t="str">
        <f>"2002222334392"</f>
        <v>2002222334392</v>
      </c>
      <c r="I1584" t="str">
        <f>HYPERLINK("#", "https://opac.libnet.pref.okayama.jp/licsxp-opac/WOpacMsgNewListToTifTilDetailAction.do?tilcod=2002222334392")</f>
        <v>https://opac.libnet.pref.okayama.jp/licsxp-opac/WOpacMsgNewListToTifTilDetailAction.do?tilcod=2002222334392</v>
      </c>
    </row>
    <row r="1585" spans="1:9" x14ac:dyDescent="0.4">
      <c r="A1585" t="str">
        <f>"オリコミアルパ 倉敷・総社版"</f>
        <v>オリコミアルパ 倉敷・総社版</v>
      </c>
      <c r="B1585" s="1" t="str">
        <f t="shared" si="91"/>
        <v>オリコミアルパ 倉敷・総社版</v>
      </c>
      <c r="C1585" t="str">
        <f>"オリコミ アルパ クラシキ ソウジャ バン"</f>
        <v>オリコミ アルパ クラシキ ソウジャ バン</v>
      </c>
      <c r="D1585" t="str">
        <f t="shared" si="93"/>
        <v>KG情報</v>
      </c>
      <c r="E1585" t="str">
        <f>"ケージー ジョウホウ"</f>
        <v>ケージー ジョウホウ</v>
      </c>
      <c r="F1585" t="str">
        <f t="shared" si="96"/>
        <v>[岡山]</v>
      </c>
      <c r="G1585" t="str">
        <f t="shared" si="95"/>
        <v>週刊</v>
      </c>
      <c r="H1585" t="str">
        <f>"2002222334391"</f>
        <v>2002222334391</v>
      </c>
      <c r="I1585" t="str">
        <f>HYPERLINK("#", "https://opac.libnet.pref.okayama.jp/licsxp-opac/WOpacMsgNewListToTifTilDetailAction.do?tilcod=2002222334391")</f>
        <v>https://opac.libnet.pref.okayama.jp/licsxp-opac/WOpacMsgNewListToTifTilDetailAction.do?tilcod=2002222334391</v>
      </c>
    </row>
    <row r="1586" spans="1:9" x14ac:dyDescent="0.4">
      <c r="A1586" t="str">
        <f>"オリコミアルパ 倉敷・玉野版"</f>
        <v>オリコミアルパ 倉敷・玉野版</v>
      </c>
      <c r="B1586" s="1" t="str">
        <f t="shared" si="91"/>
        <v>オリコミアルパ 倉敷・玉野版</v>
      </c>
      <c r="C1586" t="str">
        <f>"オリコミ アルパ クラシキ タマノ バン"</f>
        <v>オリコミ アルパ クラシキ タマノ バン</v>
      </c>
      <c r="D1586" t="str">
        <f t="shared" si="93"/>
        <v>KG情報</v>
      </c>
      <c r="E1586" t="str">
        <f>"ケージー ジョウホウ"</f>
        <v>ケージー ジョウホウ</v>
      </c>
      <c r="F1586" t="str">
        <f t="shared" si="96"/>
        <v>[岡山]</v>
      </c>
      <c r="G1586" t="str">
        <f t="shared" si="95"/>
        <v>週刊</v>
      </c>
      <c r="H1586" t="str">
        <f>"2002222334390"</f>
        <v>2002222334390</v>
      </c>
      <c r="I1586" t="str">
        <f>HYPERLINK("#", "https://opac.libnet.pref.okayama.jp/licsxp-opac/WOpacMsgNewListToTifTilDetailAction.do?tilcod=2002222334390")</f>
        <v>https://opac.libnet.pref.okayama.jp/licsxp-opac/WOpacMsgNewListToTifTilDetailAction.do?tilcod=2002222334390</v>
      </c>
    </row>
    <row r="1587" spans="1:9" x14ac:dyDescent="0.4">
      <c r="A1587" t="str">
        <f>"折込広告イータウン!　岡山東版"</f>
        <v>折込広告イータウン!　岡山東版</v>
      </c>
      <c r="B1587" s="1" t="str">
        <f t="shared" si="91"/>
        <v>折込広告イータウン!　岡山東版</v>
      </c>
      <c r="C1587" t="str">
        <f>"オリコミ コウコク イータウン オカヤマ ヒガシ バン "</f>
        <v xml:space="preserve">オリコミ コウコク イータウン オカヤマ ヒガシ バン </v>
      </c>
      <c r="D1587" t="str">
        <f>"ターゲット"</f>
        <v>ターゲット</v>
      </c>
      <c r="E1587" t="str">
        <f>"ターゲット"</f>
        <v>ターゲット</v>
      </c>
      <c r="F1587" t="str">
        <f>"岡山"</f>
        <v>岡山</v>
      </c>
      <c r="G1587" t="str">
        <f>"月２回刊"</f>
        <v>月２回刊</v>
      </c>
      <c r="H1587" t="str">
        <f>"2002222332349"</f>
        <v>2002222332349</v>
      </c>
      <c r="I1587" t="str">
        <f>HYPERLINK("#", "https://opac.libnet.pref.okayama.jp/licsxp-opac/WOpacMsgNewListToTifTilDetailAction.do?tilcod=2002222332349")</f>
        <v>https://opac.libnet.pref.okayama.jp/licsxp-opac/WOpacMsgNewListToTifTilDetailAction.do?tilcod=2002222332349</v>
      </c>
    </row>
    <row r="1588" spans="1:9" x14ac:dyDescent="0.4">
      <c r="A1588" t="str">
        <f>"オリコミアルパ 岡山･倉敷版"</f>
        <v>オリコミアルパ 岡山･倉敷版</v>
      </c>
      <c r="B1588" s="1" t="str">
        <f t="shared" si="91"/>
        <v>オリコミアルパ 岡山･倉敷版</v>
      </c>
      <c r="C1588" t="str">
        <f>"オリコミアルパ オカヤマ クラシキ バン"</f>
        <v>オリコミアルパ オカヤマ クラシキ バン</v>
      </c>
      <c r="D1588" t="str">
        <f>"KG情報"</f>
        <v>KG情報</v>
      </c>
      <c r="E1588" t="str">
        <f>"ケージー ジョウホウ"</f>
        <v>ケージー ジョウホウ</v>
      </c>
      <c r="F1588" t="str">
        <f>"岡山"</f>
        <v>岡山</v>
      </c>
      <c r="G1588" t="str">
        <f>"週刊"</f>
        <v>週刊</v>
      </c>
      <c r="H1588" t="str">
        <f>"2002222342711"</f>
        <v>2002222342711</v>
      </c>
      <c r="I1588" t="str">
        <f>HYPERLINK("#", "https://opac.libnet.pref.okayama.jp/licsxp-opac/WOpacMsgNewListToTifTilDetailAction.do?tilcod=2002222342711")</f>
        <v>https://opac.libnet.pref.okayama.jp/licsxp-opac/WOpacMsgNewListToTifTilDetailAction.do?tilcod=2002222342711</v>
      </c>
    </row>
    <row r="1589" spans="1:9" x14ac:dyDescent="0.4">
      <c r="A1589" t="str">
        <f>"ＯＲＩＣ ＮＥＷＳ飛翔（オリックニュース飛翔）"</f>
        <v>ＯＲＩＣ ＮＥＷＳ飛翔（オリックニュース飛翔）</v>
      </c>
      <c r="B1589" s="1" t="str">
        <f t="shared" si="91"/>
        <v>ＯＲＩＣ ＮＥＷＳ飛翔（オリックニュース飛翔）</v>
      </c>
      <c r="C1589" t="str">
        <f>"オリック　ニュース　ヒショウ"</f>
        <v>オリック　ニュース　ヒショウ</v>
      </c>
      <c r="D1589" t="str">
        <f>"岡山リサーチパークインキュベーションセンター"</f>
        <v>岡山リサーチパークインキュベーションセンター</v>
      </c>
      <c r="E1589" t="str">
        <f>"オカヤマリサーチパークインキュベーションセンター"</f>
        <v>オカヤマリサーチパークインキュベーションセンター</v>
      </c>
      <c r="F1589" t="str">
        <f>"岡山"</f>
        <v>岡山</v>
      </c>
      <c r="G1589" t="str">
        <f>"季刊"</f>
        <v>季刊</v>
      </c>
      <c r="H1589" t="str">
        <f>"2002222301745"</f>
        <v>2002222301745</v>
      </c>
      <c r="I1589" t="str">
        <f>HYPERLINK("#", "https://opac.libnet.pref.okayama.jp/licsxp-opac/WOpacMsgNewListToTifTilDetailAction.do?tilcod=2002222301745")</f>
        <v>https://opac.libnet.pref.okayama.jp/licsxp-opac/WOpacMsgNewListToTifTilDetailAction.do?tilcod=2002222301745</v>
      </c>
    </row>
    <row r="1590" spans="1:9" x14ac:dyDescent="0.4">
      <c r="A1590" t="str">
        <f>"ｏｎ　ｔｈｅ　ｒｏａｄ　ＯＫＡＹＡＭＡ（オン　ザ　ロード　オカヤマ）；管内道路情報誌"</f>
        <v>ｏｎ　ｔｈｅ　ｒｏａｄ　ＯＫＡＹＡＭＡ（オン　ザ　ロード　オカヤマ）；管内道路情報誌</v>
      </c>
      <c r="B1590" s="1" t="str">
        <f t="shared" si="91"/>
        <v>ｏｎ　ｔｈｅ　ｒｏａｄ　ＯＫＡＹＡＭＡ（オン　ザ　ロード　オカヤマ）；管内道路情報誌</v>
      </c>
      <c r="C1590" t="str">
        <f>"オン　ザ　ロード　オカヤマ＊カンナイ　ドウロ　ジョウホウシ"</f>
        <v>オン　ザ　ロード　オカヤマ＊カンナイ　ドウロ　ジョウホウシ</v>
      </c>
      <c r="D1590" t="str">
        <f>"国土交通省岡山国道事務所岡山維持出張所"</f>
        <v>国土交通省岡山国道事務所岡山維持出張所</v>
      </c>
      <c r="E1590" t="str">
        <f>"ココクドコウツウショウオカヤマコクドウジムショオカヤマイジシュッチョウジョ"</f>
        <v>ココクドコウツウショウオカヤマコクドウジムショオカヤマイジシュッチョウジョ</v>
      </c>
      <c r="F1590" t="str">
        <f>"岡山"</f>
        <v>岡山</v>
      </c>
      <c r="G1590" t="str">
        <f>"不定期刊"</f>
        <v>不定期刊</v>
      </c>
      <c r="H1590" t="str">
        <f>"2002222301149"</f>
        <v>2002222301149</v>
      </c>
      <c r="I1590" t="str">
        <f>HYPERLINK("#", "https://opac.libnet.pref.okayama.jp/licsxp-opac/WOpacMsgNewListToTifTilDetailAction.do?tilcod=2002222301149")</f>
        <v>https://opac.libnet.pref.okayama.jp/licsxp-opac/WOpacMsgNewListToTifTilDetailAction.do?tilcod=2002222301149</v>
      </c>
    </row>
    <row r="1591" spans="1:9" x14ac:dyDescent="0.4">
      <c r="A1591" t="str">
        <f>"音協：おかやまコンサート情報"</f>
        <v>音協：おかやまコンサート情報</v>
      </c>
      <c r="B1591" s="1" t="str">
        <f t="shared" si="91"/>
        <v>音協：おかやまコンサート情報</v>
      </c>
      <c r="C1591" t="str">
        <f>"オンキョウ オカヤマ コンサート ジョウホウ"</f>
        <v>オンキョウ オカヤマ コンサート ジョウホウ</v>
      </c>
      <c r="D1591" t="str">
        <f>"岡山県音楽文化協会"</f>
        <v>岡山県音楽文化協会</v>
      </c>
      <c r="E1591" t="str">
        <f>"オカヤマケン オンガク ブンカ キョウカイ"</f>
        <v>オカヤマケン オンガク ブンカ キョウカイ</v>
      </c>
      <c r="F1591" t="str">
        <f>"岡山"</f>
        <v>岡山</v>
      </c>
      <c r="G1591" t="str">
        <f>"月刊"</f>
        <v>月刊</v>
      </c>
      <c r="H1591" t="str">
        <f>"2002222332726"</f>
        <v>2002222332726</v>
      </c>
      <c r="I1591" t="str">
        <f>HYPERLINK("#", "https://opac.libnet.pref.okayama.jp/licsxp-opac/WOpacMsgNewListToTifTilDetailAction.do?tilcod=2002222332726")</f>
        <v>https://opac.libnet.pref.okayama.jp/licsxp-opac/WOpacMsgNewListToTifTilDetailAction.do?tilcod=2002222332726</v>
      </c>
    </row>
    <row r="1592" spans="1:9" x14ac:dyDescent="0.4">
      <c r="A1592" t="str">
        <f>"温故"</f>
        <v>温故</v>
      </c>
      <c r="B1592" s="1" t="str">
        <f t="shared" si="91"/>
        <v>温故</v>
      </c>
      <c r="C1592" t="str">
        <f>"オンコ"</f>
        <v>オンコ</v>
      </c>
      <c r="D1592" t="str">
        <f>"温故会"</f>
        <v>温故会</v>
      </c>
      <c r="E1592" t="str">
        <f>"オンコカイ"</f>
        <v>オンコカイ</v>
      </c>
      <c r="F1592" t="str">
        <f>""</f>
        <v/>
      </c>
      <c r="G1592" t="str">
        <f>"頻度不明"</f>
        <v>頻度不明</v>
      </c>
      <c r="H1592" t="str">
        <f>"2002222282173"</f>
        <v>2002222282173</v>
      </c>
      <c r="I1592" t="str">
        <f>HYPERLINK("#", "https://opac.libnet.pref.okayama.jp/licsxp-opac/WOpacMsgNewListToTifTilDetailAction.do?tilcod=2002222282173")</f>
        <v>https://opac.libnet.pref.okayama.jp/licsxp-opac/WOpacMsgNewListToTifTilDetailAction.do?tilcod=2002222282173</v>
      </c>
    </row>
    <row r="1593" spans="1:9" x14ac:dyDescent="0.4">
      <c r="A1593" t="str">
        <f>"温古"</f>
        <v>温古</v>
      </c>
      <c r="B1593" s="1" t="str">
        <f t="shared" si="91"/>
        <v>温古</v>
      </c>
      <c r="C1593" t="str">
        <f>"オンコ"</f>
        <v>オンコ</v>
      </c>
      <c r="D1593" t="str">
        <f>"温古会"</f>
        <v>温古会</v>
      </c>
      <c r="E1593" t="str">
        <f>"オンコカイ"</f>
        <v>オンコカイ</v>
      </c>
      <c r="F1593" t="str">
        <f>""</f>
        <v/>
      </c>
      <c r="G1593" t="str">
        <f>"月刊"</f>
        <v>月刊</v>
      </c>
      <c r="H1593" t="str">
        <f>"2002222282163"</f>
        <v>2002222282163</v>
      </c>
      <c r="I1593" t="str">
        <f>HYPERLINK("#", "https://opac.libnet.pref.okayama.jp/licsxp-opac/WOpacMsgNewListToTifTilDetailAction.do?tilcod=2002222282163")</f>
        <v>https://opac.libnet.pref.okayama.jp/licsxp-opac/WOpacMsgNewListToTifTilDetailAction.do?tilcod=2002222282163</v>
      </c>
    </row>
    <row r="1594" spans="1:9" x14ac:dyDescent="0.4">
      <c r="A1594" t="str">
        <f>"おんころりん；備中食べる通信"</f>
        <v>おんころりん；備中食べる通信</v>
      </c>
      <c r="B1594" s="1" t="str">
        <f t="shared" si="91"/>
        <v>おんころりん；備中食べる通信</v>
      </c>
      <c r="C1594" t="str">
        <f>"オンコロリン＊ビッチュウ　タベル　ツウシン"</f>
        <v>オンコロリン＊ビッチュウ　タベル　ツウシン</v>
      </c>
      <c r="D1594" t="str">
        <f>"浅原青果"</f>
        <v>浅原青果</v>
      </c>
      <c r="E1594" t="str">
        <f>"アサハラセイカ"</f>
        <v>アサハラセイカ</v>
      </c>
      <c r="F1594" t="str">
        <f>"倉敷"</f>
        <v>倉敷</v>
      </c>
      <c r="G1594" t="str">
        <f>"隔月刊"</f>
        <v>隔月刊</v>
      </c>
      <c r="H1594" t="str">
        <f>"2002222326926"</f>
        <v>2002222326926</v>
      </c>
      <c r="I1594" t="str">
        <f>HYPERLINK("#", "https://opac.libnet.pref.okayama.jp/licsxp-opac/WOpacMsgNewListToTifTilDetailAction.do?tilcod=2002222326926")</f>
        <v>https://opac.libnet.pref.okayama.jp/licsxp-opac/WOpacMsgNewListToTifTilDetailAction.do?tilcod=2002222326926</v>
      </c>
    </row>
    <row r="1595" spans="1:9" x14ac:dyDescent="0.4">
      <c r="A1595" t="str">
        <f>"温心"</f>
        <v>温心</v>
      </c>
      <c r="B1595" s="1" t="str">
        <f t="shared" si="91"/>
        <v>温心</v>
      </c>
      <c r="C1595" t="str">
        <f>"オンシン"</f>
        <v>オンシン</v>
      </c>
      <c r="D1595" t="str">
        <f>"真庭郡仏教徒協議会"</f>
        <v>真庭郡仏教徒協議会</v>
      </c>
      <c r="E1595" t="str">
        <f>"マニワグンブッキョウトキョウギカイ"</f>
        <v>マニワグンブッキョウトキョウギカイ</v>
      </c>
      <c r="F1595" t="str">
        <f>""</f>
        <v/>
      </c>
      <c r="G1595" t="str">
        <f>"不定期刊"</f>
        <v>不定期刊</v>
      </c>
      <c r="H1595" t="str">
        <f>"2002222292291"</f>
        <v>2002222292291</v>
      </c>
      <c r="I1595" t="str">
        <f>HYPERLINK("#", "https://opac.libnet.pref.okayama.jp/licsxp-opac/WOpacMsgNewListToTifTilDetailAction.do?tilcod=2002222292291")</f>
        <v>https://opac.libnet.pref.okayama.jp/licsxp-opac/WOpacMsgNewListToTifTilDetailAction.do?tilcod=2002222292291</v>
      </c>
    </row>
    <row r="1596" spans="1:9" x14ac:dyDescent="0.4">
      <c r="A1596" t="str">
        <f>"オンタリオ川柳"</f>
        <v>オンタリオ川柳</v>
      </c>
      <c r="B1596" s="1" t="str">
        <f t="shared" si="91"/>
        <v>オンタリオ川柳</v>
      </c>
      <c r="C1596" t="str">
        <f>"オンタリオ　センリュウ"</f>
        <v>オンタリオ　センリュウ</v>
      </c>
      <c r="D1596" t="str">
        <f>"オンタリオ川柳吟社"</f>
        <v>オンタリオ川柳吟社</v>
      </c>
      <c r="E1596" t="str">
        <f>"オンタリオセンリュウギンシャ"</f>
        <v>オンタリオセンリュウギンシャ</v>
      </c>
      <c r="F1596" t="str">
        <f>""</f>
        <v/>
      </c>
      <c r="G1596" t="str">
        <f>"頻度不明"</f>
        <v>頻度不明</v>
      </c>
      <c r="H1596" t="str">
        <f>"2002222282183"</f>
        <v>2002222282183</v>
      </c>
      <c r="I1596" t="str">
        <f>HYPERLINK("#", "https://opac.libnet.pref.okayama.jp/licsxp-opac/WOpacMsgNewListToTifTilDetailAction.do?tilcod=2002222282183")</f>
        <v>https://opac.libnet.pref.okayama.jp/licsxp-opac/WOpacMsgNewListToTifTilDetailAction.do?tilcod=2002222282183</v>
      </c>
    </row>
    <row r="1597" spans="1:9" x14ac:dyDescent="0.4">
      <c r="A1597" t="str">
        <f>"女の新聞"</f>
        <v>女の新聞</v>
      </c>
      <c r="B1597" s="1" t="str">
        <f t="shared" si="91"/>
        <v>女の新聞</v>
      </c>
      <c r="C1597" t="str">
        <f>"オンナ　ノ　シンブン"</f>
        <v>オンナ　ノ　シンブン</v>
      </c>
      <c r="D1597" t="str">
        <f>"女の新聞社"</f>
        <v>女の新聞社</v>
      </c>
      <c r="E1597" t="str">
        <f>"オンナノシンブンシャ"</f>
        <v>オンナノシンブンシャ</v>
      </c>
      <c r="F1597" t="str">
        <f>"岡山"</f>
        <v>岡山</v>
      </c>
      <c r="G1597" t="str">
        <f>"月刊"</f>
        <v>月刊</v>
      </c>
      <c r="H1597" t="str">
        <f>"2002222300854"</f>
        <v>2002222300854</v>
      </c>
      <c r="I1597" t="str">
        <f>HYPERLINK("#", "https://opac.libnet.pref.okayama.jp/licsxp-opac/WOpacMsgNewListToTifTilDetailAction.do?tilcod=2002222300854")</f>
        <v>https://opac.libnet.pref.okayama.jp/licsxp-opac/WOpacMsgNewListToTifTilDetailAction.do?tilcod=2002222300854</v>
      </c>
    </row>
    <row r="1598" spans="1:9" x14ac:dyDescent="0.4">
      <c r="A1598" t="str">
        <f>"Ｃａｒ　Ｒｉｇｈｔ（カーライト）"</f>
        <v>Ｃａｒ　Ｒｉｇｈｔ（カーライト）</v>
      </c>
      <c r="B1598" s="1" t="str">
        <f t="shared" si="91"/>
        <v>Ｃａｒ　Ｒｉｇｈｔ（カーライト）</v>
      </c>
      <c r="C1598" t="str">
        <f>"カー　ライト"</f>
        <v>カー　ライト</v>
      </c>
      <c r="D1598" t="str">
        <f>"KG情報出版"</f>
        <v>KG情報出版</v>
      </c>
      <c r="E1598" t="str">
        <f>"ケージー ジョウホウ シュッパン"</f>
        <v>ケージー ジョウホウ シュッパン</v>
      </c>
      <c r="F1598" t="str">
        <f>""</f>
        <v/>
      </c>
      <c r="G1598" t="str">
        <f>"頻度不明"</f>
        <v>頻度不明</v>
      </c>
      <c r="H1598" t="str">
        <f>"2002222282583"</f>
        <v>2002222282583</v>
      </c>
      <c r="I1598" t="str">
        <f>HYPERLINK("#", "https://opac.libnet.pref.okayama.jp/licsxp-opac/WOpacMsgNewListToTifTilDetailAction.do?tilcod=2002222282583")</f>
        <v>https://opac.libnet.pref.okayama.jp/licsxp-opac/WOpacMsgNewListToTifTilDetailAction.do?tilcod=2002222282583</v>
      </c>
    </row>
    <row r="1599" spans="1:9" x14ac:dyDescent="0.4">
      <c r="A1599" t="str">
        <f>"楷＊岡山大学附属図書館報"</f>
        <v>楷＊岡山大学附属図書館報</v>
      </c>
      <c r="B1599" s="1" t="str">
        <f t="shared" si="91"/>
        <v>楷＊岡山大学附属図書館報</v>
      </c>
      <c r="C1599" t="str">
        <f>"カイ オカヤマ ダイガク フゾク トショカンホウ"</f>
        <v>カイ オカヤマ ダイガク フゾク トショカンホウ</v>
      </c>
      <c r="D1599" t="str">
        <f>"岡山大学附属図書館"</f>
        <v>岡山大学附属図書館</v>
      </c>
      <c r="E1599" t="str">
        <f>"オカヤマ ダイガク フゾク トショカン"</f>
        <v>オカヤマ ダイガク フゾク トショカン</v>
      </c>
      <c r="F1599" t="str">
        <f>"岡山"</f>
        <v>岡山</v>
      </c>
      <c r="G1599" t="str">
        <f>"不定期刊"</f>
        <v>不定期刊</v>
      </c>
      <c r="H1599" t="str">
        <f>"2002222292301"</f>
        <v>2002222292301</v>
      </c>
      <c r="I1599" t="str">
        <f>HYPERLINK("#", "https://opac.libnet.pref.okayama.jp/licsxp-opac/WOpacMsgNewListToTifTilDetailAction.do?tilcod=2002222292301")</f>
        <v>https://opac.libnet.pref.okayama.jp/licsxp-opac/WOpacMsgNewListToTifTilDetailAction.do?tilcod=2002222292301</v>
      </c>
    </row>
    <row r="1600" spans="1:9" x14ac:dyDescent="0.4">
      <c r="A1600" t="str">
        <f>"楷の木"</f>
        <v>楷の木</v>
      </c>
      <c r="B1600" s="1" t="str">
        <f t="shared" si="91"/>
        <v>楷の木</v>
      </c>
      <c r="C1600" t="str">
        <f>"カイ　ノ　キ"</f>
        <v>カイ　ノ　キ</v>
      </c>
      <c r="D1600" t="str">
        <f>"東備女性セミナー"</f>
        <v>東備女性セミナー</v>
      </c>
      <c r="E1600" t="str">
        <f>"トウビジョセイセミナー"</f>
        <v>トウビジョセイセミナー</v>
      </c>
      <c r="F1600" t="str">
        <f>""</f>
        <v/>
      </c>
      <c r="G1600" t="str">
        <f>"年刊"</f>
        <v>年刊</v>
      </c>
      <c r="H1600" t="str">
        <f>"2002222300309"</f>
        <v>2002222300309</v>
      </c>
      <c r="I1600" t="str">
        <f>HYPERLINK("#", "https://opac.libnet.pref.okayama.jp/licsxp-opac/WOpacMsgNewListToTifTilDetailAction.do?tilcod=2002222300309")</f>
        <v>https://opac.libnet.pref.okayama.jp/licsxp-opac/WOpacMsgNewListToTifTilDetailAction.do?tilcod=2002222300309</v>
      </c>
    </row>
    <row r="1601" spans="1:9" x14ac:dyDescent="0.4">
      <c r="A1601" t="str">
        <f>"楷の木だより"</f>
        <v>楷の木だより</v>
      </c>
      <c r="B1601" s="1" t="str">
        <f t="shared" si="91"/>
        <v>楷の木だより</v>
      </c>
      <c r="C1601" t="str">
        <f>"カイ ノ キ ダヨリ"</f>
        <v>カイ ノ キ ダヨリ</v>
      </c>
      <c r="D1601" t="str">
        <f>"和気閑谷高等学校"</f>
        <v>和気閑谷高等学校</v>
      </c>
      <c r="E1601" t="str">
        <f>"ワケ シズタニ コウトウ ガッコウ"</f>
        <v>ワケ シズタニ コウトウ ガッコウ</v>
      </c>
      <c r="F1601" t="str">
        <f>"和気郡"</f>
        <v>和気郡</v>
      </c>
      <c r="G1601" t="str">
        <f>"週刊"</f>
        <v>週刊</v>
      </c>
      <c r="H1601" t="str">
        <f>"2002222307706"</f>
        <v>2002222307706</v>
      </c>
      <c r="I1601" t="str">
        <f>HYPERLINK("#", "https://opac.libnet.pref.okayama.jp/licsxp-opac/WOpacMsgNewListToTifTilDetailAction.do?tilcod=2002222307706")</f>
        <v>https://opac.libnet.pref.okayama.jp/licsxp-opac/WOpacMsgNewListToTifTilDetailAction.do?tilcod=2002222307706</v>
      </c>
    </row>
    <row r="1602" spans="1:9" x14ac:dyDescent="0.4">
      <c r="A1602" t="str">
        <f>"懐園"</f>
        <v>懐園</v>
      </c>
      <c r="B1602" s="1" t="str">
        <f t="shared" si="91"/>
        <v>懐園</v>
      </c>
      <c r="C1602" t="str">
        <f>"カイエン"</f>
        <v>カイエン</v>
      </c>
      <c r="D1602" t="str">
        <f>"岡山栄養科学園第一期同窓会"</f>
        <v>岡山栄養科学園第一期同窓会</v>
      </c>
      <c r="E1602" t="str">
        <f>"オカヤマ エイヨウカ ガクエン ダイイッキ ドウソウカイ"</f>
        <v>オカヤマ エイヨウカ ガクエン ダイイッキ ドウソウカイ</v>
      </c>
      <c r="F1602" t="str">
        <f>"岡山"</f>
        <v>岡山</v>
      </c>
      <c r="G1602" t="str">
        <f>"頻度不明"</f>
        <v>頻度不明</v>
      </c>
      <c r="H1602" t="str">
        <f>"2002222322391"</f>
        <v>2002222322391</v>
      </c>
      <c r="I1602" t="str">
        <f>HYPERLINK("#", "https://opac.libnet.pref.okayama.jp/licsxp-opac/WOpacMsgNewListToTifTilDetailAction.do?tilcod=2002222322391")</f>
        <v>https://opac.libnet.pref.okayama.jp/licsxp-opac/WOpacMsgNewListToTifTilDetailAction.do?tilcod=2002222322391</v>
      </c>
    </row>
    <row r="1603" spans="1:9" x14ac:dyDescent="0.4">
      <c r="A1603" t="str">
        <f>"Ｋａｉｇａｉｋｙｏｉｋｕ岡山（カイガイキョウイクオカヤマ）"</f>
        <v>Ｋａｉｇａｉｋｙｏｉｋｕ岡山（カイガイキョウイクオカヤマ）</v>
      </c>
      <c r="B1603" s="1" t="str">
        <f t="shared" si="91"/>
        <v>Ｋａｉｇａｉｋｙｏｉｋｕ岡山（カイガイキョウイクオカヤマ）</v>
      </c>
      <c r="C1603" t="str">
        <f>"カイガイ　キョウイク　オカヤマ"</f>
        <v>カイガイ　キョウイク　オカヤマ</v>
      </c>
      <c r="D1603" t="str">
        <f>"岡山県海外教育事情研究会"</f>
        <v>岡山県海外教育事情研究会</v>
      </c>
      <c r="E1603" t="str">
        <f>"オカヤマケンカイガイキョウイクジジョウケンキュウカイ"</f>
        <v>オカヤマケンカイガイキョウイクジジョウケンキュウカイ</v>
      </c>
      <c r="F1603" t="str">
        <f>""</f>
        <v/>
      </c>
      <c r="G1603" t="str">
        <f>"頻度不明"</f>
        <v>頻度不明</v>
      </c>
      <c r="H1603" t="str">
        <f>"2002222282193"</f>
        <v>2002222282193</v>
      </c>
      <c r="I1603" t="str">
        <f>HYPERLINK("#", "https://opac.libnet.pref.okayama.jp/licsxp-opac/WOpacMsgNewListToTifTilDetailAction.do?tilcod=2002222282193")</f>
        <v>https://opac.libnet.pref.okayama.jp/licsxp-opac/WOpacMsgNewListToTifTilDetailAction.do?tilcod=2002222282193</v>
      </c>
    </row>
    <row r="1604" spans="1:9" x14ac:dyDescent="0.4">
      <c r="A1604" t="str">
        <f>"海橋"</f>
        <v>海橋</v>
      </c>
      <c r="B1604" s="1" t="str">
        <f t="shared" ref="B1604:B1667" si="97">HYPERLINK("#", A1604)</f>
        <v>海橋</v>
      </c>
      <c r="C1604" t="str">
        <f>"カイキョウ"</f>
        <v>カイキョウ</v>
      </c>
      <c r="D1604" t="str">
        <f>"児島文化協会"</f>
        <v>児島文化協会</v>
      </c>
      <c r="E1604" t="str">
        <f>"コジマブンカキョウカイ"</f>
        <v>コジマブンカキョウカイ</v>
      </c>
      <c r="F1604" t="str">
        <f>"倉敷"</f>
        <v>倉敷</v>
      </c>
      <c r="G1604" t="str">
        <f>"年２回刊"</f>
        <v>年２回刊</v>
      </c>
      <c r="H1604" t="str">
        <f>"2002222292311"</f>
        <v>2002222292311</v>
      </c>
      <c r="I1604" t="str">
        <f>HYPERLINK("#", "https://opac.libnet.pref.okayama.jp/licsxp-opac/WOpacMsgNewListToTifTilDetailAction.do?tilcod=2002222292311")</f>
        <v>https://opac.libnet.pref.okayama.jp/licsxp-opac/WOpacMsgNewListToTifTilDetailAction.do?tilcod=2002222292311</v>
      </c>
    </row>
    <row r="1605" spans="1:9" x14ac:dyDescent="0.4">
      <c r="A1605" t="str">
        <f>"海紅"</f>
        <v>海紅</v>
      </c>
      <c r="B1605" s="1" t="str">
        <f t="shared" si="97"/>
        <v>海紅</v>
      </c>
      <c r="C1605" t="str">
        <f>"カイコウ"</f>
        <v>カイコウ</v>
      </c>
      <c r="D1605" t="str">
        <f>"海紅同人句録社"</f>
        <v>海紅同人句録社</v>
      </c>
      <c r="E1605" t="str">
        <f>"カイコウドウジンクロクシャ"</f>
        <v>カイコウドウジンクロクシャ</v>
      </c>
      <c r="F1605" t="str">
        <f>""</f>
        <v/>
      </c>
      <c r="G1605" t="str">
        <f>"月刊"</f>
        <v>月刊</v>
      </c>
      <c r="H1605" t="str">
        <f>"2002222282203"</f>
        <v>2002222282203</v>
      </c>
      <c r="I1605" t="str">
        <f>HYPERLINK("#", "https://opac.libnet.pref.okayama.jp/licsxp-opac/WOpacMsgNewListToTifTilDetailAction.do?tilcod=2002222282203")</f>
        <v>https://opac.libnet.pref.okayama.jp/licsxp-opac/WOpacMsgNewListToTifTilDetailAction.do?tilcod=2002222282203</v>
      </c>
    </row>
    <row r="1606" spans="1:9" x14ac:dyDescent="0.4">
      <c r="A1606" t="str">
        <f>"邂逅"</f>
        <v>邂逅</v>
      </c>
      <c r="B1606" s="1" t="str">
        <f t="shared" si="97"/>
        <v>邂逅</v>
      </c>
      <c r="C1606" t="str">
        <f>"カイコウ"</f>
        <v>カイコウ</v>
      </c>
      <c r="D1606" t="str">
        <f>"岡山大学哲学倫理学会"</f>
        <v>岡山大学哲学倫理学会</v>
      </c>
      <c r="E1606" t="str">
        <f>"オカヤマダイガクテツガクリンリガッカイ"</f>
        <v>オカヤマダイガクテツガクリンリガッカイ</v>
      </c>
      <c r="F1606" t="str">
        <f>"岡山"</f>
        <v>岡山</v>
      </c>
      <c r="G1606" t="str">
        <f>"年刊"</f>
        <v>年刊</v>
      </c>
      <c r="H1606" t="str">
        <f>"2002222302317"</f>
        <v>2002222302317</v>
      </c>
      <c r="I1606" t="str">
        <f>HYPERLINK("#", "https://opac.libnet.pref.okayama.jp/licsxp-opac/WOpacMsgNewListToTifTilDetailAction.do?tilcod=2002222302317")</f>
        <v>https://opac.libnet.pref.okayama.jp/licsxp-opac/WOpacMsgNewListToTifTilDetailAction.do?tilcod=2002222302317</v>
      </c>
    </row>
    <row r="1607" spans="1:9" x14ac:dyDescent="0.4">
      <c r="A1607" t="str">
        <f>"邂逅"</f>
        <v>邂逅</v>
      </c>
      <c r="B1607" s="1" t="str">
        <f t="shared" si="97"/>
        <v>邂逅</v>
      </c>
      <c r="C1607" t="str">
        <f>"カイコウ"</f>
        <v>カイコウ</v>
      </c>
      <c r="D1607" t="str">
        <f>"岡山県立大学文芸部"</f>
        <v>岡山県立大学文芸部</v>
      </c>
      <c r="E1607" t="str">
        <f>"オカヤマケンリツ ダイガク ブンゲイブ"</f>
        <v>オカヤマケンリツ ダイガク ブンゲイブ</v>
      </c>
      <c r="F1607" t="str">
        <f>"岡山"</f>
        <v>岡山</v>
      </c>
      <c r="G1607" t="str">
        <f>"年刊"</f>
        <v>年刊</v>
      </c>
      <c r="H1607" t="str">
        <f>"2002222319406"</f>
        <v>2002222319406</v>
      </c>
      <c r="I1607" t="str">
        <f>HYPERLINK("#", "https://opac.libnet.pref.okayama.jp/licsxp-opac/WOpacMsgNewListToTifTilDetailAction.do?tilcod=2002222319406")</f>
        <v>https://opac.libnet.pref.okayama.jp/licsxp-opac/WOpacMsgNewListToTifTilDetailAction.do?tilcod=2002222319406</v>
      </c>
    </row>
    <row r="1608" spans="1:9" x14ac:dyDescent="0.4">
      <c r="A1608" t="str">
        <f>"会誌はづき"</f>
        <v>会誌はづき</v>
      </c>
      <c r="B1608" s="1" t="str">
        <f t="shared" si="97"/>
        <v>会誌はづき</v>
      </c>
      <c r="C1608" t="str">
        <f>"カイシ　ハズキ"</f>
        <v>カイシ　ハズキ</v>
      </c>
      <c r="D1608" t="str">
        <f>"葉月会"</f>
        <v>葉月会</v>
      </c>
      <c r="E1608" t="str">
        <f>"ハズキカイ"</f>
        <v>ハズキカイ</v>
      </c>
      <c r="F1608" t="str">
        <f>""</f>
        <v/>
      </c>
      <c r="G1608" t="str">
        <f>"頻度不明"</f>
        <v>頻度不明</v>
      </c>
      <c r="H1608" t="str">
        <f>"2002222289083"</f>
        <v>2002222289083</v>
      </c>
      <c r="I1608" t="str">
        <f>HYPERLINK("#", "https://opac.libnet.pref.okayama.jp/licsxp-opac/WOpacMsgNewListToTifTilDetailAction.do?tilcod=2002222289083")</f>
        <v>https://opac.libnet.pref.okayama.jp/licsxp-opac/WOpacMsgNewListToTifTilDetailAction.do?tilcod=2002222289083</v>
      </c>
    </row>
    <row r="1609" spans="1:9" x14ac:dyDescent="0.4">
      <c r="A1609" t="str">
        <f>"海上保安友の会岡山支部ニュース"</f>
        <v>海上保安友の会岡山支部ニュース</v>
      </c>
      <c r="B1609" s="1" t="str">
        <f t="shared" si="97"/>
        <v>海上保安友の会岡山支部ニュース</v>
      </c>
      <c r="C1609" t="str">
        <f>"カイジョウ　ホアン　トモ　ノ　カイ　オカヤマ　シブ　ニュース"</f>
        <v>カイジョウ　ホアン　トモ　ノ　カイ　オカヤマ　シブ　ニュース</v>
      </c>
      <c r="D1609" t="str">
        <f>"海上保安友の会岡山支部"</f>
        <v>海上保安友の会岡山支部</v>
      </c>
      <c r="E1609" t="str">
        <f>"カイジョウホアントモノカイオカヤマシブ"</f>
        <v>カイジョウホアントモノカイオカヤマシブ</v>
      </c>
      <c r="F1609" t="str">
        <f>""</f>
        <v/>
      </c>
      <c r="G1609" t="str">
        <f>"頻度不明"</f>
        <v>頻度不明</v>
      </c>
      <c r="H1609" t="str">
        <f>"2002222282213"</f>
        <v>2002222282213</v>
      </c>
      <c r="I1609" t="str">
        <f>HYPERLINK("#", "https://opac.libnet.pref.okayama.jp/licsxp-opac/WOpacMsgNewListToTifTilDetailAction.do?tilcod=2002222282213")</f>
        <v>https://opac.libnet.pref.okayama.jp/licsxp-opac/WOpacMsgNewListToTifTilDetailAction.do?tilcod=2002222282213</v>
      </c>
    </row>
    <row r="1610" spans="1:9" x14ac:dyDescent="0.4">
      <c r="A1610" t="str">
        <f>"開拓"</f>
        <v>開拓</v>
      </c>
      <c r="B1610" s="1" t="str">
        <f t="shared" si="97"/>
        <v>開拓</v>
      </c>
      <c r="C1610" t="str">
        <f>"カイタク"</f>
        <v>カイタク</v>
      </c>
      <c r="D1610" t="str">
        <f>"興陽高等学校生徒会"</f>
        <v>興陽高等学校生徒会</v>
      </c>
      <c r="E1610" t="str">
        <f>"コウヨウコウトウガッコウセイトカイ"</f>
        <v>コウヨウコウトウガッコウセイトカイ</v>
      </c>
      <c r="F1610" t="str">
        <f>"岡山"</f>
        <v>岡山</v>
      </c>
      <c r="G1610" t="str">
        <f>"年刊"</f>
        <v>年刊</v>
      </c>
      <c r="H1610" t="str">
        <f>"2002222301425"</f>
        <v>2002222301425</v>
      </c>
      <c r="I1610" t="str">
        <f>HYPERLINK("#", "https://opac.libnet.pref.okayama.jp/licsxp-opac/WOpacMsgNewListToTifTilDetailAction.do?tilcod=2002222301425")</f>
        <v>https://opac.libnet.pref.okayama.jp/licsxp-opac/WOpacMsgNewListToTifTilDetailAction.do?tilcod=2002222301425</v>
      </c>
    </row>
    <row r="1611" spans="1:9" x14ac:dyDescent="0.4">
      <c r="A1611" t="str">
        <f>"Ｇｕｉｄｅ　Ｂｏｏｋ（ガイドブック）；夢を実現するために"</f>
        <v>Ｇｕｉｄｅ　Ｂｏｏｋ（ガイドブック）；夢を実現するために</v>
      </c>
      <c r="B1611" s="1" t="str">
        <f t="shared" si="97"/>
        <v>Ｇｕｉｄｅ　Ｂｏｏｋ（ガイドブック）；夢を実現するために</v>
      </c>
      <c r="C1611" t="str">
        <f>"ガイド　ブック＊ユメ　オ　ジツゲン　スル　タメニ"</f>
        <v>ガイド　ブック＊ユメ　オ　ジツゲン　スル　タメニ</v>
      </c>
      <c r="D1611" t="str">
        <f>"林野高等学校"</f>
        <v>林野高等学校</v>
      </c>
      <c r="E1611" t="str">
        <f>"ハヤシノ コウトウ ガッコウ"</f>
        <v>ハヤシノ コウトウ ガッコウ</v>
      </c>
      <c r="F1611" t="str">
        <f>"美作"</f>
        <v>美作</v>
      </c>
      <c r="G1611" t="str">
        <f>"年刊"</f>
        <v>年刊</v>
      </c>
      <c r="H1611" t="str">
        <f>"2002222300737"</f>
        <v>2002222300737</v>
      </c>
      <c r="I1611" t="str">
        <f>HYPERLINK("#", "https://opac.libnet.pref.okayama.jp/licsxp-opac/WOpacMsgNewListToTifTilDetailAction.do?tilcod=2002222300737")</f>
        <v>https://opac.libnet.pref.okayama.jp/licsxp-opac/WOpacMsgNewListToTifTilDetailAction.do?tilcod=2002222300737</v>
      </c>
    </row>
    <row r="1612" spans="1:9" x14ac:dyDescent="0.4">
      <c r="A1612" t="str">
        <f>"海報"</f>
        <v>海報</v>
      </c>
      <c r="B1612" s="1" t="str">
        <f t="shared" si="97"/>
        <v>海報</v>
      </c>
      <c r="C1612" t="str">
        <f>"カイホウ"</f>
        <v>カイホウ</v>
      </c>
      <c r="D1612" t="str">
        <f>"岡山海軍いかり会事務局"</f>
        <v>岡山海軍いかり会事務局</v>
      </c>
      <c r="E1612" t="str">
        <f>"オカヤマ カイグン イカリカイ ジムキョク"</f>
        <v>オカヤマ カイグン イカリカイ ジムキョク</v>
      </c>
      <c r="F1612" t="str">
        <f>"岡山"</f>
        <v>岡山</v>
      </c>
      <c r="G1612" t="str">
        <f>"頻度不明"</f>
        <v>頻度不明</v>
      </c>
      <c r="H1612" t="str">
        <f>"2002222343450"</f>
        <v>2002222343450</v>
      </c>
      <c r="I1612" t="str">
        <f>HYPERLINK("#", "https://opac.libnet.pref.okayama.jp/licsxp-opac/WOpacMsgNewListToTifTilDetailAction.do?tilcod=2002222343450")</f>
        <v>https://opac.libnet.pref.okayama.jp/licsxp-opac/WOpacMsgNewListToTifTilDetailAction.do?tilcod=2002222343450</v>
      </c>
    </row>
    <row r="1613" spans="1:9" x14ac:dyDescent="0.4">
      <c r="A1613" t="str">
        <f>"会報 熊山の石ふみ"</f>
        <v>会報 熊山の石ふみ</v>
      </c>
      <c r="B1613" s="1" t="str">
        <f t="shared" si="97"/>
        <v>会報 熊山の石ふみ</v>
      </c>
      <c r="C1613" t="str">
        <f>"カイホウ クマヤマ ノ イシフミ"</f>
        <v>カイホウ クマヤマ ノ イシフミ</v>
      </c>
      <c r="D1613" t="str">
        <f>"熊山遺跡群調査・研究会"</f>
        <v>熊山遺跡群調査・研究会</v>
      </c>
      <c r="E1613" t="str">
        <f>"クマヤマ イセキグン チョウサ ケンキュウカイ"</f>
        <v>クマヤマ イセキグン チョウサ ケンキュウカイ</v>
      </c>
      <c r="F1613" t="str">
        <f>"岡山"</f>
        <v>岡山</v>
      </c>
      <c r="G1613" t="str">
        <f>"頻度不明"</f>
        <v>頻度不明</v>
      </c>
      <c r="H1613" t="str">
        <f>"2002222320587"</f>
        <v>2002222320587</v>
      </c>
      <c r="I1613" t="str">
        <f>HYPERLINK("#", "https://opac.libnet.pref.okayama.jp/licsxp-opac/WOpacMsgNewListToTifTilDetailAction.do?tilcod=2002222320587")</f>
        <v>https://opac.libnet.pref.okayama.jp/licsxp-opac/WOpacMsgNewListToTifTilDetailAction.do?tilcod=2002222320587</v>
      </c>
    </row>
    <row r="1614" spans="1:9" x14ac:dyDescent="0.4">
      <c r="A1614" t="str">
        <f>"解放新聞"</f>
        <v>解放新聞</v>
      </c>
      <c r="B1614" s="1" t="str">
        <f t="shared" si="97"/>
        <v>解放新聞</v>
      </c>
      <c r="C1614" t="str">
        <f>"カイホウ シンブン"</f>
        <v>カイホウ シンブン</v>
      </c>
      <c r="D1614" t="str">
        <f>"岡山解放新聞社"</f>
        <v>岡山解放新聞社</v>
      </c>
      <c r="E1614" t="str">
        <f>"オカヤマ カイホウ シンブンシャ"</f>
        <v>オカヤマ カイホウ シンブンシャ</v>
      </c>
      <c r="F1614" t="str">
        <f>"倉敷"</f>
        <v>倉敷</v>
      </c>
      <c r="G1614" t="str">
        <f>"月刊"</f>
        <v>月刊</v>
      </c>
      <c r="H1614" t="str">
        <f>"2002222322086"</f>
        <v>2002222322086</v>
      </c>
      <c r="I1614" t="str">
        <f>HYPERLINK("#", "https://opac.libnet.pref.okayama.jp/licsxp-opac/WOpacMsgNewListToTifTilDetailAction.do?tilcod=2002222322086")</f>
        <v>https://opac.libnet.pref.okayama.jp/licsxp-opac/WOpacMsgNewListToTifTilDetailAction.do?tilcod=2002222322086</v>
      </c>
    </row>
    <row r="1615" spans="1:9" x14ac:dyDescent="0.4">
      <c r="A1615" t="str">
        <f>"解放新聞縮刷版"</f>
        <v>解放新聞縮刷版</v>
      </c>
      <c r="B1615" s="1" t="str">
        <f t="shared" si="97"/>
        <v>解放新聞縮刷版</v>
      </c>
      <c r="C1615" t="str">
        <f>"カイホウ　シンブン　シュクサツ　バン"</f>
        <v>カイホウ　シンブン　シュクサツ　バン</v>
      </c>
      <c r="D1615" t="str">
        <f>"部落解放同盟岡山県連合会"</f>
        <v>部落解放同盟岡山県連合会</v>
      </c>
      <c r="E1615" t="str">
        <f>"ブラク カイホウ ドウメイ オカヤマケン レンゴウカイ"</f>
        <v>ブラク カイホウ ドウメイ オカヤマケン レンゴウカイ</v>
      </c>
      <c r="F1615" t="str">
        <f>"岡山"</f>
        <v>岡山</v>
      </c>
      <c r="G1615" t="str">
        <f>"頻度不明"</f>
        <v>頻度不明</v>
      </c>
      <c r="H1615" t="str">
        <f>"2002222281054"</f>
        <v>2002222281054</v>
      </c>
      <c r="I1615" t="str">
        <f>HYPERLINK("#", "https://opac.libnet.pref.okayama.jp/licsxp-opac/WOpacMsgNewListToTifTilDetailAction.do?tilcod=2002222281054")</f>
        <v>https://opac.libnet.pref.okayama.jp/licsxp-opac/WOpacMsgNewListToTifTilDetailAction.do?tilcod=2002222281054</v>
      </c>
    </row>
    <row r="1616" spans="1:9" x14ac:dyDescent="0.4">
      <c r="A1616" t="str">
        <f>"解放の道　岡山縮刷版"</f>
        <v>解放の道　岡山縮刷版</v>
      </c>
      <c r="B1616" s="1" t="str">
        <f t="shared" si="97"/>
        <v>解放の道　岡山縮刷版</v>
      </c>
      <c r="C1616" t="str">
        <f>"カイホウ　ノ　ミチ　オカヤマ　シュクサツバン"</f>
        <v>カイホウ　ノ　ミチ　オカヤマ　シュクサツバン</v>
      </c>
      <c r="D1616" t="str">
        <f>"岡山県部落解放運動連合会"</f>
        <v>岡山県部落解放運動連合会</v>
      </c>
      <c r="E1616" t="str">
        <f>"オカヤマケン ブラク カイホウ ウンドウ レンゴウカイ"</f>
        <v>オカヤマケン ブラク カイホウ ウンドウ レンゴウカイ</v>
      </c>
      <c r="F1616" t="str">
        <f>"岡山"</f>
        <v>岡山</v>
      </c>
      <c r="G1616" t="str">
        <f>"頻度不明"</f>
        <v>頻度不明</v>
      </c>
      <c r="H1616" t="str">
        <f>"2002222281074"</f>
        <v>2002222281074</v>
      </c>
      <c r="I1616" t="str">
        <f>HYPERLINK("#", "https://opac.libnet.pref.okayama.jp/licsxp-opac/WOpacMsgNewListToTifTilDetailAction.do?tilcod=2002222281074")</f>
        <v>https://opac.libnet.pref.okayama.jp/licsxp-opac/WOpacMsgNewListToTifTilDetailAction.do?tilcod=2002222281074</v>
      </c>
    </row>
    <row r="1617" spans="1:9" x14ac:dyDescent="0.4">
      <c r="A1617" t="str">
        <f>"会報藤戸"</f>
        <v>会報藤戸</v>
      </c>
      <c r="B1617" s="1" t="str">
        <f t="shared" si="97"/>
        <v>会報藤戸</v>
      </c>
      <c r="C1617" t="str">
        <f>"カイホウ フジト"</f>
        <v>カイホウ フジト</v>
      </c>
      <c r="D1617" t="str">
        <f>"天城小学校学校ＰＴＡ文化教養部"</f>
        <v>天城小学校学校ＰＴＡ文化教養部</v>
      </c>
      <c r="E1617" t="str">
        <f>"クラシキシリツアマキショウガッコウピーティーエー"</f>
        <v>クラシキシリツアマキショウガッコウピーティーエー</v>
      </c>
      <c r="F1617" t="str">
        <f>"倉敷"</f>
        <v>倉敷</v>
      </c>
      <c r="G1617" t="str">
        <f>"季刊"</f>
        <v>季刊</v>
      </c>
      <c r="H1617" t="str">
        <f>"2002222338075"</f>
        <v>2002222338075</v>
      </c>
      <c r="I1617" t="str">
        <f>HYPERLINK("#", "https://opac.libnet.pref.okayama.jp/licsxp-opac/WOpacMsgNewListToTifTilDetailAction.do?tilcod=2002222338075")</f>
        <v>https://opac.libnet.pref.okayama.jp/licsxp-opac/WOpacMsgNewListToTifTilDetailAction.do?tilcod=2002222338075</v>
      </c>
    </row>
    <row r="1618" spans="1:9" x14ac:dyDescent="0.4">
      <c r="A1618" t="str">
        <f>"会報美作の山城"</f>
        <v>会報美作の山城</v>
      </c>
      <c r="B1618" s="1" t="str">
        <f t="shared" si="97"/>
        <v>会報美作の山城</v>
      </c>
      <c r="C1618" t="str">
        <f>"カイホウ ミマサカ ノ ヤマジロ"</f>
        <v>カイホウ ミマサカ ノ ヤマジロ</v>
      </c>
      <c r="D1618" t="str">
        <f>"美作の中世山城連絡協議会"</f>
        <v>美作の中世山城連絡協議会</v>
      </c>
      <c r="E1618" t="str">
        <f>"ミマサカ ノ チュウセイ ヤマジロ レンラク キョウギカイ"</f>
        <v>ミマサカ ノ チュウセイ ヤマジロ レンラク キョウギカイ</v>
      </c>
      <c r="F1618" t="str">
        <f>"津山"</f>
        <v>津山</v>
      </c>
      <c r="G1618" t="str">
        <f>"頻度不明"</f>
        <v>頻度不明</v>
      </c>
      <c r="H1618" t="str">
        <f>"2002222308466"</f>
        <v>2002222308466</v>
      </c>
      <c r="I1618" t="str">
        <f>HYPERLINK("#", "https://opac.libnet.pref.okayama.jp/licsxp-opac/WOpacMsgNewListToTifTilDetailAction.do?tilcod=2002222308466")</f>
        <v>https://opac.libnet.pref.okayama.jp/licsxp-opac/WOpacMsgNewListToTifTilDetailAction.do?tilcod=2002222308466</v>
      </c>
    </row>
    <row r="1619" spans="1:9" x14ac:dyDescent="0.4">
      <c r="A1619" t="str">
        <f>"会報桃太郎"</f>
        <v>会報桃太郎</v>
      </c>
      <c r="B1619" s="1" t="str">
        <f t="shared" si="97"/>
        <v>会報桃太郎</v>
      </c>
      <c r="C1619" t="str">
        <f>"カイホウ　モモタロウ"</f>
        <v>カイホウ　モモタロウ</v>
      </c>
      <c r="D1619" t="str">
        <f>"岡山県青年司法書士協議会"</f>
        <v>岡山県青年司法書士協議会</v>
      </c>
      <c r="E1619" t="str">
        <f>"オカヤマケンセイネンシホウショシキョウギカイ"</f>
        <v>オカヤマケンセイネンシホウショシキョウギカイ</v>
      </c>
      <c r="F1619" t="str">
        <f>""</f>
        <v/>
      </c>
      <c r="G1619" t="str">
        <f>"頻度不明"</f>
        <v>頻度不明</v>
      </c>
      <c r="H1619" t="str">
        <f>"2002222282223"</f>
        <v>2002222282223</v>
      </c>
      <c r="I1619" t="str">
        <f>HYPERLINK("#", "https://opac.libnet.pref.okayama.jp/licsxp-opac/WOpacMsgNewListToTifTilDetailAction.do?tilcod=2002222282223")</f>
        <v>https://opac.libnet.pref.okayama.jp/licsxp-opac/WOpacMsgNewListToTifTilDetailAction.do?tilcod=2002222282223</v>
      </c>
    </row>
    <row r="1620" spans="1:9" x14ac:dyDescent="0.4">
      <c r="A1620" t="str">
        <f>"会報６．２９岡山空襲研究"</f>
        <v>会報６．２９岡山空襲研究</v>
      </c>
      <c r="B1620" s="1" t="str">
        <f t="shared" si="97"/>
        <v>会報６．２９岡山空襲研究</v>
      </c>
      <c r="C1620" t="str">
        <f>"カイホウ　ロク　ニキュウ　オカヤマ　クウシュウ　ケンキュウ"</f>
        <v>カイホウ　ロク　ニキュウ　オカヤマ　クウシュウ　ケンキュウ</v>
      </c>
      <c r="D1620" t="str">
        <f>"６．２９岡山空襲研究会"</f>
        <v>６．２９岡山空襲研究会</v>
      </c>
      <c r="E1620" t="str">
        <f>"ロクニキュウオカヤマクウシュウケンキュウカイ"</f>
        <v>ロクニキュウオカヤマクウシュウケンキュウカイ</v>
      </c>
      <c r="F1620" t="str">
        <f>"岡山"</f>
        <v>岡山</v>
      </c>
      <c r="G1620" t="str">
        <f>"不定期刊"</f>
        <v>不定期刊</v>
      </c>
      <c r="H1620" t="str">
        <f>"2002222281771"</f>
        <v>2002222281771</v>
      </c>
      <c r="I1620" t="str">
        <f>HYPERLINK("#", "https://opac.libnet.pref.okayama.jp/licsxp-opac/WOpacMsgNewListToTifTilDetailAction.do?tilcod=2002222281771")</f>
        <v>https://opac.libnet.pref.okayama.jp/licsxp-opac/WOpacMsgNewListToTifTilDetailAction.do?tilcod=2002222281771</v>
      </c>
    </row>
    <row r="1621" spans="1:9" x14ac:dyDescent="0.4">
      <c r="A1621" t="str">
        <f>"海友"</f>
        <v>海友</v>
      </c>
      <c r="B1621" s="1" t="str">
        <f t="shared" si="97"/>
        <v>海友</v>
      </c>
      <c r="C1621" t="str">
        <f>"カイユウ"</f>
        <v>カイユウ</v>
      </c>
      <c r="D1621" t="str">
        <f>"児島海員学校海友会"</f>
        <v>児島海員学校海友会</v>
      </c>
      <c r="E1621" t="str">
        <f>"コジマカイインガッコウカイユウカイ"</f>
        <v>コジマカイインガッコウカイユウカイ</v>
      </c>
      <c r="F1621" t="str">
        <f>""</f>
        <v/>
      </c>
      <c r="G1621" t="str">
        <f>"頻度不明"</f>
        <v>頻度不明</v>
      </c>
      <c r="H1621" t="str">
        <f>"2002222282233"</f>
        <v>2002222282233</v>
      </c>
      <c r="I1621" t="str">
        <f>HYPERLINK("#", "https://opac.libnet.pref.okayama.jp/licsxp-opac/WOpacMsgNewListToTifTilDetailAction.do?tilcod=2002222282233")</f>
        <v>https://opac.libnet.pref.okayama.jp/licsxp-opac/WOpacMsgNewListToTifTilDetailAction.do?tilcod=2002222282233</v>
      </c>
    </row>
    <row r="1622" spans="1:9" x14ac:dyDescent="0.4">
      <c r="A1622" t="str">
        <f>"かえで"</f>
        <v>かえで</v>
      </c>
      <c r="B1622" s="1" t="str">
        <f t="shared" si="97"/>
        <v>かえで</v>
      </c>
      <c r="C1622" t="str">
        <f>"カエデ"</f>
        <v>カエデ</v>
      </c>
      <c r="D1622" t="str">
        <f>"総社市保健福祉部長寿介護課"</f>
        <v>総社市保健福祉部長寿介護課</v>
      </c>
      <c r="E1622" t="str">
        <f>"ソウジャシ ホケン フクシブ チョウジュ カイゴカ"</f>
        <v>ソウジャシ ホケン フクシブ チョウジュ カイゴカ</v>
      </c>
      <c r="F1622" t="str">
        <f>"総社"</f>
        <v>総社</v>
      </c>
      <c r="G1622" t="str">
        <f>"年２回刊"</f>
        <v>年２回刊</v>
      </c>
      <c r="H1622" t="str">
        <f>"2002222281841"</f>
        <v>2002222281841</v>
      </c>
      <c r="I1622" t="str">
        <f>HYPERLINK("#", "https://opac.libnet.pref.okayama.jp/licsxp-opac/WOpacMsgNewListToTifTilDetailAction.do?tilcod=2002222281841")</f>
        <v>https://opac.libnet.pref.okayama.jp/licsxp-opac/WOpacMsgNewListToTifTilDetailAction.do?tilcod=2002222281841</v>
      </c>
    </row>
    <row r="1623" spans="1:9" x14ac:dyDescent="0.4">
      <c r="A1623" t="str">
        <f>"楓"</f>
        <v>楓</v>
      </c>
      <c r="B1623" s="1" t="str">
        <f t="shared" si="97"/>
        <v>楓</v>
      </c>
      <c r="C1623" t="str">
        <f>"カエデ"</f>
        <v>カエデ</v>
      </c>
      <c r="D1623" t="str">
        <f>"邑久光明園"</f>
        <v>邑久光明園</v>
      </c>
      <c r="E1623" t="str">
        <f>"オク コウミョウエン"</f>
        <v>オク コウミョウエン</v>
      </c>
      <c r="F1623" t="str">
        <f>"瀬戸内"</f>
        <v>瀬戸内</v>
      </c>
      <c r="G1623" t="str">
        <f>"隔月刊"</f>
        <v>隔月刊</v>
      </c>
      <c r="H1623" t="str">
        <f>"2002222292321"</f>
        <v>2002222292321</v>
      </c>
      <c r="I1623" t="str">
        <f>HYPERLINK("#", "https://opac.libnet.pref.okayama.jp/licsxp-opac/WOpacMsgNewListToTifTilDetailAction.do?tilcod=2002222292321")</f>
        <v>https://opac.libnet.pref.okayama.jp/licsxp-opac/WOpacMsgNewListToTifTilDetailAction.do?tilcod=2002222292321</v>
      </c>
    </row>
    <row r="1624" spans="1:9" x14ac:dyDescent="0.4">
      <c r="A1624" t="str">
        <f>"かえで"</f>
        <v>かえで</v>
      </c>
      <c r="B1624" s="1" t="str">
        <f t="shared" si="97"/>
        <v>かえで</v>
      </c>
      <c r="C1624" t="str">
        <f>"カエデ"</f>
        <v>カエデ</v>
      </c>
      <c r="D1624" t="str">
        <f>"邑久光明園慰安会"</f>
        <v>邑久光明園慰安会</v>
      </c>
      <c r="E1624" t="str">
        <f>"オク コウミョウエン イアンカイ"</f>
        <v>オク コウミョウエン イアンカイ</v>
      </c>
      <c r="F1624" t="str">
        <f>"邑久町（邑久郡）"</f>
        <v>邑久町（邑久郡）</v>
      </c>
      <c r="G1624" t="str">
        <f>"不定期刊"</f>
        <v>不定期刊</v>
      </c>
      <c r="H1624" t="str">
        <f>"2002222301687"</f>
        <v>2002222301687</v>
      </c>
      <c r="I1624" t="str">
        <f>HYPERLINK("#", "https://opac.libnet.pref.okayama.jp/licsxp-opac/WOpacMsgNewListToTifTilDetailAction.do?tilcod=2002222301687")</f>
        <v>https://opac.libnet.pref.okayama.jp/licsxp-opac/WOpacMsgNewListToTifTilDetailAction.do?tilcod=2002222301687</v>
      </c>
    </row>
    <row r="1625" spans="1:9" x14ac:dyDescent="0.4">
      <c r="A1625" t="str">
        <f>"かえる"</f>
        <v>かえる</v>
      </c>
      <c r="B1625" s="1" t="str">
        <f t="shared" si="97"/>
        <v>かえる</v>
      </c>
      <c r="C1625" t="str">
        <f>"カエル"</f>
        <v>カエル</v>
      </c>
      <c r="D1625" t="str">
        <f>"日本文化新聞社"</f>
        <v>日本文化新聞社</v>
      </c>
      <c r="E1625" t="str">
        <f>"ニホン　ブンカ　シンブンシャ"</f>
        <v>ニホン　ブンカ　シンブンシャ</v>
      </c>
      <c r="F1625" t="str">
        <f>"岡山"</f>
        <v>岡山</v>
      </c>
      <c r="G1625" t="str">
        <f>"不定期刊"</f>
        <v>不定期刊</v>
      </c>
      <c r="H1625" t="str">
        <f>"2002222329626"</f>
        <v>2002222329626</v>
      </c>
      <c r="I1625" t="str">
        <f>HYPERLINK("#", "https://opac.libnet.pref.okayama.jp/licsxp-opac/WOpacMsgNewListToTifTilDetailAction.do?tilcod=2002222329626")</f>
        <v>https://opac.libnet.pref.okayama.jp/licsxp-opac/WOpacMsgNewListToTifTilDetailAction.do?tilcod=2002222329626</v>
      </c>
    </row>
    <row r="1626" spans="1:9" x14ac:dyDescent="0.4">
      <c r="A1626" t="str">
        <f>"顔"</f>
        <v>顔</v>
      </c>
      <c r="B1626" s="1" t="str">
        <f t="shared" si="97"/>
        <v>顔</v>
      </c>
      <c r="C1626" t="str">
        <f>"カオ"</f>
        <v>カオ</v>
      </c>
      <c r="D1626" t="str">
        <f>"モンマルトル詩房"</f>
        <v>モンマルトル詩房</v>
      </c>
      <c r="E1626" t="str">
        <f>"モンマルトルシボウ"</f>
        <v>モンマルトルシボウ</v>
      </c>
      <c r="F1626" t="str">
        <f>""</f>
        <v/>
      </c>
      <c r="G1626" t="str">
        <f>"頻度不明"</f>
        <v>頻度不明</v>
      </c>
      <c r="H1626" t="str">
        <f>"2002222282243"</f>
        <v>2002222282243</v>
      </c>
      <c r="I1626" t="str">
        <f>HYPERLINK("#", "https://opac.libnet.pref.okayama.jp/licsxp-opac/WOpacMsgNewListToTifTilDetailAction.do?tilcod=2002222282243")</f>
        <v>https://opac.libnet.pref.okayama.jp/licsxp-opac/WOpacMsgNewListToTifTilDetailAction.do?tilcod=2002222282243</v>
      </c>
    </row>
    <row r="1627" spans="1:9" x14ac:dyDescent="0.4">
      <c r="A1627" t="str">
        <f>"カオス"</f>
        <v>カオス</v>
      </c>
      <c r="B1627" s="1" t="str">
        <f t="shared" si="97"/>
        <v>カオス</v>
      </c>
      <c r="C1627" t="str">
        <f>"カオス"</f>
        <v>カオス</v>
      </c>
      <c r="D1627" t="str">
        <f>"岡山大学弁論部"</f>
        <v>岡山大学弁論部</v>
      </c>
      <c r="E1627" t="str">
        <f>"オカヤマダイガクベンロンブ"</f>
        <v>オカヤマダイガクベンロンブ</v>
      </c>
      <c r="F1627" t="str">
        <f>""</f>
        <v/>
      </c>
      <c r="G1627" t="str">
        <f>"頻度不明"</f>
        <v>頻度不明</v>
      </c>
      <c r="H1627" t="str">
        <f>"2002222289863"</f>
        <v>2002222289863</v>
      </c>
      <c r="I1627" t="str">
        <f>HYPERLINK("#", "https://opac.libnet.pref.okayama.jp/licsxp-opac/WOpacMsgNewListToTifTilDetailAction.do?tilcod=2002222289863")</f>
        <v>https://opac.libnet.pref.okayama.jp/licsxp-opac/WOpacMsgNewListToTifTilDetailAction.do?tilcod=2002222289863</v>
      </c>
    </row>
    <row r="1628" spans="1:9" x14ac:dyDescent="0.4">
      <c r="A1628" t="str">
        <f>"化学の研究"</f>
        <v>化学の研究</v>
      </c>
      <c r="B1628" s="1" t="str">
        <f t="shared" si="97"/>
        <v>化学の研究</v>
      </c>
      <c r="C1628" t="str">
        <f>"カガク ノ ケンキュウ"</f>
        <v>カガク ノ ケンキュウ</v>
      </c>
      <c r="D1628" t="str">
        <f>"岡山市高等学校化学研究会"</f>
        <v>岡山市高等学校化学研究会</v>
      </c>
      <c r="E1628" t="str">
        <f>"オカヤマシ コウトウ ガッコウ カガク ケンキュウカイ"</f>
        <v>オカヤマシ コウトウ ガッコウ カガク ケンキュウカイ</v>
      </c>
      <c r="F1628" t="str">
        <f>"[岡山]"</f>
        <v>[岡山]</v>
      </c>
      <c r="G1628" t="str">
        <f>"頻度不明"</f>
        <v>頻度不明</v>
      </c>
      <c r="H1628" t="str">
        <f>"2002222331423"</f>
        <v>2002222331423</v>
      </c>
      <c r="I1628" t="str">
        <f>HYPERLINK("#", "https://opac.libnet.pref.okayama.jp/licsxp-opac/WOpacMsgNewListToTifTilDetailAction.do?tilcod=2002222331423")</f>
        <v>https://opac.libnet.pref.okayama.jp/licsxp-opac/WOpacMsgNewListToTifTilDetailAction.do?tilcod=2002222331423</v>
      </c>
    </row>
    <row r="1629" spans="1:9" x14ac:dyDescent="0.4">
      <c r="A1629" t="str">
        <f>"香登公民館時報"</f>
        <v>香登公民館時報</v>
      </c>
      <c r="B1629" s="1" t="str">
        <f t="shared" si="97"/>
        <v>香登公民館時報</v>
      </c>
      <c r="C1629" t="str">
        <f>"カガト　コウミンカン　ジホウ"</f>
        <v>カガト　コウミンカン　ジホウ</v>
      </c>
      <c r="D1629" t="str">
        <f>"香登公民館"</f>
        <v>香登公民館</v>
      </c>
      <c r="E1629" t="str">
        <f>"カガトコウミンカン"</f>
        <v>カガトコウミンカン</v>
      </c>
      <c r="F1629" t="str">
        <f>""</f>
        <v/>
      </c>
      <c r="G1629" t="str">
        <f>"頻度不明"</f>
        <v>頻度不明</v>
      </c>
      <c r="H1629" t="str">
        <f>"2002222282253"</f>
        <v>2002222282253</v>
      </c>
      <c r="I1629" t="str">
        <f>HYPERLINK("#", "https://opac.libnet.pref.okayama.jp/licsxp-opac/WOpacMsgNewListToTifTilDetailAction.do?tilcod=2002222282253")</f>
        <v>https://opac.libnet.pref.okayama.jp/licsxp-opac/WOpacMsgNewListToTifTilDetailAction.do?tilcod=2002222282253</v>
      </c>
    </row>
    <row r="1630" spans="1:9" x14ac:dyDescent="0.4">
      <c r="A1630" t="str">
        <f>"香登村報"</f>
        <v>香登村報</v>
      </c>
      <c r="B1630" s="1" t="str">
        <f t="shared" si="97"/>
        <v>香登村報</v>
      </c>
      <c r="C1630" t="str">
        <f>"カガト　ソンポウ"</f>
        <v>カガト　ソンポウ</v>
      </c>
      <c r="D1630" t="str">
        <f>"香登青年団"</f>
        <v>香登青年団</v>
      </c>
      <c r="E1630" t="str">
        <f>"カガトセイネンダン"</f>
        <v>カガトセイネンダン</v>
      </c>
      <c r="F1630" t="str">
        <f>""</f>
        <v/>
      </c>
      <c r="G1630" t="str">
        <f>"頻度不明"</f>
        <v>頻度不明</v>
      </c>
      <c r="H1630" t="str">
        <f>"2002222282263"</f>
        <v>2002222282263</v>
      </c>
      <c r="I1630" t="str">
        <f>HYPERLINK("#", "https://opac.libnet.pref.okayama.jp/licsxp-opac/WOpacMsgNewListToTifTilDetailAction.do?tilcod=2002222282263")</f>
        <v>https://opac.libnet.pref.okayama.jp/licsxp-opac/WOpacMsgNewListToTifTilDetailAction.do?tilcod=2002222282263</v>
      </c>
    </row>
    <row r="1631" spans="1:9" x14ac:dyDescent="0.4">
      <c r="A1631" t="str">
        <f>"かがみの議会だより ; かしの木"</f>
        <v>かがみの議会だより ; かしの木</v>
      </c>
      <c r="B1631" s="1" t="str">
        <f t="shared" si="97"/>
        <v>かがみの議会だより ; かしの木</v>
      </c>
      <c r="C1631" t="str">
        <f>"カガミノ ギカイ ダヨリ＊カシ ノ キ"</f>
        <v>カガミノ ギカイ ダヨリ＊カシ ノ キ</v>
      </c>
      <c r="D1631" t="str">
        <f>"鏡野町議会"</f>
        <v>鏡野町議会</v>
      </c>
      <c r="E1631" t="str">
        <f>"カガミノチョウギカイ"</f>
        <v>カガミノチョウギカイ</v>
      </c>
      <c r="F1631" t="str">
        <f>"鏡野町（苫田郡） "</f>
        <v xml:space="preserve">鏡野町（苫田郡） </v>
      </c>
      <c r="G1631" t="str">
        <f>"その他"</f>
        <v>その他</v>
      </c>
      <c r="H1631" t="str">
        <f>"2002222334387"</f>
        <v>2002222334387</v>
      </c>
      <c r="I1631" t="str">
        <f>HYPERLINK("#", "https://opac.libnet.pref.okayama.jp/licsxp-opac/WOpacMsgNewListToTifTilDetailAction.do?tilcod=2002222334387")</f>
        <v>https://opac.libnet.pref.okayama.jp/licsxp-opac/WOpacMsgNewListToTifTilDetailAction.do?tilcod=2002222334387</v>
      </c>
    </row>
    <row r="1632" spans="1:9" x14ac:dyDescent="0.4">
      <c r="A1632" t="str">
        <f>"かがみの社協だより"</f>
        <v>かがみの社協だより</v>
      </c>
      <c r="B1632" s="1" t="str">
        <f t="shared" si="97"/>
        <v>かがみの社協だより</v>
      </c>
      <c r="C1632" t="str">
        <f>"カガミノ　シャキョウ　ダヨリ"</f>
        <v>カガミノ　シャキョウ　ダヨリ</v>
      </c>
      <c r="D1632" t="str">
        <f>"鏡野町社会福祉協議会"</f>
        <v>鏡野町社会福祉協議会</v>
      </c>
      <c r="E1632" t="str">
        <f>"カガミノチョウ シャカイ フクシ キョウギカイ"</f>
        <v>カガミノチョウ シャカイ フクシ キョウギカイ</v>
      </c>
      <c r="F1632" t="str">
        <f>"鏡野町（苫田郡）"</f>
        <v>鏡野町（苫田郡）</v>
      </c>
      <c r="G1632" t="str">
        <f>"不定期刊"</f>
        <v>不定期刊</v>
      </c>
      <c r="H1632" t="str">
        <f>"2002222293631"</f>
        <v>2002222293631</v>
      </c>
      <c r="I1632" t="str">
        <f>HYPERLINK("#", "https://opac.libnet.pref.okayama.jp/licsxp-opac/WOpacMsgNewListToTifTilDetailAction.do?tilcod=2002222293631")</f>
        <v>https://opac.libnet.pref.okayama.jp/licsxp-opac/WOpacMsgNewListToTifTilDetailAction.do?tilcod=2002222293631</v>
      </c>
    </row>
    <row r="1633" spans="1:9" x14ac:dyDescent="0.4">
      <c r="A1633" t="str">
        <f>"かがみの中央公民館報"</f>
        <v>かがみの中央公民館報</v>
      </c>
      <c r="B1633" s="1" t="str">
        <f t="shared" si="97"/>
        <v>かがみの中央公民館報</v>
      </c>
      <c r="C1633" t="str">
        <f>"カガミノ　チュウオウ　コウミンカン　ホウ"</f>
        <v>カガミノ　チュウオウ　コウミンカン　ホウ</v>
      </c>
      <c r="D1633" t="str">
        <f>"鏡野町中央公民館"</f>
        <v>鏡野町中央公民館</v>
      </c>
      <c r="E1633" t="str">
        <f>"カガミノチョウチュウオウコウミンカン"</f>
        <v>カガミノチョウチュウオウコウミンカン</v>
      </c>
      <c r="F1633" t="str">
        <f>""</f>
        <v/>
      </c>
      <c r="G1633" t="str">
        <f>"年刊"</f>
        <v>年刊</v>
      </c>
      <c r="H1633" t="str">
        <f>"2002222281031"</f>
        <v>2002222281031</v>
      </c>
      <c r="I1633" t="str">
        <f>HYPERLINK("#", "https://opac.libnet.pref.okayama.jp/licsxp-opac/WOpacMsgNewListToTifTilDetailAction.do?tilcod=2002222281031")</f>
        <v>https://opac.libnet.pref.okayama.jp/licsxp-opac/WOpacMsgNewListToTifTilDetailAction.do?tilcod=2002222281031</v>
      </c>
    </row>
    <row r="1634" spans="1:9" x14ac:dyDescent="0.4">
      <c r="A1634" t="str">
        <f>"鏡野文化"</f>
        <v>鏡野文化</v>
      </c>
      <c r="B1634" s="1" t="str">
        <f t="shared" si="97"/>
        <v>鏡野文化</v>
      </c>
      <c r="C1634" t="str">
        <f>"カガミノ　ブンカ"</f>
        <v>カガミノ　ブンカ</v>
      </c>
      <c r="D1634" t="str">
        <f>"鏡野町文化協会"</f>
        <v>鏡野町文化協会</v>
      </c>
      <c r="E1634" t="str">
        <f>"カガミノチョウ ブンカ キョウカイ"</f>
        <v>カガミノチョウ ブンカ キョウカイ</v>
      </c>
      <c r="F1634" t="str">
        <f>"鏡野町（苫田郡）"</f>
        <v>鏡野町（苫田郡）</v>
      </c>
      <c r="G1634" t="str">
        <f>"隔月刊"</f>
        <v>隔月刊</v>
      </c>
      <c r="H1634" t="str">
        <f>"2002222294901"</f>
        <v>2002222294901</v>
      </c>
      <c r="I1634" t="str">
        <f>HYPERLINK("#", "https://opac.libnet.pref.okayama.jp/licsxp-opac/WOpacMsgNewListToTifTilDetailAction.do?tilcod=2002222294901")</f>
        <v>https://opac.libnet.pref.okayama.jp/licsxp-opac/WOpacMsgNewListToTifTilDetailAction.do?tilcod=2002222294901</v>
      </c>
    </row>
    <row r="1635" spans="1:9" x14ac:dyDescent="0.4">
      <c r="A1635" t="str">
        <f>"かがみの老連だより"</f>
        <v>かがみの老連だより</v>
      </c>
      <c r="B1635" s="1" t="str">
        <f t="shared" si="97"/>
        <v>かがみの老連だより</v>
      </c>
      <c r="C1635" t="str">
        <f>"カガミノ　ロウレン　ダヨリ"</f>
        <v>カガミノ　ロウレン　ダヨリ</v>
      </c>
      <c r="D1635" t="str">
        <f>"鏡野町老人クラブ連合会"</f>
        <v>鏡野町老人クラブ連合会</v>
      </c>
      <c r="E1635" t="str">
        <f>"カガミノチョウロウジンクラブレンゴウカイ"</f>
        <v>カガミノチョウロウジンクラブレンゴウカイ</v>
      </c>
      <c r="F1635" t="str">
        <f>"鏡野町（苫田郡）"</f>
        <v>鏡野町（苫田郡）</v>
      </c>
      <c r="G1635" t="str">
        <f>"年刊"</f>
        <v>年刊</v>
      </c>
      <c r="H1635" t="str">
        <f>"2002222281391"</f>
        <v>2002222281391</v>
      </c>
      <c r="I1635" t="str">
        <f>HYPERLINK("#", "https://opac.libnet.pref.okayama.jp/licsxp-opac/WOpacMsgNewListToTifTilDetailAction.do?tilcod=2002222281391")</f>
        <v>https://opac.libnet.pref.okayama.jp/licsxp-opac/WOpacMsgNewListToTifTilDetailAction.do?tilcod=2002222281391</v>
      </c>
    </row>
    <row r="1636" spans="1:9" x14ac:dyDescent="0.4">
      <c r="A1636" t="str">
        <f>"Kagamino ; 岡山県鏡野町"</f>
        <v>Kagamino ; 岡山県鏡野町</v>
      </c>
      <c r="B1636" s="1" t="str">
        <f t="shared" si="97"/>
        <v>Kagamino ; 岡山県鏡野町</v>
      </c>
      <c r="C1636" t="str">
        <f>"カガミノ＊オカヤマケン カガミノチョウ"</f>
        <v>カガミノ＊オカヤマケン カガミノチョウ</v>
      </c>
      <c r="D1636" t="str">
        <f>"鏡野観光局"</f>
        <v>鏡野観光局</v>
      </c>
      <c r="E1636" t="str">
        <f>"カガミノ カンコウキョク"</f>
        <v>カガミノ カンコウキョク</v>
      </c>
      <c r="F1636" t="str">
        <f>"鏡野町(苫田郡)"</f>
        <v>鏡野町(苫田郡)</v>
      </c>
      <c r="G1636" t="str">
        <f>"季刊"</f>
        <v>季刊</v>
      </c>
      <c r="H1636" t="str">
        <f>"2002222342110"</f>
        <v>2002222342110</v>
      </c>
      <c r="I1636" t="str">
        <f>HYPERLINK("#", "https://opac.libnet.pref.okayama.jp/licsxp-opac/WOpacMsgNewListToTifTilDetailAction.do?tilcod=2002222342110")</f>
        <v>https://opac.libnet.pref.okayama.jp/licsxp-opac/WOpacMsgNewListToTifTilDetailAction.do?tilcod=2002222342110</v>
      </c>
    </row>
    <row r="1637" spans="1:9" x14ac:dyDescent="0.4">
      <c r="A1637" t="str">
        <f>"鏡野町体育協会ニュース"</f>
        <v>鏡野町体育協会ニュース</v>
      </c>
      <c r="B1637" s="1" t="str">
        <f t="shared" si="97"/>
        <v>鏡野町体育協会ニュース</v>
      </c>
      <c r="C1637" t="str">
        <f>"カガミノチョウ　タイイク　キョウカイ　ニュース"</f>
        <v>カガミノチョウ　タイイク　キョウカイ　ニュース</v>
      </c>
      <c r="D1637" t="str">
        <f>"鏡野町体育協会"</f>
        <v>鏡野町体育協会</v>
      </c>
      <c r="E1637" t="str">
        <f>"カガミノチョウタイイクキョウカイ"</f>
        <v>カガミノチョウタイイクキョウカイ</v>
      </c>
      <c r="F1637" t="str">
        <f>"鏡野町"</f>
        <v>鏡野町</v>
      </c>
      <c r="G1637" t="str">
        <f>"年刊"</f>
        <v>年刊</v>
      </c>
      <c r="H1637" t="str">
        <f>"2002222293641"</f>
        <v>2002222293641</v>
      </c>
      <c r="I1637" t="str">
        <f>HYPERLINK("#", "https://opac.libnet.pref.okayama.jp/licsxp-opac/WOpacMsgNewListToTifTilDetailAction.do?tilcod=2002222293641")</f>
        <v>https://opac.libnet.pref.okayama.jp/licsxp-opac/WOpacMsgNewListToTifTilDetailAction.do?tilcod=2002222293641</v>
      </c>
    </row>
    <row r="1638" spans="1:9" x14ac:dyDescent="0.4">
      <c r="A1638" t="str">
        <f>"輝け・みらい；苫田郡西部合併協議会　協議会だより"</f>
        <v>輝け・みらい；苫田郡西部合併協議会　協議会だより</v>
      </c>
      <c r="B1638" s="1" t="str">
        <f t="shared" si="97"/>
        <v>輝け・みらい；苫田郡西部合併協議会　協議会だより</v>
      </c>
      <c r="C1638" t="str">
        <f>"カガヤケ　ミライ＊トマタグン　セイブ　ガッペイ　キョウギカイ　キョウギカイ　ダヨリ"</f>
        <v>カガヤケ　ミライ＊トマタグン　セイブ　ガッペイ　キョウギカイ　キョウギカイ　ダヨリ</v>
      </c>
      <c r="D1638" t="str">
        <f>"苫田郡西部合併協議会事務局"</f>
        <v>苫田郡西部合併協議会事務局</v>
      </c>
      <c r="E1638" t="str">
        <f>"トマタグンセイブガッペイキョウギカイジムキョク"</f>
        <v>トマタグンセイブガッペイキョウギカイジムキョク</v>
      </c>
      <c r="F1638" t="str">
        <f>"鏡野町（苫田郡）"</f>
        <v>鏡野町（苫田郡）</v>
      </c>
      <c r="G1638" t="str">
        <f>"不定期刊"</f>
        <v>不定期刊</v>
      </c>
      <c r="H1638" t="str">
        <f>"2002222281874"</f>
        <v>2002222281874</v>
      </c>
      <c r="I1638" t="str">
        <f>HYPERLINK("#", "https://opac.libnet.pref.okayama.jp/licsxp-opac/WOpacMsgNewListToTifTilDetailAction.do?tilcod=2002222281874")</f>
        <v>https://opac.libnet.pref.okayama.jp/licsxp-opac/WOpacMsgNewListToTifTilDetailAction.do?tilcod=2002222281874</v>
      </c>
    </row>
    <row r="1639" spans="1:9" x14ac:dyDescent="0.4">
      <c r="A1639" t="str">
        <f>"篝火"</f>
        <v>篝火</v>
      </c>
      <c r="B1639" s="1" t="str">
        <f t="shared" si="97"/>
        <v>篝火</v>
      </c>
      <c r="C1639" t="str">
        <f>"カガリビ"</f>
        <v>カガリビ</v>
      </c>
      <c r="D1639" t="str">
        <f>"篝火文芸社"</f>
        <v>篝火文芸社</v>
      </c>
      <c r="E1639" t="str">
        <f>"カガリビ ブンゲイシャ"</f>
        <v>カガリビ ブンゲイシャ</v>
      </c>
      <c r="F1639" t="str">
        <f>""</f>
        <v/>
      </c>
      <c r="G1639" t="str">
        <f>"頻度不明"</f>
        <v>頻度不明</v>
      </c>
      <c r="H1639" t="str">
        <f>"2002222336686"</f>
        <v>2002222336686</v>
      </c>
      <c r="I1639" t="str">
        <f>HYPERLINK("#", "https://opac.libnet.pref.okayama.jp/licsxp-opac/WOpacMsgNewListToTifTilDetailAction.do?tilcod=2002222336686")</f>
        <v>https://opac.libnet.pref.okayama.jp/licsxp-opac/WOpacMsgNewListToTifTilDetailAction.do?tilcod=2002222336686</v>
      </c>
    </row>
    <row r="1640" spans="1:9" x14ac:dyDescent="0.4">
      <c r="A1640" t="str">
        <f>"垣内乃薫"</f>
        <v>垣内乃薫</v>
      </c>
      <c r="B1640" s="1" t="str">
        <f t="shared" si="97"/>
        <v>垣内乃薫</v>
      </c>
      <c r="C1640" t="str">
        <f>"カキツ　ノ　カオリ"</f>
        <v>カキツ　ノ　カオリ</v>
      </c>
      <c r="D1640" t="str">
        <f>"斎垣内歌会"</f>
        <v>斎垣内歌会</v>
      </c>
      <c r="E1640" t="str">
        <f>"イワイノカキツウタカイ"</f>
        <v>イワイノカキツウタカイ</v>
      </c>
      <c r="F1640" t="str">
        <f>""</f>
        <v/>
      </c>
      <c r="G1640" t="str">
        <f>"月刊"</f>
        <v>月刊</v>
      </c>
      <c r="H1640" t="str">
        <f>"2002222282273"</f>
        <v>2002222282273</v>
      </c>
      <c r="I1640" t="str">
        <f>HYPERLINK("#", "https://opac.libnet.pref.okayama.jp/licsxp-opac/WOpacMsgNewListToTifTilDetailAction.do?tilcod=2002222282273")</f>
        <v>https://opac.libnet.pref.okayama.jp/licsxp-opac/WOpacMsgNewListToTifTilDetailAction.do?tilcod=2002222282273</v>
      </c>
    </row>
    <row r="1641" spans="1:9" x14ac:dyDescent="0.4">
      <c r="A1641" t="str">
        <f>"かぎろひ"</f>
        <v>かぎろひ</v>
      </c>
      <c r="B1641" s="1" t="str">
        <f t="shared" si="97"/>
        <v>かぎろひ</v>
      </c>
      <c r="C1641" t="str">
        <f>"カギロイ"</f>
        <v>カギロイ</v>
      </c>
      <c r="D1641" t="str">
        <f>"岡山市立宇野小学校ＰＴＡ短歌愛好会"</f>
        <v>岡山市立宇野小学校ＰＴＡ短歌愛好会</v>
      </c>
      <c r="E1641" t="str">
        <f>"オカヤマシリツウノショウガッコウピーティーエータンカアイコウカイ"</f>
        <v>オカヤマシリツウノショウガッコウピーティーエータンカアイコウカイ</v>
      </c>
      <c r="F1641" t="str">
        <f>""</f>
        <v/>
      </c>
      <c r="G1641" t="str">
        <f>"頻度不明"</f>
        <v>頻度不明</v>
      </c>
      <c r="H1641" t="str">
        <f>"2002222282283"</f>
        <v>2002222282283</v>
      </c>
      <c r="I1641" t="str">
        <f>HYPERLINK("#", "https://opac.libnet.pref.okayama.jp/licsxp-opac/WOpacMsgNewListToTifTilDetailAction.do?tilcod=2002222282283")</f>
        <v>https://opac.libnet.pref.okayama.jp/licsxp-opac/WOpacMsgNewListToTifTilDetailAction.do?tilcod=2002222282283</v>
      </c>
    </row>
    <row r="1642" spans="1:9" x14ac:dyDescent="0.4">
      <c r="A1642" t="str">
        <f>"学園おかやま"</f>
        <v>学園おかやま</v>
      </c>
      <c r="B1642" s="1" t="str">
        <f t="shared" si="97"/>
        <v>学園おかやま</v>
      </c>
      <c r="C1642" t="str">
        <f>"ガクエン オカヤマ"</f>
        <v>ガクエン オカヤマ</v>
      </c>
      <c r="D1642" t="str">
        <f>"岡山鉄道管理局岡山鉄道学園"</f>
        <v>岡山鉄道管理局岡山鉄道学園</v>
      </c>
      <c r="E1642" t="str">
        <f>"オカヤマ テツドウ カンリキョク オカヤマ テツドウ ガクエン"</f>
        <v>オカヤマ テツドウ カンリキョク オカヤマ テツドウ ガクエン</v>
      </c>
      <c r="F1642" t="str">
        <f>""</f>
        <v/>
      </c>
      <c r="G1642" t="str">
        <f>"頻度不明"</f>
        <v>頻度不明</v>
      </c>
      <c r="H1642" t="str">
        <f>"2002222331426"</f>
        <v>2002222331426</v>
      </c>
      <c r="I1642" t="str">
        <f>HYPERLINK("#", "https://opac.libnet.pref.okayama.jp/licsxp-opac/WOpacMsgNewListToTifTilDetailAction.do?tilcod=2002222331426")</f>
        <v>https://opac.libnet.pref.okayama.jp/licsxp-opac/WOpacMsgNewListToTifTilDetailAction.do?tilcod=2002222331426</v>
      </c>
    </row>
    <row r="1643" spans="1:9" x14ac:dyDescent="0.4">
      <c r="A1643" t="str">
        <f>"かくざん"</f>
        <v>かくざん</v>
      </c>
      <c r="B1643" s="1" t="str">
        <f t="shared" si="97"/>
        <v>かくざん</v>
      </c>
      <c r="C1643" t="str">
        <f>"カクザン"</f>
        <v>カクザン</v>
      </c>
      <c r="D1643" t="str">
        <f>"鶴山館"</f>
        <v>鶴山館</v>
      </c>
      <c r="E1643" t="str">
        <f>"カクザンカン"</f>
        <v>カクザンカン</v>
      </c>
      <c r="F1643" t="str">
        <f>"西東京"</f>
        <v>西東京</v>
      </c>
      <c r="G1643" t="str">
        <f>"年刊"</f>
        <v>年刊</v>
      </c>
      <c r="H1643" t="str">
        <f>"2002222342950"</f>
        <v>2002222342950</v>
      </c>
      <c r="I1643" t="str">
        <f>HYPERLINK("#", "https://opac.libnet.pref.okayama.jp/licsxp-opac/WOpacMsgNewListToTifTilDetailAction.do?tilcod=2002222342950")</f>
        <v>https://opac.libnet.pref.okayama.jp/licsxp-opac/WOpacMsgNewListToTifTilDetailAction.do?tilcod=2002222342950</v>
      </c>
    </row>
    <row r="1644" spans="1:9" x14ac:dyDescent="0.4">
      <c r="A1644" t="str">
        <f>"学事申報"</f>
        <v>学事申報</v>
      </c>
      <c r="B1644" s="1" t="str">
        <f t="shared" si="97"/>
        <v>学事申報</v>
      </c>
      <c r="C1644" t="str">
        <f>"ガクジ シンポウ"</f>
        <v>ガクジ シンポウ</v>
      </c>
      <c r="D1644" t="str">
        <f>"学事申報社"</f>
        <v>学事申報社</v>
      </c>
      <c r="E1644" t="str">
        <f>"ガクジ シンポウシャ"</f>
        <v>ガクジ シンポウシャ</v>
      </c>
      <c r="F1644" t="str">
        <f>"矢掛元町(小田郡)"</f>
        <v>矢掛元町(小田郡)</v>
      </c>
      <c r="G1644" t="str">
        <f>"月刊"</f>
        <v>月刊</v>
      </c>
      <c r="H1644" t="str">
        <f>"2002222334856"</f>
        <v>2002222334856</v>
      </c>
      <c r="I1644" t="str">
        <f>HYPERLINK("#", "https://opac.libnet.pref.okayama.jp/licsxp-opac/WOpacMsgNewListToTifTilDetailAction.do?tilcod=2002222334856")</f>
        <v>https://opac.libnet.pref.okayama.jp/licsxp-opac/WOpacMsgNewListToTifTilDetailAction.do?tilcod=2002222334856</v>
      </c>
    </row>
    <row r="1645" spans="1:9" x14ac:dyDescent="0.4">
      <c r="A1645" t="str">
        <f>"学習へのいざない"</f>
        <v>学習へのいざない</v>
      </c>
      <c r="B1645" s="1" t="str">
        <f t="shared" si="97"/>
        <v>学習へのいざない</v>
      </c>
      <c r="C1645" t="str">
        <f>"ガクシュウ　エ　ノ　イザナイ"</f>
        <v>ガクシュウ　エ　ノ　イザナイ</v>
      </c>
      <c r="D1645" t="str">
        <f>"倉敷市生涯学習推進本部"</f>
        <v>倉敷市生涯学習推進本部</v>
      </c>
      <c r="E1645" t="str">
        <f>"クラシキシ ショウガイ ガクシュウ スイシン ホンブ"</f>
        <v>クラシキシ ショウガイ ガクシュウ スイシン ホンブ</v>
      </c>
      <c r="F1645" t="str">
        <f>"倉敷市"</f>
        <v>倉敷市</v>
      </c>
      <c r="G1645" t="str">
        <f>"年２回刊"</f>
        <v>年２回刊</v>
      </c>
      <c r="H1645" t="str">
        <f>"2002222292331"</f>
        <v>2002222292331</v>
      </c>
      <c r="I1645" t="str">
        <f>HYPERLINK("#", "https://opac.libnet.pref.okayama.jp/licsxp-opac/WOpacMsgNewListToTifTilDetailAction.do?tilcod=2002222292331")</f>
        <v>https://opac.libnet.pref.okayama.jp/licsxp-opac/WOpacMsgNewListToTifTilDetailAction.do?tilcod=2002222292331</v>
      </c>
    </row>
    <row r="1646" spans="1:9" x14ac:dyDescent="0.4">
      <c r="A1646" t="str">
        <f>"学習相談だより"</f>
        <v>学習相談だより</v>
      </c>
      <c r="B1646" s="1" t="str">
        <f t="shared" si="97"/>
        <v>学習相談だより</v>
      </c>
      <c r="C1646" t="str">
        <f>"ガクシュウ　ソウダン　ダヨリ"</f>
        <v>ガクシュウ　ソウダン　ダヨリ</v>
      </c>
      <c r="D1646" t="str">
        <f>"三学ぱる岡山岡山県生涯学習センター"</f>
        <v>三学ぱる岡山岡山県生涯学習センター</v>
      </c>
      <c r="E1646" t="str">
        <f>"サンガクパルオカヤマオカヤマケンショウガイガクシュウセンター"</f>
        <v>サンガクパルオカヤマオカヤマケンショウガイガクシュウセンター</v>
      </c>
      <c r="F1646" t="str">
        <f>"岡山"</f>
        <v>岡山</v>
      </c>
      <c r="G1646" t="str">
        <f>"季刊"</f>
        <v>季刊</v>
      </c>
      <c r="H1646" t="str">
        <f>"2002222281824"</f>
        <v>2002222281824</v>
      </c>
      <c r="I1646" t="str">
        <f>HYPERLINK("#", "https://opac.libnet.pref.okayama.jp/licsxp-opac/WOpacMsgNewListToTifTilDetailAction.do?tilcod=2002222281824")</f>
        <v>https://opac.libnet.pref.okayama.jp/licsxp-opac/WOpacMsgNewListToTifTilDetailAction.do?tilcod=2002222281824</v>
      </c>
    </row>
    <row r="1647" spans="1:9" x14ac:dyDescent="0.4">
      <c r="A1647" t="str">
        <f>"学術、文化、芸術、教育活動に関する研究論叢"</f>
        <v>学術、文化、芸術、教育活動に関する研究論叢</v>
      </c>
      <c r="B1647" s="1" t="str">
        <f t="shared" si="97"/>
        <v>学術、文化、芸術、教育活動に関する研究論叢</v>
      </c>
      <c r="C1647" t="str">
        <f>"ガクジュツ　ブンカ　ゲイジュツ　キョウイク　カツドウ　ニ　カンスル　ケンキュウ　ロンソウ"</f>
        <v>ガクジュツ　ブンカ　ゲイジュツ　キョウイク　カツドウ　ニ　カンスル　ケンキュウ　ロンソウ</v>
      </c>
      <c r="D1647" t="str">
        <f>"両備〓園記念財団"</f>
        <v>両備〓園記念財団</v>
      </c>
      <c r="E1647" t="str">
        <f>"リョウビテイエンキネンザイダン"</f>
        <v>リョウビテイエンキネンザイダン</v>
      </c>
      <c r="F1647" t="str">
        <f>""</f>
        <v/>
      </c>
      <c r="G1647" t="str">
        <f>"年刊"</f>
        <v>年刊</v>
      </c>
      <c r="H1647" t="str">
        <f>"2002222282943"</f>
        <v>2002222282943</v>
      </c>
      <c r="I1647" t="str">
        <f>HYPERLINK("#", "https://opac.libnet.pref.okayama.jp/licsxp-opac/WOpacMsgNewListToTifTilDetailAction.do?tilcod=2002222282943")</f>
        <v>https://opac.libnet.pref.okayama.jp/licsxp-opac/WOpacMsgNewListToTifTilDetailAction.do?tilcod=2002222282943</v>
      </c>
    </row>
    <row r="1648" spans="1:9" x14ac:dyDescent="0.4">
      <c r="A1648" t="str">
        <f>"鶴城"</f>
        <v>鶴城</v>
      </c>
      <c r="B1648" s="1" t="str">
        <f t="shared" si="97"/>
        <v>鶴城</v>
      </c>
      <c r="C1648" t="str">
        <f>"カクジョウ"</f>
        <v>カクジョウ</v>
      </c>
      <c r="D1648" t="str">
        <f>"岡山県津山中学校済美会"</f>
        <v>岡山県津山中学校済美会</v>
      </c>
      <c r="E1648" t="str">
        <f>"オカヤマケンツヤマチュウガッコウサイビカイ"</f>
        <v>オカヤマケンツヤマチュウガッコウサイビカイ</v>
      </c>
      <c r="F1648" t="str">
        <f>"津山"</f>
        <v>津山</v>
      </c>
      <c r="G1648" t="str">
        <f>"頻度不明"</f>
        <v>頻度不明</v>
      </c>
      <c r="H1648" t="str">
        <f>"2002222282293"</f>
        <v>2002222282293</v>
      </c>
      <c r="I1648" t="str">
        <f>HYPERLINK("#", "https://opac.libnet.pref.okayama.jp/licsxp-opac/WOpacMsgNewListToTifTilDetailAction.do?tilcod=2002222282293")</f>
        <v>https://opac.libnet.pref.okayama.jp/licsxp-opac/WOpacMsgNewListToTifTilDetailAction.do?tilcod=2002222282293</v>
      </c>
    </row>
    <row r="1649" spans="1:9" x14ac:dyDescent="0.4">
      <c r="A1649" t="str">
        <f>"鶴翔会;岡山医学同窓会報"</f>
        <v>鶴翔会;岡山医学同窓会報</v>
      </c>
      <c r="B1649" s="1" t="str">
        <f t="shared" si="97"/>
        <v>鶴翔会;岡山医学同窓会報</v>
      </c>
      <c r="C1649" t="str">
        <f>"カクショウ カイ＊オカヤマ イガク ドウソウカイホウ"</f>
        <v>カクショウ カイ＊オカヤマ イガク ドウソウカイホウ</v>
      </c>
      <c r="D1649" t="str">
        <f>"鶴翔会（岡山医学同窓会）"</f>
        <v>鶴翔会（岡山医学同窓会）</v>
      </c>
      <c r="E1649" t="str">
        <f>"カクショウカイ　オカヤマイガクドウソウカイ"</f>
        <v>カクショウカイ　オカヤマイガクドウソウカイ</v>
      </c>
      <c r="F1649" t="str">
        <f>"[岡山]"</f>
        <v>[岡山]</v>
      </c>
      <c r="G1649" t="str">
        <f>"頻度不明"</f>
        <v>頻度不明</v>
      </c>
      <c r="H1649" t="str">
        <f>"2002222314707"</f>
        <v>2002222314707</v>
      </c>
      <c r="I1649" t="str">
        <f>HYPERLINK("#", "https://opac.libnet.pref.okayama.jp/licsxp-opac/WOpacMsgNewListToTifTilDetailAction.do?tilcod=2002222314707")</f>
        <v>https://opac.libnet.pref.okayama.jp/licsxp-opac/WOpacMsgNewListToTifTilDetailAction.do?tilcod=2002222314707</v>
      </c>
    </row>
    <row r="1650" spans="1:9" x14ac:dyDescent="0.4">
      <c r="A1650" t="str">
        <f>"鶴城新誌"</f>
        <v>鶴城新誌</v>
      </c>
      <c r="B1650" s="1" t="str">
        <f t="shared" si="97"/>
        <v>鶴城新誌</v>
      </c>
      <c r="C1650" t="str">
        <f>"カクジョウ　シンシ"</f>
        <v>カクジョウ　シンシ</v>
      </c>
      <c r="D1650" t="str">
        <f>"薇人社"</f>
        <v>薇人社</v>
      </c>
      <c r="E1650" t="str">
        <f>"ビジンシャ"</f>
        <v>ビジンシャ</v>
      </c>
      <c r="F1650" t="str">
        <f>""</f>
        <v/>
      </c>
      <c r="G1650" t="str">
        <f>"月２回刊"</f>
        <v>月２回刊</v>
      </c>
      <c r="H1650" t="str">
        <f>"2002222282303"</f>
        <v>2002222282303</v>
      </c>
      <c r="I1650" t="str">
        <f>HYPERLINK("#", "https://opac.libnet.pref.okayama.jp/licsxp-opac/WOpacMsgNewListToTifTilDetailAction.do?tilcod=2002222282303")</f>
        <v>https://opac.libnet.pref.okayama.jp/licsxp-opac/WOpacMsgNewListToTifTilDetailAction.do?tilcod=2002222282303</v>
      </c>
    </row>
    <row r="1651" spans="1:9" x14ac:dyDescent="0.4">
      <c r="A1651" t="str">
        <f>"覚醒"</f>
        <v>覚醒</v>
      </c>
      <c r="B1651" s="1" t="str">
        <f t="shared" si="97"/>
        <v>覚醒</v>
      </c>
      <c r="C1651" t="str">
        <f>"カクセイ"</f>
        <v>カクセイ</v>
      </c>
      <c r="D1651" t="str">
        <f>"盲人青年覚醒会"</f>
        <v>盲人青年覚醒会</v>
      </c>
      <c r="E1651" t="str">
        <f>"モウジンセイネンカクセイカイ"</f>
        <v>モウジンセイネンカクセイカイ</v>
      </c>
      <c r="F1651" t="str">
        <f>"岡山"</f>
        <v>岡山</v>
      </c>
      <c r="G1651" t="str">
        <f>"頻度不明"</f>
        <v>頻度不明</v>
      </c>
      <c r="H1651" t="str">
        <f>"2002222301732"</f>
        <v>2002222301732</v>
      </c>
      <c r="I1651" t="str">
        <f>HYPERLINK("#", "https://opac.libnet.pref.okayama.jp/licsxp-opac/WOpacMsgNewListToTifTilDetailAction.do?tilcod=2002222301732")</f>
        <v>https://opac.libnet.pref.okayama.jp/licsxp-opac/WOpacMsgNewListToTifTilDetailAction.do?tilcod=2002222301732</v>
      </c>
    </row>
    <row r="1652" spans="1:9" x14ac:dyDescent="0.4">
      <c r="A1652" t="str">
        <f>"学生詩人"</f>
        <v>学生詩人</v>
      </c>
      <c r="B1652" s="1" t="str">
        <f t="shared" si="97"/>
        <v>学生詩人</v>
      </c>
      <c r="C1652" t="str">
        <f>"ガクセイ　シジン"</f>
        <v>ガクセイ　シジン</v>
      </c>
      <c r="D1652" t="str">
        <f>"学生新詩人連合"</f>
        <v>学生新詩人連合</v>
      </c>
      <c r="E1652" t="str">
        <f>"ガクセイ　シン　シジン　レンゴウ"</f>
        <v>ガクセイ　シン　シジン　レンゴウ</v>
      </c>
      <c r="F1652" t="str">
        <f>""</f>
        <v/>
      </c>
      <c r="G1652" t="str">
        <f>"頻度不明"</f>
        <v>頻度不明</v>
      </c>
      <c r="H1652" t="str">
        <f>"2002222282313"</f>
        <v>2002222282313</v>
      </c>
      <c r="I1652" t="str">
        <f>HYPERLINK("#", "https://opac.libnet.pref.okayama.jp/licsxp-opac/WOpacMsgNewListToTifTilDetailAction.do?tilcod=2002222282313")</f>
        <v>https://opac.libnet.pref.okayama.jp/licsxp-opac/WOpacMsgNewListToTifTilDetailAction.do?tilcod=2002222282313</v>
      </c>
    </row>
    <row r="1653" spans="1:9" x14ac:dyDescent="0.4">
      <c r="A1653" t="str">
        <f>"核戦争を防止する岡山県医師の会会報"</f>
        <v>核戦争を防止する岡山県医師の会会報</v>
      </c>
      <c r="B1653" s="1" t="str">
        <f t="shared" si="97"/>
        <v>核戦争を防止する岡山県医師の会会報</v>
      </c>
      <c r="C1653" t="str">
        <f>"カクセンソウ　オ　ボウシスル　オカヤマケン　イシ　ノ　カイ　カイホウ"</f>
        <v>カクセンソウ　オ　ボウシスル　オカヤマケン　イシ　ノ　カイ　カイホウ</v>
      </c>
      <c r="D1653" t="str">
        <f>"核戦争を防止する岡山県医師の会"</f>
        <v>核戦争を防止する岡山県医師の会</v>
      </c>
      <c r="E1653" t="str">
        <f>"カクセンソウオボウシスルオカヤマケンイシノカイ"</f>
        <v>カクセンソウオボウシスルオカヤマケンイシノカイ</v>
      </c>
      <c r="F1653" t="str">
        <f>"岡山市"</f>
        <v>岡山市</v>
      </c>
      <c r="G1653" t="str">
        <f>"年３回刊"</f>
        <v>年３回刊</v>
      </c>
      <c r="H1653" t="str">
        <f>"2002222294911"</f>
        <v>2002222294911</v>
      </c>
      <c r="I1653" t="str">
        <f>HYPERLINK("#", "https://opac.libnet.pref.okayama.jp/licsxp-opac/WOpacMsgNewListToTifTilDetailAction.do?tilcod=2002222294911")</f>
        <v>https://opac.libnet.pref.okayama.jp/licsxp-opac/WOpacMsgNewListToTifTilDetailAction.do?tilcod=2002222294911</v>
      </c>
    </row>
    <row r="1654" spans="1:9" x14ac:dyDescent="0.4">
      <c r="A1654" t="str">
        <f>"鶴鳴"</f>
        <v>鶴鳴</v>
      </c>
      <c r="B1654" s="1" t="str">
        <f t="shared" si="97"/>
        <v>鶴鳴</v>
      </c>
      <c r="C1654" t="str">
        <f>"カクメイ"</f>
        <v>カクメイ</v>
      </c>
      <c r="D1654" t="str">
        <f>"鶴鳴時報社"</f>
        <v>鶴鳴時報社</v>
      </c>
      <c r="E1654" t="str">
        <f>"カクメイジホウシャ"</f>
        <v>カクメイジホウシャ</v>
      </c>
      <c r="F1654" t="str">
        <f>""</f>
        <v/>
      </c>
      <c r="G1654" t="str">
        <f>"頻度不明"</f>
        <v>頻度不明</v>
      </c>
      <c r="H1654" t="str">
        <f>"2002222282323"</f>
        <v>2002222282323</v>
      </c>
      <c r="I1654" t="str">
        <f>HYPERLINK("#", "https://opac.libnet.pref.okayama.jp/licsxp-opac/WOpacMsgNewListToTifTilDetailAction.do?tilcod=2002222282323")</f>
        <v>https://opac.libnet.pref.okayama.jp/licsxp-opac/WOpacMsgNewListToTifTilDetailAction.do?tilcod=2002222282323</v>
      </c>
    </row>
    <row r="1655" spans="1:9" x14ac:dyDescent="0.4">
      <c r="A1655" t="str">
        <f>"鶴鳴余音"</f>
        <v>鶴鳴余音</v>
      </c>
      <c r="B1655" s="1" t="str">
        <f t="shared" si="97"/>
        <v>鶴鳴余音</v>
      </c>
      <c r="C1655" t="str">
        <f>"カクメイ　ヨイン"</f>
        <v>カクメイ　ヨイン</v>
      </c>
      <c r="D1655" t="str">
        <f>"美作鶴鳴社"</f>
        <v>美作鶴鳴社</v>
      </c>
      <c r="E1655" t="str">
        <f>"ミマサカカクメイシャ"</f>
        <v>ミマサカカクメイシャ</v>
      </c>
      <c r="F1655" t="str">
        <f>""</f>
        <v/>
      </c>
      <c r="G1655" t="str">
        <f>"月刊"</f>
        <v>月刊</v>
      </c>
      <c r="H1655" t="str">
        <f>"2002222282333"</f>
        <v>2002222282333</v>
      </c>
      <c r="I1655" t="str">
        <f>HYPERLINK("#", "https://opac.libnet.pref.okayama.jp/licsxp-opac/WOpacMsgNewListToTifTilDetailAction.do?tilcod=2002222282333")</f>
        <v>https://opac.libnet.pref.okayama.jp/licsxp-opac/WOpacMsgNewListToTifTilDetailAction.do?tilcod=2002222282333</v>
      </c>
    </row>
    <row r="1656" spans="1:9" x14ac:dyDescent="0.4">
      <c r="A1656" t="str">
        <f>"岳友"</f>
        <v>岳友</v>
      </c>
      <c r="B1656" s="1" t="str">
        <f t="shared" si="97"/>
        <v>岳友</v>
      </c>
      <c r="C1656" t="str">
        <f>"ガクユウ"</f>
        <v>ガクユウ</v>
      </c>
      <c r="D1656" t="str">
        <f>"岡山岳友会"</f>
        <v>岡山岳友会</v>
      </c>
      <c r="E1656" t="str">
        <f>"オカヤマガクユウカイ"</f>
        <v>オカヤマガクユウカイ</v>
      </c>
      <c r="F1656" t="str">
        <f>""</f>
        <v/>
      </c>
      <c r="G1656" t="str">
        <f>"頻度不明"</f>
        <v>頻度不明</v>
      </c>
      <c r="H1656" t="str">
        <f>"2002222282343"</f>
        <v>2002222282343</v>
      </c>
      <c r="I1656" t="str">
        <f>HYPERLINK("#", "https://opac.libnet.pref.okayama.jp/licsxp-opac/WOpacMsgNewListToTifTilDetailAction.do?tilcod=2002222282343")</f>
        <v>https://opac.libnet.pref.okayama.jp/licsxp-opac/WOpacMsgNewListToTifTilDetailAction.do?tilcod=2002222282343</v>
      </c>
    </row>
    <row r="1657" spans="1:9" x14ac:dyDescent="0.4">
      <c r="A1657" t="str">
        <f>"学友会報"</f>
        <v>学友会報</v>
      </c>
      <c r="B1657" s="1" t="str">
        <f t="shared" si="97"/>
        <v>学友会報</v>
      </c>
      <c r="C1657" t="str">
        <f>"ガクユウ　カイホウ"</f>
        <v>ガクユウ　カイホウ</v>
      </c>
      <c r="D1657" t="str">
        <f>"岡山医科大学文芸部"</f>
        <v>岡山医科大学文芸部</v>
      </c>
      <c r="E1657" t="str">
        <f>"オカヤマイカダイガクブンゲイブ"</f>
        <v>オカヤマイカダイガクブンゲイブ</v>
      </c>
      <c r="F1657" t="str">
        <f>"岡山"</f>
        <v>岡山</v>
      </c>
      <c r="G1657" t="str">
        <f>"頻度不明"</f>
        <v>頻度不明</v>
      </c>
      <c r="H1657" t="str">
        <f>"2002222302289"</f>
        <v>2002222302289</v>
      </c>
      <c r="I1657" t="str">
        <f>HYPERLINK("#", "https://opac.libnet.pref.okayama.jp/licsxp-opac/WOpacMsgNewListToTifTilDetailAction.do?tilcod=2002222302289")</f>
        <v>https://opac.libnet.pref.okayama.jp/licsxp-opac/WOpacMsgNewListToTifTilDetailAction.do?tilcod=2002222302289</v>
      </c>
    </row>
    <row r="1658" spans="1:9" x14ac:dyDescent="0.4">
      <c r="A1658" t="str">
        <f>"学友会会報[岡山県高松農学校]"</f>
        <v>学友会会報[岡山県高松農学校]</v>
      </c>
      <c r="B1658" s="1" t="str">
        <f t="shared" si="97"/>
        <v>学友会会報[岡山県高松農学校]</v>
      </c>
      <c r="C1658" t="str">
        <f>"ガクユウカイ カイホウ オカヤマケン タカマツ ノウガッコウ"</f>
        <v>ガクユウカイ カイホウ オカヤマケン タカマツ ノウガッコウ</v>
      </c>
      <c r="D1658" t="str">
        <f>"岡山県高松農学校学友会"</f>
        <v>岡山県高松農学校学友会</v>
      </c>
      <c r="E1658" t="str">
        <f>"オカヤマケン タカマツ ノウガッコウ ガクユウカイ"</f>
        <v>オカヤマケン タカマツ ノウガッコウ ガクユウカイ</v>
      </c>
      <c r="F1658" t="str">
        <f>"吉備郡高松町"</f>
        <v>吉備郡高松町</v>
      </c>
      <c r="G1658" t="str">
        <f>"頻度不明"</f>
        <v>頻度不明</v>
      </c>
      <c r="H1658" t="str">
        <f>"2002222285141"</f>
        <v>2002222285141</v>
      </c>
      <c r="I1658" t="str">
        <f>HYPERLINK("#", "https://opac.libnet.pref.okayama.jp/licsxp-opac/WOpacMsgNewListToTifTilDetailAction.do?tilcod=2002222285141")</f>
        <v>https://opac.libnet.pref.okayama.jp/licsxp-opac/WOpacMsgNewListToTifTilDetailAction.do?tilcod=2002222285141</v>
      </c>
    </row>
    <row r="1659" spans="1:9" x14ac:dyDescent="0.4">
      <c r="A1659" t="str">
        <f>"学友会雑誌"</f>
        <v>学友会雑誌</v>
      </c>
      <c r="B1659" s="1" t="str">
        <f t="shared" si="97"/>
        <v>学友会雑誌</v>
      </c>
      <c r="C1659" t="str">
        <f>"ガクユウカイ　ザッシ"</f>
        <v>ガクユウカイ　ザッシ</v>
      </c>
      <c r="D1659" t="str">
        <f>"岡山医科大学文芸部"</f>
        <v>岡山医科大学文芸部</v>
      </c>
      <c r="E1659" t="str">
        <f>"オカヤマイカダイガクブンゲイブ"</f>
        <v>オカヤマイカダイガクブンゲイブ</v>
      </c>
      <c r="F1659" t="str">
        <f>"岡山"</f>
        <v>岡山</v>
      </c>
      <c r="G1659" t="str">
        <f>"頻度不明"</f>
        <v>頻度不明</v>
      </c>
      <c r="H1659" t="str">
        <f>"2002222302291"</f>
        <v>2002222302291</v>
      </c>
      <c r="I1659" t="str">
        <f>HYPERLINK("#", "https://opac.libnet.pref.okayama.jp/licsxp-opac/WOpacMsgNewListToTifTilDetailAction.do?tilcod=2002222302291")</f>
        <v>https://opac.libnet.pref.okayama.jp/licsxp-opac/WOpacMsgNewListToTifTilDetailAction.do?tilcod=2002222302291</v>
      </c>
    </row>
    <row r="1660" spans="1:9" x14ac:dyDescent="0.4">
      <c r="A1660" t="str">
        <f>"神楽新聞"</f>
        <v>神楽新聞</v>
      </c>
      <c r="B1660" s="1" t="str">
        <f t="shared" si="97"/>
        <v>神楽新聞</v>
      </c>
      <c r="C1660" t="str">
        <f>"カグラ　シンブン"</f>
        <v>カグラ　シンブン</v>
      </c>
      <c r="D1660" t="str">
        <f>"神楽新聞社"</f>
        <v>神楽新聞社</v>
      </c>
      <c r="E1660" t="str">
        <f>"カグラシンブンシャ"</f>
        <v>カグラシンブンシャ</v>
      </c>
      <c r="F1660" t="str">
        <f>"成羽町"</f>
        <v>成羽町</v>
      </c>
      <c r="G1660" t="str">
        <f>"年刊"</f>
        <v>年刊</v>
      </c>
      <c r="H1660" t="str">
        <f>"2002222282241"</f>
        <v>2002222282241</v>
      </c>
      <c r="I1660" t="str">
        <f>HYPERLINK("#", "https://opac.libnet.pref.okayama.jp/licsxp-opac/WOpacMsgNewListToTifTilDetailAction.do?tilcod=2002222282241")</f>
        <v>https://opac.libnet.pref.okayama.jp/licsxp-opac/WOpacMsgNewListToTifTilDetailAction.do?tilcod=2002222282241</v>
      </c>
    </row>
    <row r="1661" spans="1:9" x14ac:dyDescent="0.4">
      <c r="A1661" t="str">
        <f>"神楽尾"</f>
        <v>神楽尾</v>
      </c>
      <c r="B1661" s="1" t="str">
        <f t="shared" si="97"/>
        <v>神楽尾</v>
      </c>
      <c r="C1661" t="str">
        <f>"カグラオ"</f>
        <v>カグラオ</v>
      </c>
      <c r="D1661" t="str">
        <f>"神楽尾城跡保存会"</f>
        <v>神楽尾城跡保存会</v>
      </c>
      <c r="E1661" t="str">
        <f>"カグラオジョウアトホゾンカイ"</f>
        <v>カグラオジョウアトホゾンカイ</v>
      </c>
      <c r="F1661" t="str">
        <f>"津山"</f>
        <v>津山</v>
      </c>
      <c r="G1661" t="str">
        <f>"不定期刊"</f>
        <v>不定期刊</v>
      </c>
      <c r="H1661" t="str">
        <f>"2002222294161"</f>
        <v>2002222294161</v>
      </c>
      <c r="I1661" t="str">
        <f>HYPERLINK("#", "https://opac.libnet.pref.okayama.jp/licsxp-opac/WOpacMsgNewListToTifTilDetailAction.do?tilcod=2002222294161")</f>
        <v>https://opac.libnet.pref.okayama.jp/licsxp-opac/WOpacMsgNewListToTifTilDetailAction.do?tilcod=2002222294161</v>
      </c>
    </row>
    <row r="1662" spans="1:9" x14ac:dyDescent="0.4">
      <c r="A1662" t="str">
        <f>"加計教育　道"</f>
        <v>加計教育　道</v>
      </c>
      <c r="B1662" s="1" t="str">
        <f t="shared" si="97"/>
        <v>加計教育　道</v>
      </c>
      <c r="C1662" t="str">
        <f>"カケ キョウイク ミチ"</f>
        <v>カケ キョウイク ミチ</v>
      </c>
      <c r="D1662" t="str">
        <f>"加計教育運営委員会"</f>
        <v>加計教育運営委員会</v>
      </c>
      <c r="E1662" t="str">
        <f>"カケ キョウイク ウンエイ イインカイ"</f>
        <v>カケ キョウイク ウンエイ イインカイ</v>
      </c>
      <c r="F1662" t="str">
        <f>"岡山"</f>
        <v>岡山</v>
      </c>
      <c r="G1662" t="str">
        <f>"年刊"</f>
        <v>年刊</v>
      </c>
      <c r="H1662" t="str">
        <f>"2002222333367"</f>
        <v>2002222333367</v>
      </c>
      <c r="I1662" t="str">
        <f>HYPERLINK("#", "https://opac.libnet.pref.okayama.jp/licsxp-opac/WOpacMsgNewListToTifTilDetailAction.do?tilcod=2002222333367")</f>
        <v>https://opac.libnet.pref.okayama.jp/licsxp-opac/WOpacMsgNewListToTifTilDetailAction.do?tilcod=2002222333367</v>
      </c>
    </row>
    <row r="1663" spans="1:9" x14ac:dyDescent="0.4">
      <c r="A1663" t="str">
        <f>"かけはし"</f>
        <v>かけはし</v>
      </c>
      <c r="B1663" s="1" t="str">
        <f t="shared" si="97"/>
        <v>かけはし</v>
      </c>
      <c r="C1663" t="str">
        <f>"カケハシ"</f>
        <v>カケハシ</v>
      </c>
      <c r="D1663" t="str">
        <f>"加茂川町"</f>
        <v>加茂川町</v>
      </c>
      <c r="E1663" t="str">
        <f>"カモガワチョウ"</f>
        <v>カモガワチョウ</v>
      </c>
      <c r="F1663" t="str">
        <f>"加茂川町(御津郡)"</f>
        <v>加茂川町(御津郡)</v>
      </c>
      <c r="G1663" t="str">
        <f>"頻度不明"</f>
        <v>頻度不明</v>
      </c>
      <c r="H1663" t="str">
        <f>"2002222282363"</f>
        <v>2002222282363</v>
      </c>
      <c r="I1663" t="str">
        <f>HYPERLINK("#", "https://opac.libnet.pref.okayama.jp/licsxp-opac/WOpacMsgNewListToTifTilDetailAction.do?tilcod=2002222282363")</f>
        <v>https://opac.libnet.pref.okayama.jp/licsxp-opac/WOpacMsgNewListToTifTilDetailAction.do?tilcod=2002222282363</v>
      </c>
    </row>
    <row r="1664" spans="1:9" x14ac:dyDescent="0.4">
      <c r="A1664" t="str">
        <f>"かけはし；岡山県職員時報"</f>
        <v>かけはし；岡山県職員時報</v>
      </c>
      <c r="B1664" s="1" t="str">
        <f t="shared" si="97"/>
        <v>かけはし；岡山県職員時報</v>
      </c>
      <c r="C1664" t="str">
        <f>"カケハシ＊オカヤマケン　ショクイン　ジホウ"</f>
        <v>カケハシ＊オカヤマケン　ショクイン　ジホウ</v>
      </c>
      <c r="D1664" t="str">
        <f>"岡山県広報協会"</f>
        <v>岡山県広報協会</v>
      </c>
      <c r="E1664" t="str">
        <f>"オカヤマケン コウホウ キョウカイ"</f>
        <v>オカヤマケン コウホウ キョウカイ</v>
      </c>
      <c r="F1664" t="str">
        <f>""</f>
        <v/>
      </c>
      <c r="G1664" t="str">
        <f>"頻度不明"</f>
        <v>頻度不明</v>
      </c>
      <c r="H1664" t="str">
        <f>"2002222282353"</f>
        <v>2002222282353</v>
      </c>
      <c r="I1664" t="str">
        <f>HYPERLINK("#", "https://opac.libnet.pref.okayama.jp/licsxp-opac/WOpacMsgNewListToTifTilDetailAction.do?tilcod=2002222282353")</f>
        <v>https://opac.libnet.pref.okayama.jp/licsxp-opac/WOpacMsgNewListToTifTilDetailAction.do?tilcod=2002222282353</v>
      </c>
    </row>
    <row r="1665" spans="1:9" x14ac:dyDescent="0.4">
      <c r="A1665" t="str">
        <f>"かけはし；岡山市国公立園PTA連合会会報【75号までは新聞で受入】"</f>
        <v>かけはし；岡山市国公立園PTA連合会会報【75号までは新聞で受入】</v>
      </c>
      <c r="B1665" s="1" t="str">
        <f t="shared" si="97"/>
        <v>かけはし；岡山市国公立園PTA連合会会報【75号までは新聞で受入】</v>
      </c>
      <c r="C1665" t="str">
        <f>"カケハシ＊オカヤマシ コッコウリツ エン  ピーティーエー レンゴウカイ カイホウ"</f>
        <v>カケハシ＊オカヤマシ コッコウリツ エン  ピーティーエー レンゴウカイ カイホウ</v>
      </c>
      <c r="D1665" t="str">
        <f>"岡山市国公立園PTA連合会"</f>
        <v>岡山市国公立園PTA連合会</v>
      </c>
      <c r="E1665" t="str">
        <f>"オカヤマシ コッコウリツ エン  ピーティーエー レンゴウカイ"</f>
        <v>オカヤマシ コッコウリツ エン  ピーティーエー レンゴウカイ</v>
      </c>
      <c r="F1665" t="str">
        <f>"岡山"</f>
        <v>岡山</v>
      </c>
      <c r="G1665" t="str">
        <f>"年２回刊"</f>
        <v>年２回刊</v>
      </c>
      <c r="H1665" t="str">
        <f>"2002222341110"</f>
        <v>2002222341110</v>
      </c>
      <c r="I1665" t="str">
        <f>HYPERLINK("#", "https://opac.libnet.pref.okayama.jp/licsxp-opac/WOpacMsgNewListToTifTilDetailAction.do?tilcod=2002222341110")</f>
        <v>https://opac.libnet.pref.okayama.jp/licsxp-opac/WOpacMsgNewListToTifTilDetailAction.do?tilcod=2002222341110</v>
      </c>
    </row>
    <row r="1666" spans="1:9" x14ac:dyDescent="0.4">
      <c r="A1666" t="str">
        <f>"かけはし；岡山市国公立幼稚園ＰＴＡ連合会新聞【76号ーK雑誌で受入】"</f>
        <v>かけはし；岡山市国公立幼稚園ＰＴＡ連合会新聞【76号ーK雑誌で受入】</v>
      </c>
      <c r="B1666" s="1" t="str">
        <f t="shared" si="97"/>
        <v>かけはし；岡山市国公立幼稚園ＰＴＡ連合会新聞【76号ーK雑誌で受入】</v>
      </c>
      <c r="C1666" t="str">
        <f>"カケハシ＊オカヤマシ　コッコウリツヨウチエン　ピーティーエー　レンゴウカイ　シンブン"</f>
        <v>カケハシ＊オカヤマシ　コッコウリツヨウチエン　ピーティーエー　レンゴウカイ　シンブン</v>
      </c>
      <c r="D1666" t="str">
        <f>""</f>
        <v/>
      </c>
      <c r="E1666" t="str">
        <f>""</f>
        <v/>
      </c>
      <c r="F1666" t="str">
        <f>""</f>
        <v/>
      </c>
      <c r="G1666" t="str">
        <f>"年２回刊"</f>
        <v>年２回刊</v>
      </c>
      <c r="H1666" t="str">
        <f>"2002222300899"</f>
        <v>2002222300899</v>
      </c>
      <c r="I1666" t="str">
        <f>HYPERLINK("#", "https://opac.libnet.pref.okayama.jp/licsxp-opac/WOpacMsgNewListToTifTilDetailAction.do?tilcod=2002222300899")</f>
        <v>https://opac.libnet.pref.okayama.jp/licsxp-opac/WOpacMsgNewListToTifTilDetailAction.do?tilcod=2002222300899</v>
      </c>
    </row>
    <row r="1667" spans="1:9" x14ac:dyDescent="0.4">
      <c r="A1667" t="str">
        <f>"華興会報"</f>
        <v>華興会報</v>
      </c>
      <c r="B1667" s="1" t="str">
        <f t="shared" si="97"/>
        <v>華興会報</v>
      </c>
      <c r="C1667" t="str">
        <f>"カコウ　カイホウ"</f>
        <v>カコウ　カイホウ</v>
      </c>
      <c r="D1667" t="str">
        <f>"華興会"</f>
        <v>華興会</v>
      </c>
      <c r="E1667" t="str">
        <f>"カコウカイ"</f>
        <v>カコウカイ</v>
      </c>
      <c r="F1667" t="str">
        <f>""</f>
        <v/>
      </c>
      <c r="G1667" t="str">
        <f>"頻度不明"</f>
        <v>頻度不明</v>
      </c>
      <c r="H1667" t="str">
        <f>"2002222282373"</f>
        <v>2002222282373</v>
      </c>
      <c r="I1667" t="str">
        <f>HYPERLINK("#", "https://opac.libnet.pref.okayama.jp/licsxp-opac/WOpacMsgNewListToTifTilDetailAction.do?tilcod=2002222282373")</f>
        <v>https://opac.libnet.pref.okayama.jp/licsxp-opac/WOpacMsgNewListToTifTilDetailAction.do?tilcod=2002222282373</v>
      </c>
    </row>
    <row r="1668" spans="1:9" x14ac:dyDescent="0.4">
      <c r="A1668" t="str">
        <f>"笠映タイムス"</f>
        <v>笠映タイムス</v>
      </c>
      <c r="B1668" s="1" t="str">
        <f t="shared" ref="B1668:B1731" si="98">HYPERLINK("#", A1668)</f>
        <v>笠映タイムス</v>
      </c>
      <c r="C1668" t="str">
        <f>"カサエイ タイムス"</f>
        <v>カサエイ タイムス</v>
      </c>
      <c r="D1668" t="str">
        <f>"[笠岡映画劇場]"</f>
        <v>[笠岡映画劇場]</v>
      </c>
      <c r="E1668" t="str">
        <f>"カサオカ エイガ ゲキジョウ"</f>
        <v>カサオカ エイガ ゲキジョウ</v>
      </c>
      <c r="F1668" t="str">
        <f>"笠岡"</f>
        <v>笠岡</v>
      </c>
      <c r="G1668" t="str">
        <f>"頻度不明"</f>
        <v>頻度不明</v>
      </c>
      <c r="H1668" t="str">
        <f>"2002222340471"</f>
        <v>2002222340471</v>
      </c>
      <c r="I1668" t="str">
        <f>HYPERLINK("#", "https://opac.libnet.pref.okayama.jp/licsxp-opac/WOpacMsgNewListToTifTilDetailAction.do?tilcod=2002222340471")</f>
        <v>https://opac.libnet.pref.okayama.jp/licsxp-opac/WOpacMsgNewListToTifTilDetailAction.do?tilcod=2002222340471</v>
      </c>
    </row>
    <row r="1669" spans="1:9" x14ac:dyDescent="0.4">
      <c r="A1669" t="str">
        <f>"笠岡駅前区画整理シリーズ まちづくり"</f>
        <v>笠岡駅前区画整理シリーズ まちづくり</v>
      </c>
      <c r="B1669" s="1" t="str">
        <f t="shared" si="98"/>
        <v>笠岡駅前区画整理シリーズ まちづくり</v>
      </c>
      <c r="C1669" t="str">
        <f>"カサオカ エキマエ  クカク セイリ シリーズ マチズクリ"</f>
        <v>カサオカ エキマエ  クカク セイリ シリーズ マチズクリ</v>
      </c>
      <c r="D1669" t="str">
        <f>"笠岡市役所"</f>
        <v>笠岡市役所</v>
      </c>
      <c r="E1669" t="str">
        <f>"カサオカ シヤクショ"</f>
        <v>カサオカ シヤクショ</v>
      </c>
      <c r="F1669" t="str">
        <f>"笠岡"</f>
        <v>笠岡</v>
      </c>
      <c r="G1669" t="str">
        <f>"頻度不明"</f>
        <v>頻度不明</v>
      </c>
      <c r="H1669" t="str">
        <f>"2002222331166"</f>
        <v>2002222331166</v>
      </c>
      <c r="I1669" t="str">
        <f>HYPERLINK("#", "https://opac.libnet.pref.okayama.jp/licsxp-opac/WOpacMsgNewListToTifTilDetailAction.do?tilcod=2002222331166")</f>
        <v>https://opac.libnet.pref.okayama.jp/licsxp-opac/WOpacMsgNewListToTifTilDetailAction.do?tilcod=2002222331166</v>
      </c>
    </row>
    <row r="1670" spans="1:9" x14ac:dyDescent="0.4">
      <c r="A1670" t="str">
        <f>"笠岡往来"</f>
        <v>笠岡往来</v>
      </c>
      <c r="B1670" s="1" t="str">
        <f t="shared" si="98"/>
        <v>笠岡往来</v>
      </c>
      <c r="C1670" t="str">
        <f>"カサオカ　オウライ"</f>
        <v>カサオカ　オウライ</v>
      </c>
      <c r="D1670" t="str">
        <f>"笠岡往来社"</f>
        <v>笠岡往来社</v>
      </c>
      <c r="E1670" t="str">
        <f>"カサオカオウライシャ"</f>
        <v>カサオカオウライシャ</v>
      </c>
      <c r="F1670" t="str">
        <f>""</f>
        <v/>
      </c>
      <c r="G1670" t="str">
        <f>"頻度不明"</f>
        <v>頻度不明</v>
      </c>
      <c r="H1670" t="str">
        <f>"2002222282383"</f>
        <v>2002222282383</v>
      </c>
      <c r="I1670" t="str">
        <f>HYPERLINK("#", "https://opac.libnet.pref.okayama.jp/licsxp-opac/WOpacMsgNewListToTifTilDetailAction.do?tilcod=2002222282383")</f>
        <v>https://opac.libnet.pref.okayama.jp/licsxp-opac/WOpacMsgNewListToTifTilDetailAction.do?tilcod=2002222282383</v>
      </c>
    </row>
    <row r="1671" spans="1:9" x14ac:dyDescent="0.4">
      <c r="A1671" t="str">
        <f>"笠岡工業高等学校学校案内"</f>
        <v>笠岡工業高等学校学校案内</v>
      </c>
      <c r="B1671" s="1" t="str">
        <f t="shared" si="98"/>
        <v>笠岡工業高等学校学校案内</v>
      </c>
      <c r="C1671" t="str">
        <f>"カサオカ　コウギョウ　コウトウ　ガッコウ　ガッコウ　アンナイ"</f>
        <v>カサオカ　コウギョウ　コウトウ　ガッコウ　ガッコウ　アンナイ</v>
      </c>
      <c r="D1671" t="str">
        <f>"笠岡工業高等学校"</f>
        <v>笠岡工業高等学校</v>
      </c>
      <c r="E1671" t="str">
        <f>"カサオカコウギョウコウトウガッコウ"</f>
        <v>カサオカコウギョウコウトウガッコウ</v>
      </c>
      <c r="F1671" t="str">
        <f t="shared" ref="F1671:F1683" si="99">"笠岡"</f>
        <v>笠岡</v>
      </c>
      <c r="G1671" t="str">
        <f>"年刊"</f>
        <v>年刊</v>
      </c>
      <c r="H1671" t="str">
        <f>"2002222301244"</f>
        <v>2002222301244</v>
      </c>
      <c r="I1671" t="str">
        <f>HYPERLINK("#", "https://opac.libnet.pref.okayama.jp/licsxp-opac/WOpacMsgNewListToTifTilDetailAction.do?tilcod=2002222301244")</f>
        <v>https://opac.libnet.pref.okayama.jp/licsxp-opac/WOpacMsgNewListToTifTilDetailAction.do?tilcod=2002222301244</v>
      </c>
    </row>
    <row r="1672" spans="1:9" x14ac:dyDescent="0.4">
      <c r="A1672" t="str">
        <f>"笠岡工業高等学校学校要覧"</f>
        <v>笠岡工業高等学校学校要覧</v>
      </c>
      <c r="B1672" s="1" t="str">
        <f t="shared" si="98"/>
        <v>笠岡工業高等学校学校要覧</v>
      </c>
      <c r="C1672" t="str">
        <f>"カサオカ　コウギョウ　コウトウ　ガッコウ　ガッコウ　ヨウラン"</f>
        <v>カサオカ　コウギョウ　コウトウ　ガッコウ　ガッコウ　ヨウラン</v>
      </c>
      <c r="D1672" t="str">
        <f>"笠岡工業高等学校"</f>
        <v>笠岡工業高等学校</v>
      </c>
      <c r="E1672" t="str">
        <f>"カサオカコウギョウコウトウガッコウ"</f>
        <v>カサオカコウギョウコウトウガッコウ</v>
      </c>
      <c r="F1672" t="str">
        <f t="shared" si="99"/>
        <v>笠岡</v>
      </c>
      <c r="G1672" t="str">
        <f>"年刊"</f>
        <v>年刊</v>
      </c>
      <c r="H1672" t="str">
        <f>"2002222300517"</f>
        <v>2002222300517</v>
      </c>
      <c r="I1672" t="str">
        <f>HYPERLINK("#", "https://opac.libnet.pref.okayama.jp/licsxp-opac/WOpacMsgNewListToTifTilDetailAction.do?tilcod=2002222300517")</f>
        <v>https://opac.libnet.pref.okayama.jp/licsxp-opac/WOpacMsgNewListToTifTilDetailAction.do?tilcod=2002222300517</v>
      </c>
    </row>
    <row r="1673" spans="1:9" x14ac:dyDescent="0.4">
      <c r="A1673" t="str">
        <f>"〔笠岡工業高等学校〕笠岡工高新聞"</f>
        <v>〔笠岡工業高等学校〕笠岡工高新聞</v>
      </c>
      <c r="B1673" s="1" t="str">
        <f t="shared" si="98"/>
        <v>〔笠岡工業高等学校〕笠岡工高新聞</v>
      </c>
      <c r="C1673" t="str">
        <f>"カサオカ　コウギョウ　コウトウ　ガッコウ＊カサオカ　コウコウ　シンブン"</f>
        <v>カサオカ　コウギョウ　コウトウ　ガッコウ＊カサオカ　コウコウ　シンブン</v>
      </c>
      <c r="D1673" t="str">
        <f>"笠岡工業高等学校報道部"</f>
        <v>笠岡工業高等学校報道部</v>
      </c>
      <c r="E1673" t="str">
        <f>"カサオカコウギョウコウトウガッコウホウドウブ"</f>
        <v>カサオカコウギョウコウトウガッコウホウドウブ</v>
      </c>
      <c r="F1673" t="str">
        <f t="shared" si="99"/>
        <v>笠岡</v>
      </c>
      <c r="G1673" t="str">
        <f>"頻度不明"</f>
        <v>頻度不明</v>
      </c>
      <c r="H1673" t="str">
        <f>"2002222301963"</f>
        <v>2002222301963</v>
      </c>
      <c r="I1673" t="str">
        <f>HYPERLINK("#", "https://opac.libnet.pref.okayama.jp/licsxp-opac/WOpacMsgNewListToTifTilDetailAction.do?tilcod=2002222301963")</f>
        <v>https://opac.libnet.pref.okayama.jp/licsxp-opac/WOpacMsgNewListToTifTilDetailAction.do?tilcod=2002222301963</v>
      </c>
    </row>
    <row r="1674" spans="1:9" x14ac:dyDescent="0.4">
      <c r="A1674" t="str">
        <f>"〔笠岡工業高等学校〕ふれあい；ＰＴＡ新聞"</f>
        <v>〔笠岡工業高等学校〕ふれあい；ＰＴＡ新聞</v>
      </c>
      <c r="B1674" s="1" t="str">
        <f t="shared" si="98"/>
        <v>〔笠岡工業高等学校〕ふれあい；ＰＴＡ新聞</v>
      </c>
      <c r="C1674" t="str">
        <f>"カサオカ　コウギョウ　コウトウ　ガッコウ＊フレアイ＊ピーティーエー　シンブン"</f>
        <v>カサオカ　コウギョウ　コウトウ　ガッコウ＊フレアイ＊ピーティーエー　シンブン</v>
      </c>
      <c r="D1674" t="str">
        <f>"笠岡工業高等学校ＰＴＡ"</f>
        <v>笠岡工業高等学校ＰＴＡ</v>
      </c>
      <c r="E1674" t="str">
        <f>"カサオカコウギョウコウトウガッコウピーティーエー"</f>
        <v>カサオカコウギョウコウトウガッコウピーティーエー</v>
      </c>
      <c r="F1674" t="str">
        <f t="shared" si="99"/>
        <v>笠岡</v>
      </c>
      <c r="G1674" t="str">
        <f>"頻度不明"</f>
        <v>頻度不明</v>
      </c>
      <c r="H1674" t="str">
        <f>"2002222301964"</f>
        <v>2002222301964</v>
      </c>
      <c r="I1674" t="str">
        <f>HYPERLINK("#", "https://opac.libnet.pref.okayama.jp/licsxp-opac/WOpacMsgNewListToTifTilDetailAction.do?tilcod=2002222301964")</f>
        <v>https://opac.libnet.pref.okayama.jp/licsxp-opac/WOpacMsgNewListToTifTilDetailAction.do?tilcod=2002222301964</v>
      </c>
    </row>
    <row r="1675" spans="1:9" x14ac:dyDescent="0.4">
      <c r="A1675" t="str">
        <f>"笠岡高校新聞"</f>
        <v>笠岡高校新聞</v>
      </c>
      <c r="B1675" s="1" t="str">
        <f t="shared" si="98"/>
        <v>笠岡高校新聞</v>
      </c>
      <c r="C1675" t="str">
        <f>"カサオカ　コウコウ　シンブン"</f>
        <v>カサオカ　コウコウ　シンブン</v>
      </c>
      <c r="D1675" t="str">
        <f>"笠岡高等学校マルチメディア部"</f>
        <v>笠岡高等学校マルチメディア部</v>
      </c>
      <c r="E1675" t="str">
        <f>"カサオカコウトウガッコウマルチメディアブ"</f>
        <v>カサオカコウトウガッコウマルチメディアブ</v>
      </c>
      <c r="F1675" t="str">
        <f t="shared" si="99"/>
        <v>笠岡</v>
      </c>
      <c r="G1675" t="str">
        <f>"頻度不明"</f>
        <v>頻度不明</v>
      </c>
      <c r="H1675" t="str">
        <f>"2002222301962"</f>
        <v>2002222301962</v>
      </c>
      <c r="I1675" t="str">
        <f>HYPERLINK("#", "https://opac.libnet.pref.okayama.jp/licsxp-opac/WOpacMsgNewListToTifTilDetailAction.do?tilcod=2002222301962")</f>
        <v>https://opac.libnet.pref.okayama.jp/licsxp-opac/WOpacMsgNewListToTifTilDetailAction.do?tilcod=2002222301962</v>
      </c>
    </row>
    <row r="1676" spans="1:9" x14ac:dyDescent="0.4">
      <c r="A1676" t="str">
        <f>"笠岡高校シラバス"</f>
        <v>笠岡高校シラバス</v>
      </c>
      <c r="B1676" s="1" t="str">
        <f t="shared" si="98"/>
        <v>笠岡高校シラバス</v>
      </c>
      <c r="C1676" t="str">
        <f>"カサオカ　コウコウ＊シラバス"</f>
        <v>カサオカ　コウコウ＊シラバス</v>
      </c>
      <c r="D1676" t="str">
        <f>"笠岡高等学校"</f>
        <v>笠岡高等学校</v>
      </c>
      <c r="E1676" t="str">
        <f>"カサオカ コウトウ ガッコウ"</f>
        <v>カサオカ コウトウ ガッコウ</v>
      </c>
      <c r="F1676" t="str">
        <f t="shared" si="99"/>
        <v>笠岡</v>
      </c>
      <c r="G1676" t="str">
        <f>"年刊"</f>
        <v>年刊</v>
      </c>
      <c r="H1676" t="str">
        <f>"2002222300729"</f>
        <v>2002222300729</v>
      </c>
      <c r="I1676" t="str">
        <f>HYPERLINK("#", "https://opac.libnet.pref.okayama.jp/licsxp-opac/WOpacMsgNewListToTifTilDetailAction.do?tilcod=2002222300729")</f>
        <v>https://opac.libnet.pref.okayama.jp/licsxp-opac/WOpacMsgNewListToTifTilDetailAction.do?tilcod=2002222300729</v>
      </c>
    </row>
    <row r="1677" spans="1:9" x14ac:dyDescent="0.4">
      <c r="A1677" t="str">
        <f>"笠岡高等学校学校案内"</f>
        <v>笠岡高等学校学校案内</v>
      </c>
      <c r="B1677" s="1" t="str">
        <f t="shared" si="98"/>
        <v>笠岡高等学校学校案内</v>
      </c>
      <c r="C1677" t="str">
        <f>"カサオカ　コウトウ　ガッコウ　ガッコウ　アンナイ"</f>
        <v>カサオカ　コウトウ　ガッコウ　ガッコウ　アンナイ</v>
      </c>
      <c r="D1677" t="str">
        <f>"笠岡高等学校"</f>
        <v>笠岡高等学校</v>
      </c>
      <c r="E1677" t="str">
        <f>"カサオカ コウトウ ガッコウ"</f>
        <v>カサオカ コウトウ ガッコウ</v>
      </c>
      <c r="F1677" t="str">
        <f t="shared" si="99"/>
        <v>笠岡</v>
      </c>
      <c r="G1677" t="str">
        <f>"年刊"</f>
        <v>年刊</v>
      </c>
      <c r="H1677" t="str">
        <f>"2002222301256"</f>
        <v>2002222301256</v>
      </c>
      <c r="I1677" t="str">
        <f>HYPERLINK("#", "https://opac.libnet.pref.okayama.jp/licsxp-opac/WOpacMsgNewListToTifTilDetailAction.do?tilcod=2002222301256")</f>
        <v>https://opac.libnet.pref.okayama.jp/licsxp-opac/WOpacMsgNewListToTifTilDetailAction.do?tilcod=2002222301256</v>
      </c>
    </row>
    <row r="1678" spans="1:9" x14ac:dyDescent="0.4">
      <c r="A1678" t="str">
        <f>"笠岡高等学校学校要覧"</f>
        <v>笠岡高等学校学校要覧</v>
      </c>
      <c r="B1678" s="1" t="str">
        <f t="shared" si="98"/>
        <v>笠岡高等学校学校要覧</v>
      </c>
      <c r="C1678" t="str">
        <f>"カサオカ　コウトウ　ガッコウ　ガッコウ　ヨウラン"</f>
        <v>カサオカ　コウトウ　ガッコウ　ガッコウ　ヨウラン</v>
      </c>
      <c r="D1678" t="str">
        <f>"笠岡高等学校"</f>
        <v>笠岡高等学校</v>
      </c>
      <c r="E1678" t="str">
        <f>"カサオカ コウトウ ガッコウ"</f>
        <v>カサオカ コウトウ ガッコウ</v>
      </c>
      <c r="F1678" t="str">
        <f t="shared" si="99"/>
        <v>笠岡</v>
      </c>
      <c r="G1678" t="str">
        <f>"年刊"</f>
        <v>年刊</v>
      </c>
      <c r="H1678" t="str">
        <f>"2002222300516"</f>
        <v>2002222300516</v>
      </c>
      <c r="I1678" t="str">
        <f>HYPERLINK("#", "https://opac.libnet.pref.okayama.jp/licsxp-opac/WOpacMsgNewListToTifTilDetailAction.do?tilcod=2002222300516")</f>
        <v>https://opac.libnet.pref.okayama.jp/licsxp-opac/WOpacMsgNewListToTifTilDetailAction.do?tilcod=2002222300516</v>
      </c>
    </row>
    <row r="1679" spans="1:9" x14ac:dyDescent="0.4">
      <c r="A1679" t="str">
        <f>"笠岡高等学校紀要"</f>
        <v>笠岡高等学校紀要</v>
      </c>
      <c r="B1679" s="1" t="str">
        <f t="shared" si="98"/>
        <v>笠岡高等学校紀要</v>
      </c>
      <c r="C1679" t="str">
        <f>"カサオカ　コウトウ　ガッコウ　キヨウ"</f>
        <v>カサオカ　コウトウ　ガッコウ　キヨウ</v>
      </c>
      <c r="D1679" t="str">
        <f>"笠岡高等学校"</f>
        <v>笠岡高等学校</v>
      </c>
      <c r="E1679" t="str">
        <f>"カサオカ コウトウ ガッコウ"</f>
        <v>カサオカ コウトウ ガッコウ</v>
      </c>
      <c r="F1679" t="str">
        <f t="shared" si="99"/>
        <v>笠岡</v>
      </c>
      <c r="G1679" t="str">
        <f>"頻度不明"</f>
        <v>頻度不明</v>
      </c>
      <c r="H1679" t="str">
        <f>"2002222288723"</f>
        <v>2002222288723</v>
      </c>
      <c r="I1679" t="str">
        <f>HYPERLINK("#", "https://opac.libnet.pref.okayama.jp/licsxp-opac/WOpacMsgNewListToTifTilDetailAction.do?tilcod=2002222288723")</f>
        <v>https://opac.libnet.pref.okayama.jp/licsxp-opac/WOpacMsgNewListToTifTilDetailAction.do?tilcod=2002222288723</v>
      </c>
    </row>
    <row r="1680" spans="1:9" x14ac:dyDescent="0.4">
      <c r="A1680" t="str">
        <f>"〔笠岡高等学校〕笠高千鳥文庫；図書館報千鳥文庫"</f>
        <v>〔笠岡高等学校〕笠高千鳥文庫；図書館報千鳥文庫</v>
      </c>
      <c r="B1680" s="1" t="str">
        <f t="shared" si="98"/>
        <v>〔笠岡高等学校〕笠高千鳥文庫；図書館報千鳥文庫</v>
      </c>
      <c r="C1680" t="str">
        <f>"カサオカ　コウトウ　ガッコウ＊カサコウ　チドリブンコ＊トショカンポウ　チドリ　ブンコ"</f>
        <v>カサオカ　コウトウ　ガッコウ＊カサコウ　チドリブンコ＊トショカンポウ　チドリ　ブンコ</v>
      </c>
      <c r="D1680" t="str">
        <f>"笠岡高等学校図書委員会"</f>
        <v>笠岡高等学校図書委員会</v>
      </c>
      <c r="E1680" t="str">
        <f>"カサオカコウトウガッコウトショイインカイ"</f>
        <v>カサオカコウトウガッコウトショイインカイ</v>
      </c>
      <c r="F1680" t="str">
        <f t="shared" si="99"/>
        <v>笠岡</v>
      </c>
      <c r="G1680" t="str">
        <f>"年刊"</f>
        <v>年刊</v>
      </c>
      <c r="H1680" t="str">
        <f>"2002222301920"</f>
        <v>2002222301920</v>
      </c>
      <c r="I1680" t="str">
        <f>HYPERLINK("#", "https://opac.libnet.pref.okayama.jp/licsxp-opac/WOpacMsgNewListToTifTilDetailAction.do?tilcod=2002222301920")</f>
        <v>https://opac.libnet.pref.okayama.jp/licsxp-opac/WOpacMsgNewListToTifTilDetailAction.do?tilcod=2002222301920</v>
      </c>
    </row>
    <row r="1681" spans="1:9" x14ac:dyDescent="0.4">
      <c r="A1681" t="str">
        <f>"かさおか山陽"</f>
        <v>かさおか山陽</v>
      </c>
      <c r="B1681" s="1" t="str">
        <f t="shared" si="98"/>
        <v>かさおか山陽</v>
      </c>
      <c r="C1681" t="str">
        <f>"カサオカ サンヨウ"</f>
        <v>カサオカ サンヨウ</v>
      </c>
      <c r="D1681" t="str">
        <f>"桑田政治経済研究所"</f>
        <v>桑田政治経済研究所</v>
      </c>
      <c r="E1681" t="str">
        <f>"クワタ セイジ ケイザイ ケンキュウショ"</f>
        <v>クワタ セイジ ケイザイ ケンキュウショ</v>
      </c>
      <c r="F1681" t="str">
        <f t="shared" si="99"/>
        <v>笠岡</v>
      </c>
      <c r="G1681" t="str">
        <f>"旬刊"</f>
        <v>旬刊</v>
      </c>
      <c r="H1681" t="str">
        <f>"2002222319766"</f>
        <v>2002222319766</v>
      </c>
      <c r="I1681" t="str">
        <f>HYPERLINK("#", "https://opac.libnet.pref.okayama.jp/licsxp-opac/WOpacMsgNewListToTifTilDetailAction.do?tilcod=2002222319766")</f>
        <v>https://opac.libnet.pref.okayama.jp/licsxp-opac/WOpacMsgNewListToTifTilDetailAction.do?tilcod=2002222319766</v>
      </c>
    </row>
    <row r="1682" spans="1:9" x14ac:dyDescent="0.4">
      <c r="A1682" t="str">
        <f>"かさおか市議会だより"</f>
        <v>かさおか市議会だより</v>
      </c>
      <c r="B1682" s="1" t="str">
        <f t="shared" si="98"/>
        <v>かさおか市議会だより</v>
      </c>
      <c r="C1682" t="str">
        <f>"カサオカ　シギカイ　ダヨリ"</f>
        <v>カサオカ　シギカイ　ダヨリ</v>
      </c>
      <c r="D1682" t="str">
        <f>"笠岡市議会広報公聴委員会"</f>
        <v>笠岡市議会広報公聴委員会</v>
      </c>
      <c r="E1682" t="str">
        <f>"カサオカ シギカイ コウホウ コウチョウ イインカイ"</f>
        <v>カサオカ シギカイ コウホウ コウチョウ イインカイ</v>
      </c>
      <c r="F1682" t="str">
        <f t="shared" si="99"/>
        <v>笠岡</v>
      </c>
      <c r="G1682" t="str">
        <f>"季刊"</f>
        <v>季刊</v>
      </c>
      <c r="H1682" t="str">
        <f>"2002222281051"</f>
        <v>2002222281051</v>
      </c>
      <c r="I1682" t="str">
        <f>HYPERLINK("#", "https://opac.libnet.pref.okayama.jp/licsxp-opac/WOpacMsgNewListToTifTilDetailAction.do?tilcod=2002222281051")</f>
        <v>https://opac.libnet.pref.okayama.jp/licsxp-opac/WOpacMsgNewListToTifTilDetailAction.do?tilcod=2002222281051</v>
      </c>
    </row>
    <row r="1683" spans="1:9" x14ac:dyDescent="0.4">
      <c r="A1683" t="str">
        <f>"笠岡市政だより"</f>
        <v>笠岡市政だより</v>
      </c>
      <c r="B1683" s="1" t="str">
        <f t="shared" si="98"/>
        <v>笠岡市政だより</v>
      </c>
      <c r="C1683" t="str">
        <f>"カサオカ シセイ ダヨリ"</f>
        <v>カサオカ シセイ ダヨリ</v>
      </c>
      <c r="D1683" t="str">
        <f>"笠岡市"</f>
        <v>笠岡市</v>
      </c>
      <c r="E1683" t="str">
        <f>"カサオカシ"</f>
        <v>カサオカシ</v>
      </c>
      <c r="F1683" t="str">
        <f t="shared" si="99"/>
        <v>笠岡</v>
      </c>
      <c r="G1683" t="str">
        <f>"月刊"</f>
        <v>月刊</v>
      </c>
      <c r="H1683" t="str">
        <f>"2002222301589"</f>
        <v>2002222301589</v>
      </c>
      <c r="I1683" t="str">
        <f>HYPERLINK("#", "https://opac.libnet.pref.okayama.jp/licsxp-opac/WOpacMsgNewListToTifTilDetailAction.do?tilcod=2002222301589")</f>
        <v>https://opac.libnet.pref.okayama.jp/licsxp-opac/WOpacMsgNewListToTifTilDetailAction.do?tilcod=2002222301589</v>
      </c>
    </row>
    <row r="1684" spans="1:9" x14ac:dyDescent="0.4">
      <c r="A1684" t="str">
        <f>"笠岡史談"</f>
        <v>笠岡史談</v>
      </c>
      <c r="B1684" s="1" t="str">
        <f t="shared" si="98"/>
        <v>笠岡史談</v>
      </c>
      <c r="C1684" t="str">
        <f>"カサオカ　シダン"</f>
        <v>カサオカ　シダン</v>
      </c>
      <c r="D1684" t="str">
        <f>"笠岡史談会"</f>
        <v>笠岡史談会</v>
      </c>
      <c r="E1684" t="str">
        <f>"カサオカシダンカイ"</f>
        <v>カサオカシダンカイ</v>
      </c>
      <c r="F1684" t="str">
        <f>""</f>
        <v/>
      </c>
      <c r="G1684" t="str">
        <f>"年刊"</f>
        <v>年刊</v>
      </c>
      <c r="H1684" t="str">
        <f>"2002222282413"</f>
        <v>2002222282413</v>
      </c>
      <c r="I1684" t="str">
        <f>HYPERLINK("#", "https://opac.libnet.pref.okayama.jp/licsxp-opac/WOpacMsgNewListToTifTilDetailAction.do?tilcod=2002222282413")</f>
        <v>https://opac.libnet.pref.okayama.jp/licsxp-opac/WOpacMsgNewListToTifTilDetailAction.do?tilcod=2002222282413</v>
      </c>
    </row>
    <row r="1685" spans="1:9" x14ac:dyDescent="0.4">
      <c r="A1685" t="str">
        <f>"笠岡商業高等学校学校案内"</f>
        <v>笠岡商業高等学校学校案内</v>
      </c>
      <c r="B1685" s="1" t="str">
        <f t="shared" si="98"/>
        <v>笠岡商業高等学校学校案内</v>
      </c>
      <c r="C1685" t="str">
        <f>"カサオカ　ショウギョウ　コウトウ　ガッコウ　ガッコウ　アンナイ"</f>
        <v>カサオカ　ショウギョウ　コウトウ　ガッコウ　ガッコウ　アンナイ</v>
      </c>
      <c r="D1685" t="str">
        <f>"笠岡商業高等学校"</f>
        <v>笠岡商業高等学校</v>
      </c>
      <c r="E1685" t="str">
        <f>"カサオカ ショウギョウ コウトウ ガッコウ"</f>
        <v>カサオカ ショウギョウ コウトウ ガッコウ</v>
      </c>
      <c r="F1685" t="str">
        <f t="shared" ref="F1685:F1694" si="100">"笠岡"</f>
        <v>笠岡</v>
      </c>
      <c r="G1685" t="str">
        <f>"年刊"</f>
        <v>年刊</v>
      </c>
      <c r="H1685" t="str">
        <f>"2002222301257"</f>
        <v>2002222301257</v>
      </c>
      <c r="I1685" t="str">
        <f>HYPERLINK("#", "https://opac.libnet.pref.okayama.jp/licsxp-opac/WOpacMsgNewListToTifTilDetailAction.do?tilcod=2002222301257")</f>
        <v>https://opac.libnet.pref.okayama.jp/licsxp-opac/WOpacMsgNewListToTifTilDetailAction.do?tilcod=2002222301257</v>
      </c>
    </row>
    <row r="1686" spans="1:9" x14ac:dyDescent="0.4">
      <c r="A1686" t="str">
        <f>"笠岡商業高等学校学校要覧"</f>
        <v>笠岡商業高等学校学校要覧</v>
      </c>
      <c r="B1686" s="1" t="str">
        <f t="shared" si="98"/>
        <v>笠岡商業高等学校学校要覧</v>
      </c>
      <c r="C1686" t="str">
        <f>"カサオカ　ショウギョウ　コウトウ　ガッコウ　ガッコウ　ヨウラン"</f>
        <v>カサオカ　ショウギョウ　コウトウ　ガッコウ　ガッコウ　ヨウラン</v>
      </c>
      <c r="D1686" t="str">
        <f>"笠岡商業高等学校"</f>
        <v>笠岡商業高等学校</v>
      </c>
      <c r="E1686" t="str">
        <f>"カサオカ ショウギョウ コウトウ ガッコウ"</f>
        <v>カサオカ ショウギョウ コウトウ ガッコウ</v>
      </c>
      <c r="F1686" t="str">
        <f t="shared" si="100"/>
        <v>笠岡</v>
      </c>
      <c r="G1686" t="str">
        <f>"年刊"</f>
        <v>年刊</v>
      </c>
      <c r="H1686" t="str">
        <f>"2002222300518"</f>
        <v>2002222300518</v>
      </c>
      <c r="I1686" t="str">
        <f>HYPERLINK("#", "https://opac.libnet.pref.okayama.jp/licsxp-opac/WOpacMsgNewListToTifTilDetailAction.do?tilcod=2002222300518")</f>
        <v>https://opac.libnet.pref.okayama.jp/licsxp-opac/WOpacMsgNewListToTifTilDetailAction.do?tilcod=2002222300518</v>
      </c>
    </row>
    <row r="1687" spans="1:9" x14ac:dyDescent="0.4">
      <c r="A1687" t="str">
        <f>"〔笠岡商業高等学校〕笠岡商高新聞"</f>
        <v>〔笠岡商業高等学校〕笠岡商高新聞</v>
      </c>
      <c r="B1687" s="1" t="str">
        <f t="shared" si="98"/>
        <v>〔笠岡商業高等学校〕笠岡商高新聞</v>
      </c>
      <c r="C1687" t="str">
        <f>"カサオカ　ショウギョウ　コウトウ　ガッコウ＊カサオカ　ショウ　コウ　シンブン"</f>
        <v>カサオカ　ショウギョウ　コウトウ　ガッコウ＊カサオカ　ショウ　コウ　シンブン</v>
      </c>
      <c r="D1687" t="str">
        <f>"笠岡商業高等学校新聞部"</f>
        <v>笠岡商業高等学校新聞部</v>
      </c>
      <c r="E1687" t="str">
        <f>"カサオカショウギョウコウトウガッコウシンブンブ"</f>
        <v>カサオカショウギョウコウトウガッコウシンブンブ</v>
      </c>
      <c r="F1687" t="str">
        <f t="shared" si="100"/>
        <v>笠岡</v>
      </c>
      <c r="G1687" t="str">
        <f>"頻度不明"</f>
        <v>頻度不明</v>
      </c>
      <c r="H1687" t="str">
        <f>"2002222301878"</f>
        <v>2002222301878</v>
      </c>
      <c r="I1687" t="str">
        <f>HYPERLINK("#", "https://opac.libnet.pref.okayama.jp/licsxp-opac/WOpacMsgNewListToTifTilDetailAction.do?tilcod=2002222301878")</f>
        <v>https://opac.libnet.pref.okayama.jp/licsxp-opac/WOpacMsgNewListToTifTilDetailAction.do?tilcod=2002222301878</v>
      </c>
    </row>
    <row r="1688" spans="1:9" x14ac:dyDescent="0.4">
      <c r="A1688" t="str">
        <f>"笠岡商工会議所会報"</f>
        <v>笠岡商工会議所会報</v>
      </c>
      <c r="B1688" s="1" t="str">
        <f t="shared" si="98"/>
        <v>笠岡商工会議所会報</v>
      </c>
      <c r="C1688" t="str">
        <f>"カサオカ　ショウコウ　カイギショ　カイホウ"</f>
        <v>カサオカ　ショウコウ　カイギショ　カイホウ</v>
      </c>
      <c r="D1688" t="str">
        <f>"笠岡商工会議所"</f>
        <v>笠岡商工会議所</v>
      </c>
      <c r="E1688" t="str">
        <f>"カサオカ ショウコウ カイギショ"</f>
        <v>カサオカ ショウコウ カイギショ</v>
      </c>
      <c r="F1688" t="str">
        <f t="shared" si="100"/>
        <v>笠岡</v>
      </c>
      <c r="G1688" t="str">
        <f>"月刊"</f>
        <v>月刊</v>
      </c>
      <c r="H1688" t="str">
        <f>"2002222292341"</f>
        <v>2002222292341</v>
      </c>
      <c r="I1688" t="str">
        <f>HYPERLINK("#", "https://opac.libnet.pref.okayama.jp/licsxp-opac/WOpacMsgNewListToTifTilDetailAction.do?tilcod=2002222292341")</f>
        <v>https://opac.libnet.pref.okayama.jp/licsxp-opac/WOpacMsgNewListToTifTilDetailAction.do?tilcod=2002222292341</v>
      </c>
    </row>
    <row r="1689" spans="1:9" x14ac:dyDescent="0.4">
      <c r="A1689" t="str">
        <f>"笠岡新聞"</f>
        <v>笠岡新聞</v>
      </c>
      <c r="B1689" s="1" t="str">
        <f t="shared" si="98"/>
        <v>笠岡新聞</v>
      </c>
      <c r="C1689" t="str">
        <f>"カサオカ シンブン"</f>
        <v>カサオカ シンブン</v>
      </c>
      <c r="D1689" t="str">
        <f>"笠岡新聞社"</f>
        <v>笠岡新聞社</v>
      </c>
      <c r="E1689" t="str">
        <f>"カサオカシンブンシャ"</f>
        <v>カサオカシンブンシャ</v>
      </c>
      <c r="F1689" t="str">
        <f t="shared" si="100"/>
        <v>笠岡</v>
      </c>
      <c r="G1689" t="str">
        <f>"週刊"</f>
        <v>週刊</v>
      </c>
      <c r="H1689" t="str">
        <f>"2002222300855"</f>
        <v>2002222300855</v>
      </c>
      <c r="I1689" t="str">
        <f>HYPERLINK("#", "https://opac.libnet.pref.okayama.jp/licsxp-opac/WOpacMsgNewListToTifTilDetailAction.do?tilcod=2002222300855")</f>
        <v>https://opac.libnet.pref.okayama.jp/licsxp-opac/WOpacMsgNewListToTifTilDetailAction.do?tilcod=2002222300855</v>
      </c>
    </row>
    <row r="1690" spans="1:9" x14ac:dyDescent="0.4">
      <c r="A1690" t="str">
        <f>"笠岡タイムス"</f>
        <v>笠岡タイムス</v>
      </c>
      <c r="B1690" s="1" t="str">
        <f t="shared" si="98"/>
        <v>笠岡タイムス</v>
      </c>
      <c r="C1690" t="str">
        <f>"カサオカ　タイムス"</f>
        <v>カサオカ　タイムス</v>
      </c>
      <c r="D1690" t="str">
        <f>"笠岡タイムス社"</f>
        <v>笠岡タイムス社</v>
      </c>
      <c r="E1690" t="str">
        <f>"カサオカタイムスシャ"</f>
        <v>カサオカタイムスシャ</v>
      </c>
      <c r="F1690" t="str">
        <f t="shared" si="100"/>
        <v>笠岡</v>
      </c>
      <c r="G1690" t="str">
        <f>"週刊"</f>
        <v>週刊</v>
      </c>
      <c r="H1690" t="str">
        <f>"2002222300856"</f>
        <v>2002222300856</v>
      </c>
      <c r="I1690" t="str">
        <f>HYPERLINK("#", "https://opac.libnet.pref.okayama.jp/licsxp-opac/WOpacMsgNewListToTifTilDetailAction.do?tilcod=2002222300856")</f>
        <v>https://opac.libnet.pref.okayama.jp/licsxp-opac/WOpacMsgNewListToTifTilDetailAction.do?tilcod=2002222300856</v>
      </c>
    </row>
    <row r="1691" spans="1:9" x14ac:dyDescent="0.4">
      <c r="A1691" t="str">
        <f>"笠岡西中新聞"</f>
        <v>笠岡西中新聞</v>
      </c>
      <c r="B1691" s="1" t="str">
        <f t="shared" si="98"/>
        <v>笠岡西中新聞</v>
      </c>
      <c r="C1691" t="str">
        <f>"カサオカ ニシチュウ シンブン"</f>
        <v>カサオカ ニシチュウ シンブン</v>
      </c>
      <c r="D1691" t="str">
        <f>"笠岡市立笠岡西中学校報道部"</f>
        <v>笠岡市立笠岡西中学校報道部</v>
      </c>
      <c r="E1691" t="str">
        <f>"カサオカシリツ カサオカ ニシ チュウガッコウ"</f>
        <v>カサオカシリツ カサオカ ニシ チュウガッコウ</v>
      </c>
      <c r="F1691" t="str">
        <f t="shared" si="100"/>
        <v>笠岡</v>
      </c>
      <c r="G1691" t="str">
        <f>"頻度不明"</f>
        <v>頻度不明</v>
      </c>
      <c r="H1691" t="str">
        <f>"2002222328426"</f>
        <v>2002222328426</v>
      </c>
      <c r="I1691" t="str">
        <f>HYPERLINK("#", "https://opac.libnet.pref.okayama.jp/licsxp-opac/WOpacMsgNewListToTifTilDetailAction.do?tilcod=2002222328426")</f>
        <v>https://opac.libnet.pref.okayama.jp/licsxp-opac/WOpacMsgNewListToTifTilDetailAction.do?tilcod=2002222328426</v>
      </c>
    </row>
    <row r="1692" spans="1:9" x14ac:dyDescent="0.4">
      <c r="A1692" t="str">
        <f>"[笠岡市]議会だより"</f>
        <v>[笠岡市]議会だより</v>
      </c>
      <c r="B1692" s="1" t="str">
        <f t="shared" si="98"/>
        <v>[笠岡市]議会だより</v>
      </c>
      <c r="C1692" t="str">
        <f>"カサオカシ ギカイ ダヨリ"</f>
        <v>カサオカシ ギカイ ダヨリ</v>
      </c>
      <c r="D1692" t="str">
        <f>"笠岡市議会事務局"</f>
        <v>笠岡市議会事務局</v>
      </c>
      <c r="E1692" t="str">
        <f>"カサオカシギカイ ジムキョク"</f>
        <v>カサオカシギカイ ジムキョク</v>
      </c>
      <c r="F1692" t="str">
        <f t="shared" si="100"/>
        <v>笠岡</v>
      </c>
      <c r="G1692" t="str">
        <f>"季刊"</f>
        <v>季刊</v>
      </c>
      <c r="H1692" t="str">
        <f>"2002222282403"</f>
        <v>2002222282403</v>
      </c>
      <c r="I1692" t="str">
        <f>HYPERLINK("#", "https://opac.libnet.pref.okayama.jp/licsxp-opac/WOpacMsgNewListToTifTilDetailAction.do?tilcod=2002222282403")</f>
        <v>https://opac.libnet.pref.okayama.jp/licsxp-opac/WOpacMsgNewListToTifTilDetailAction.do?tilcod=2002222282403</v>
      </c>
    </row>
    <row r="1693" spans="1:9" x14ac:dyDescent="0.4">
      <c r="A1693" t="str">
        <f>"笠岡市議会報"</f>
        <v>笠岡市議会報</v>
      </c>
      <c r="B1693" s="1" t="str">
        <f t="shared" si="98"/>
        <v>笠岡市議会報</v>
      </c>
      <c r="C1693" t="str">
        <f>"カサオカシ　ギカイ　ホウ"</f>
        <v>カサオカシ　ギカイ　ホウ</v>
      </c>
      <c r="D1693" t="str">
        <f>"笠岡市議会事務局"</f>
        <v>笠岡市議会事務局</v>
      </c>
      <c r="E1693" t="str">
        <f>"カサオカシギカイ ジムキョク"</f>
        <v>カサオカシギカイ ジムキョク</v>
      </c>
      <c r="F1693" t="str">
        <f t="shared" si="100"/>
        <v>笠岡</v>
      </c>
      <c r="G1693" t="str">
        <f>"不定期刊"</f>
        <v>不定期刊</v>
      </c>
      <c r="H1693" t="str">
        <f>"2002222282393"</f>
        <v>2002222282393</v>
      </c>
      <c r="I1693" t="str">
        <f>HYPERLINK("#", "https://opac.libnet.pref.okayama.jp/licsxp-opac/WOpacMsgNewListToTifTilDetailAction.do?tilcod=2002222282393")</f>
        <v>https://opac.libnet.pref.okayama.jp/licsxp-opac/WOpacMsgNewListToTifTilDetailAction.do?tilcod=2002222282393</v>
      </c>
    </row>
    <row r="1694" spans="1:9" x14ac:dyDescent="0.4">
      <c r="A1694" t="str">
        <f>"笠岡市老人クラブ文芸集"</f>
        <v>笠岡市老人クラブ文芸集</v>
      </c>
      <c r="B1694" s="1" t="str">
        <f t="shared" si="98"/>
        <v>笠岡市老人クラブ文芸集</v>
      </c>
      <c r="C1694" t="str">
        <f>"カサオカシ　ロウジン　クラブ　ブンゲイ　シュウ"</f>
        <v>カサオカシ　ロウジン　クラブ　ブンゲイ　シュウ</v>
      </c>
      <c r="D1694" t="str">
        <f>"笠岡老人クラブ連合会"</f>
        <v>笠岡老人クラブ連合会</v>
      </c>
      <c r="E1694" t="str">
        <f>"カサオカロウジンクラブレンゴウカイ"</f>
        <v>カサオカロウジンクラブレンゴウカイ</v>
      </c>
      <c r="F1694" t="str">
        <f t="shared" si="100"/>
        <v>笠岡</v>
      </c>
      <c r="G1694" t="str">
        <f>"年刊"</f>
        <v>年刊</v>
      </c>
      <c r="H1694" t="str">
        <f>"2002222282423"</f>
        <v>2002222282423</v>
      </c>
      <c r="I1694" t="str">
        <f>HYPERLINK("#", "https://opac.libnet.pref.okayama.jp/licsxp-opac/WOpacMsgNewListToTifTilDetailAction.do?tilcod=2002222282423")</f>
        <v>https://opac.libnet.pref.okayama.jp/licsxp-opac/WOpacMsgNewListToTifTilDetailAction.do?tilcod=2002222282423</v>
      </c>
    </row>
    <row r="1695" spans="1:9" x14ac:dyDescent="0.4">
      <c r="A1695" t="str">
        <f>"笠岡市立竹喬美術館年報"</f>
        <v>笠岡市立竹喬美術館年報</v>
      </c>
      <c r="B1695" s="1" t="str">
        <f t="shared" si="98"/>
        <v>笠岡市立竹喬美術館年報</v>
      </c>
      <c r="C1695" t="str">
        <f>"カサオカシリツ　チッキョウ　ビジュツカン　ネンポウ"</f>
        <v>カサオカシリツ　チッキョウ　ビジュツカン　ネンポウ</v>
      </c>
      <c r="D1695" t="str">
        <f>"笠岡市立竹喬美術館"</f>
        <v>笠岡市立竹喬美術館</v>
      </c>
      <c r="E1695" t="str">
        <f>"カサオカシリツ チッキョウ ビジュツカン"</f>
        <v>カサオカシリツ チッキョウ ビジュツカン</v>
      </c>
      <c r="F1695" t="str">
        <f>"笠岡市"</f>
        <v>笠岡市</v>
      </c>
      <c r="G1695" t="str">
        <f>"隔年刊"</f>
        <v>隔年刊</v>
      </c>
      <c r="H1695" t="str">
        <f>"2002222294921"</f>
        <v>2002222294921</v>
      </c>
      <c r="I1695" t="str">
        <f>HYPERLINK("#", "https://opac.libnet.pref.okayama.jp/licsxp-opac/WOpacMsgNewListToTifTilDetailAction.do?tilcod=2002222294921")</f>
        <v>https://opac.libnet.pref.okayama.jp/licsxp-opac/WOpacMsgNewListToTifTilDetailAction.do?tilcod=2002222294921</v>
      </c>
    </row>
    <row r="1696" spans="1:9" x14ac:dyDescent="0.4">
      <c r="A1696" t="str">
        <f>"笠加俳壇"</f>
        <v>笠加俳壇</v>
      </c>
      <c r="B1696" s="1" t="str">
        <f t="shared" si="98"/>
        <v>笠加俳壇</v>
      </c>
      <c r="C1696" t="str">
        <f>"カサカ　ハイダン"</f>
        <v>カサカ　ハイダン</v>
      </c>
      <c r="D1696" t="str">
        <f>"古松堂"</f>
        <v>古松堂</v>
      </c>
      <c r="E1696" t="str">
        <f>"コショウドウ"</f>
        <v>コショウドウ</v>
      </c>
      <c r="F1696" t="str">
        <f>""</f>
        <v/>
      </c>
      <c r="G1696" t="str">
        <f>"月刊"</f>
        <v>月刊</v>
      </c>
      <c r="H1696" t="str">
        <f>"2002222282433"</f>
        <v>2002222282433</v>
      </c>
      <c r="I1696" t="str">
        <f>HYPERLINK("#", "https://opac.libnet.pref.okayama.jp/licsxp-opac/WOpacMsgNewListToTifTilDetailAction.do?tilcod=2002222282433")</f>
        <v>https://opac.libnet.pref.okayama.jp/licsxp-opac/WOpacMsgNewListToTifTilDetailAction.do?tilcod=2002222282433</v>
      </c>
    </row>
    <row r="1697" spans="1:9" x14ac:dyDescent="0.4">
      <c r="A1697" t="str">
        <f>"風車"</f>
        <v>風車</v>
      </c>
      <c r="B1697" s="1" t="str">
        <f t="shared" si="98"/>
        <v>風車</v>
      </c>
      <c r="C1697" t="str">
        <f>"カザグルマ"</f>
        <v>カザグルマ</v>
      </c>
      <c r="D1697" t="str">
        <f>"総社高等学校文芸部"</f>
        <v>総社高等学校文芸部</v>
      </c>
      <c r="E1697" t="str">
        <f>"ソウジャコウトウガッコウブンゲイブ"</f>
        <v>ソウジャコウトウガッコウブンゲイブ</v>
      </c>
      <c r="F1697" t="str">
        <f>""</f>
        <v/>
      </c>
      <c r="G1697" t="str">
        <f>"頻度不明"</f>
        <v>頻度不明</v>
      </c>
      <c r="H1697" t="str">
        <f>"2002222289943"</f>
        <v>2002222289943</v>
      </c>
      <c r="I1697" t="str">
        <f>HYPERLINK("#", "https://opac.libnet.pref.okayama.jp/licsxp-opac/WOpacMsgNewListToTifTilDetailAction.do?tilcod=2002222289943")</f>
        <v>https://opac.libnet.pref.okayama.jp/licsxp-opac/WOpacMsgNewListToTifTilDetailAction.do?tilcod=2002222289943</v>
      </c>
    </row>
    <row r="1698" spans="1:9" x14ac:dyDescent="0.4">
      <c r="A1698" t="str">
        <f>"風ぐるま"</f>
        <v>風ぐるま</v>
      </c>
      <c r="B1698" s="1" t="str">
        <f t="shared" si="98"/>
        <v>風ぐるま</v>
      </c>
      <c r="C1698" t="str">
        <f>"カザグルマ"</f>
        <v>カザグルマ</v>
      </c>
      <c r="D1698" t="str">
        <f>"至道高等学校文芸クラブ"</f>
        <v>至道高等学校文芸クラブ</v>
      </c>
      <c r="E1698" t="str">
        <f>"シドウ コウトウ ガッコウ ブンゲイ クラブ"</f>
        <v>シドウ コウトウ ガッコウ ブンゲイ クラブ</v>
      </c>
      <c r="F1698" t="str">
        <f>"北房町（上房郡）"</f>
        <v>北房町（上房郡）</v>
      </c>
      <c r="G1698" t="str">
        <f>"頻度不明"</f>
        <v>頻度不明</v>
      </c>
      <c r="H1698" t="str">
        <f>"2002222319733"</f>
        <v>2002222319733</v>
      </c>
      <c r="I1698" t="str">
        <f>HYPERLINK("#", "https://opac.libnet.pref.okayama.jp/licsxp-opac/WOpacMsgNewListToTifTilDetailAction.do?tilcod=2002222319733")</f>
        <v>https://opac.libnet.pref.okayama.jp/licsxp-opac/WOpacMsgNewListToTifTilDetailAction.do?tilcod=2002222319733</v>
      </c>
    </row>
    <row r="1699" spans="1:9" x14ac:dyDescent="0.4">
      <c r="A1699" t="str">
        <f>"かさゝぎ（かささぎ）"</f>
        <v>かさゝぎ（かささぎ）</v>
      </c>
      <c r="B1699" s="1" t="str">
        <f t="shared" si="98"/>
        <v>かさゝぎ（かささぎ）</v>
      </c>
      <c r="C1699" t="str">
        <f>"カササギ"</f>
        <v>カササギ</v>
      </c>
      <c r="D1699" t="str">
        <f>"鵲吟社"</f>
        <v>鵲吟社</v>
      </c>
      <c r="E1699" t="str">
        <f>"シャクギンシャ"</f>
        <v>シャクギンシャ</v>
      </c>
      <c r="F1699" t="str">
        <f>""</f>
        <v/>
      </c>
      <c r="G1699" t="str">
        <f>"頻度不明"</f>
        <v>頻度不明</v>
      </c>
      <c r="H1699" t="str">
        <f>"2002222282443"</f>
        <v>2002222282443</v>
      </c>
      <c r="I1699" t="str">
        <f>HYPERLINK("#", "https://opac.libnet.pref.okayama.jp/licsxp-opac/WOpacMsgNewListToTifTilDetailAction.do?tilcod=2002222282443")</f>
        <v>https://opac.libnet.pref.okayama.jp/licsxp-opac/WOpacMsgNewListToTifTilDetailAction.do?tilcod=2002222282443</v>
      </c>
    </row>
    <row r="1700" spans="1:9" x14ac:dyDescent="0.4">
      <c r="A1700" t="str">
        <f>"かじか集"</f>
        <v>かじか集</v>
      </c>
      <c r="B1700" s="1" t="str">
        <f t="shared" si="98"/>
        <v>かじか集</v>
      </c>
      <c r="C1700" t="str">
        <f>"カジカ　シュウ"</f>
        <v>カジカ　シュウ</v>
      </c>
      <c r="D1700" t="str">
        <f>"加茂川河鹿会"</f>
        <v>加茂川河鹿会</v>
      </c>
      <c r="E1700" t="str">
        <f>"カモガワカジカカイ"</f>
        <v>カモガワカジカカイ</v>
      </c>
      <c r="F1700" t="str">
        <f>""</f>
        <v/>
      </c>
      <c r="G1700" t="str">
        <f>"頻度不明"</f>
        <v>頻度不明</v>
      </c>
      <c r="H1700" t="str">
        <f>"2002222282453"</f>
        <v>2002222282453</v>
      </c>
      <c r="I1700" t="str">
        <f>HYPERLINK("#", "https://opac.libnet.pref.okayama.jp/licsxp-opac/WOpacMsgNewListToTifTilDetailAction.do?tilcod=2002222282453")</f>
        <v>https://opac.libnet.pref.okayama.jp/licsxp-opac/WOpacMsgNewListToTifTilDetailAction.do?tilcod=2002222282453</v>
      </c>
    </row>
    <row r="1701" spans="1:9" x14ac:dyDescent="0.4">
      <c r="A1701" t="str">
        <f>"かじかつだより"</f>
        <v>かじかつだより</v>
      </c>
      <c r="B1701" s="1" t="str">
        <f t="shared" si="98"/>
        <v>かじかつだより</v>
      </c>
      <c r="C1701" t="str">
        <f>"カジカツダヨリ"</f>
        <v>カジカツダヨリ</v>
      </c>
      <c r="D1701" t="str">
        <f>"梶並地区活性化推進委員会"</f>
        <v>梶並地区活性化推進委員会</v>
      </c>
      <c r="E1701" t="str">
        <f>"カジナミ チク カッセイカ スイシン イインカイ"</f>
        <v>カジナミ チク カッセイカ スイシン イインカイ</v>
      </c>
      <c r="F1701" t="str">
        <f>"美作"</f>
        <v>美作</v>
      </c>
      <c r="G1701" t="str">
        <f>"頻度不明"</f>
        <v>頻度不明</v>
      </c>
      <c r="H1701" t="str">
        <f>"2002222332770"</f>
        <v>2002222332770</v>
      </c>
      <c r="I1701" t="str">
        <f>HYPERLINK("#", "https://opac.libnet.pref.okayama.jp/licsxp-opac/WOpacMsgNewListToTifTilDetailAction.do?tilcod=2002222332770")</f>
        <v>https://opac.libnet.pref.okayama.jp/licsxp-opac/WOpacMsgNewListToTifTilDetailAction.do?tilcod=2002222332770</v>
      </c>
    </row>
    <row r="1702" spans="1:9" x14ac:dyDescent="0.4">
      <c r="A1702" t="str">
        <f>"果樹"</f>
        <v>果樹</v>
      </c>
      <c r="B1702" s="1" t="str">
        <f t="shared" si="98"/>
        <v>果樹</v>
      </c>
      <c r="C1702" t="str">
        <f>"カジュ"</f>
        <v>カジュ</v>
      </c>
      <c r="D1702" t="str">
        <f>"岡山県経済農業協同組合連合会"</f>
        <v>岡山県経済農業協同組合連合会</v>
      </c>
      <c r="E1702" t="str">
        <f>"オカヤマケン ケイザイ ノウギョウ キョウドウ クミアイ レンゴウカイ"</f>
        <v>オカヤマケン ケイザイ ノウギョウ キョウドウ クミアイ レンゴウカイ</v>
      </c>
      <c r="F1702" t="str">
        <f>""</f>
        <v/>
      </c>
      <c r="G1702" t="str">
        <f>"月刊"</f>
        <v>月刊</v>
      </c>
      <c r="H1702" t="str">
        <f>"2002222282463"</f>
        <v>2002222282463</v>
      </c>
      <c r="I1702" t="str">
        <f>HYPERLINK("#", "https://opac.libnet.pref.okayama.jp/licsxp-opac/WOpacMsgNewListToTifTilDetailAction.do?tilcod=2002222282463")</f>
        <v>https://opac.libnet.pref.okayama.jp/licsxp-opac/WOpacMsgNewListToTifTilDetailAction.do?tilcod=2002222282463</v>
      </c>
    </row>
    <row r="1703" spans="1:9" x14ac:dyDescent="0.4">
      <c r="A1703" t="str">
        <f>"歌集ふたば"</f>
        <v>歌集ふたば</v>
      </c>
      <c r="B1703" s="1" t="str">
        <f t="shared" si="98"/>
        <v>歌集ふたば</v>
      </c>
      <c r="C1703" t="str">
        <f>"カシュウ　フタバ"</f>
        <v>カシュウ　フタバ</v>
      </c>
      <c r="D1703" t="str">
        <f>"勝北町短歌会"</f>
        <v>勝北町短歌会</v>
      </c>
      <c r="E1703" t="str">
        <f>"ショウボクチョウ タンカカイ"</f>
        <v>ショウボクチョウ タンカカイ</v>
      </c>
      <c r="F1703" t="str">
        <f>""</f>
        <v/>
      </c>
      <c r="G1703" t="str">
        <f>"年刊"</f>
        <v>年刊</v>
      </c>
      <c r="H1703" t="str">
        <f>"2002222282473"</f>
        <v>2002222282473</v>
      </c>
      <c r="I1703" t="str">
        <f>HYPERLINK("#", "https://opac.libnet.pref.okayama.jp/licsxp-opac/WOpacMsgNewListToTifTilDetailAction.do?tilcod=2002222282473")</f>
        <v>https://opac.libnet.pref.okayama.jp/licsxp-opac/WOpacMsgNewListToTifTilDetailAction.do?tilcod=2002222282473</v>
      </c>
    </row>
    <row r="1704" spans="1:9" x14ac:dyDescent="0.4">
      <c r="A1704" t="s">
        <v>4</v>
      </c>
      <c r="B1704" s="1" t="str">
        <f t="shared" si="98"/>
        <v>="仮称“きび”考"</v>
      </c>
      <c r="C1704" t="str">
        <f>"カショウ　キビ　コウ"</f>
        <v>カショウ　キビ　コウ</v>
      </c>
      <c r="D1704" t="str">
        <f>"日本先史古代研究会"</f>
        <v>日本先史古代研究会</v>
      </c>
      <c r="E1704" t="str">
        <f>"ニホンセンシコダイケンキュウカイ"</f>
        <v>ニホンセンシコダイケンキュウカイ</v>
      </c>
      <c r="F1704" t="str">
        <f>"岡山"</f>
        <v>岡山</v>
      </c>
      <c r="G1704" t="str">
        <f>"季刊"</f>
        <v>季刊</v>
      </c>
      <c r="H1704" t="str">
        <f>"2002222302340"</f>
        <v>2002222302340</v>
      </c>
      <c r="I1704" t="str">
        <f>HYPERLINK("#", "https://opac.libnet.pref.okayama.jp/licsxp-opac/WOpacMsgNewListToTifTilDetailAction.do?tilcod=2002222302340")</f>
        <v>https://opac.libnet.pref.okayama.jp/licsxp-opac/WOpacMsgNewListToTifTilDetailAction.do?tilcod=2002222302340</v>
      </c>
    </row>
    <row r="1705" spans="1:9" x14ac:dyDescent="0.4">
      <c r="A1705" t="str">
        <f>"ガジラ通信"</f>
        <v>ガジラ通信</v>
      </c>
      <c r="B1705" s="1" t="str">
        <f t="shared" si="98"/>
        <v>ガジラ通信</v>
      </c>
      <c r="C1705" t="str">
        <f>"ガジラ　ツウシン"</f>
        <v>ガジラ　ツウシン</v>
      </c>
      <c r="D1705" t="str">
        <f>"TAGUCHi 経営企画室"</f>
        <v>TAGUCHi 経営企画室</v>
      </c>
      <c r="E1705" t="str">
        <f>"タグチ ケイエイ キカクシツ"</f>
        <v>タグチ ケイエイ キカクシツ</v>
      </c>
      <c r="F1705" t="str">
        <f>""</f>
        <v/>
      </c>
      <c r="G1705" t="str">
        <f>"不定期刊"</f>
        <v>不定期刊</v>
      </c>
      <c r="H1705" t="str">
        <f>"2002222330587"</f>
        <v>2002222330587</v>
      </c>
      <c r="I1705" t="str">
        <f>HYPERLINK("#", "https://opac.libnet.pref.okayama.jp/licsxp-opac/WOpacMsgNewListToTifTilDetailAction.do?tilcod=2002222330587")</f>
        <v>https://opac.libnet.pref.okayama.jp/licsxp-opac/WOpacMsgNewListToTifTilDetailAction.do?tilcod=2002222330587</v>
      </c>
    </row>
    <row r="1706" spans="1:9" x14ac:dyDescent="0.4">
      <c r="A1706" t="str">
        <f>"上代淑研究"</f>
        <v>上代淑研究</v>
      </c>
      <c r="B1706" s="1" t="str">
        <f t="shared" si="98"/>
        <v>上代淑研究</v>
      </c>
      <c r="C1706" t="str">
        <f>"カジロ　ヨシ　ケンキュウ"</f>
        <v>カジロ　ヨシ　ケンキュウ</v>
      </c>
      <c r="D1706" t="str">
        <f>"山陽学園大学"</f>
        <v>山陽学園大学</v>
      </c>
      <c r="E1706" t="str">
        <f>"サンヨウ ガクエン ダイガク"</f>
        <v>サンヨウ ガクエン ダイガク</v>
      </c>
      <c r="F1706" t="str">
        <f>"岡山"</f>
        <v>岡山</v>
      </c>
      <c r="G1706" t="str">
        <f>"年刊"</f>
        <v>年刊</v>
      </c>
      <c r="H1706" t="str">
        <f>"2002222293051"</f>
        <v>2002222293051</v>
      </c>
      <c r="I1706" t="str">
        <f>HYPERLINK("#", "https://opac.libnet.pref.okayama.jp/licsxp-opac/WOpacMsgNewListToTifTilDetailAction.do?tilcod=2002222293051")</f>
        <v>https://opac.libnet.pref.okayama.jp/licsxp-opac/WOpacMsgNewListToTifTilDetailAction.do?tilcod=2002222293051</v>
      </c>
    </row>
    <row r="1707" spans="1:9" x14ac:dyDescent="0.4">
      <c r="A1707" t="str">
        <f>"ガスポ"</f>
        <v>ガスポ</v>
      </c>
      <c r="B1707" s="1" t="str">
        <f t="shared" si="98"/>
        <v>ガスポ</v>
      </c>
      <c r="C1707" t="str">
        <f>"ガスポ"</f>
        <v>ガスポ</v>
      </c>
      <c r="D1707" t="str">
        <f>"浅野産業株式会社"</f>
        <v>浅野産業株式会社</v>
      </c>
      <c r="E1707" t="str">
        <f>"アサノ サンギョウ カブシキ ガイシャ"</f>
        <v>アサノ サンギョウ カブシキ ガイシャ</v>
      </c>
      <c r="F1707" t="str">
        <f>"岡山"</f>
        <v>岡山</v>
      </c>
      <c r="G1707" t="str">
        <f>"季刊"</f>
        <v>季刊</v>
      </c>
      <c r="H1707" t="str">
        <f>"2002222327006"</f>
        <v>2002222327006</v>
      </c>
      <c r="I1707" t="str">
        <f>HYPERLINK("#", "https://opac.libnet.pref.okayama.jp/licsxp-opac/WOpacMsgNewListToTifTilDetailAction.do?tilcod=2002222327006")</f>
        <v>https://opac.libnet.pref.okayama.jp/licsxp-opac/WOpacMsgNewListToTifTilDetailAction.do?tilcod=2002222327006</v>
      </c>
    </row>
    <row r="1708" spans="1:9" x14ac:dyDescent="0.4">
      <c r="A1708" t="str">
        <f>"風"</f>
        <v>風</v>
      </c>
      <c r="B1708" s="1" t="str">
        <f t="shared" si="98"/>
        <v>風</v>
      </c>
      <c r="C1708" t="str">
        <f>"カゼ"</f>
        <v>カゼ</v>
      </c>
      <c r="D1708" t="str">
        <f>"田井郁久雄"</f>
        <v>田井郁久雄</v>
      </c>
      <c r="E1708" t="str">
        <f>"タイカクオ"</f>
        <v>タイカクオ</v>
      </c>
      <c r="F1708" t="str">
        <f>"岡山"</f>
        <v>岡山</v>
      </c>
      <c r="G1708" t="str">
        <f>"月刊"</f>
        <v>月刊</v>
      </c>
      <c r="H1708" t="str">
        <f>"2002222285741"</f>
        <v>2002222285741</v>
      </c>
      <c r="I1708" t="str">
        <f>HYPERLINK("#", "https://opac.libnet.pref.okayama.jp/licsxp-opac/WOpacMsgNewListToTifTilDetailAction.do?tilcod=2002222285741")</f>
        <v>https://opac.libnet.pref.okayama.jp/licsxp-opac/WOpacMsgNewListToTifTilDetailAction.do?tilcod=2002222285741</v>
      </c>
    </row>
    <row r="1709" spans="1:9" x14ac:dyDescent="0.4">
      <c r="A1709" t="str">
        <f>"風"</f>
        <v>風</v>
      </c>
      <c r="B1709" s="1" t="str">
        <f t="shared" si="98"/>
        <v>風</v>
      </c>
      <c r="C1709" t="str">
        <f>"カゼ"</f>
        <v>カゼ</v>
      </c>
      <c r="D1709" t="s">
        <v>3</v>
      </c>
      <c r="E1709" t="str">
        <f>"トウキョウ ジョシ ダイガク ドウソウカイ オカヤマ シブ カゼ ヘンシュウシツ"</f>
        <v>トウキョウ ジョシ ダイガク ドウソウカイ オカヤマ シブ カゼ ヘンシュウシツ</v>
      </c>
      <c r="F1709" t="str">
        <f>"倉敷"</f>
        <v>倉敷</v>
      </c>
      <c r="G1709" t="str">
        <f>"頻度不明"</f>
        <v>頻度不明</v>
      </c>
      <c r="H1709" t="str">
        <f>"2002222319875"</f>
        <v>2002222319875</v>
      </c>
      <c r="I1709" t="str">
        <f>HYPERLINK("#", "https://opac.libnet.pref.okayama.jp/licsxp-opac/WOpacMsgNewListToTifTilDetailAction.do?tilcod=2002222319875")</f>
        <v>https://opac.libnet.pref.okayama.jp/licsxp-opac/WOpacMsgNewListToTifTilDetailAction.do?tilcod=2002222319875</v>
      </c>
    </row>
    <row r="1710" spans="1:9" x14ac:dyDescent="0.4">
      <c r="A1710" t="str">
        <f>"家政学研究"</f>
        <v>家政学研究</v>
      </c>
      <c r="B1710" s="1" t="str">
        <f t="shared" si="98"/>
        <v>家政学研究</v>
      </c>
      <c r="C1710" t="str">
        <f>"カセイガク ケンキュウ"</f>
        <v>カセイガク ケンキュウ</v>
      </c>
      <c r="D1710" t="str">
        <f>"美作女子大学家政学部"</f>
        <v>美作女子大学家政学部</v>
      </c>
      <c r="E1710" t="str">
        <f>"ミマサカ ジョシ ダイガク カセイ ガクブ"</f>
        <v>ミマサカ ジョシ ダイガク カセイ ガクブ</v>
      </c>
      <c r="F1710" t="str">
        <f>""</f>
        <v/>
      </c>
      <c r="G1710" t="str">
        <f>"頻度不明"</f>
        <v>頻度不明</v>
      </c>
      <c r="H1710" t="str">
        <f>"2002222328386"</f>
        <v>2002222328386</v>
      </c>
      <c r="I1710" t="str">
        <f>HYPERLINK("#", "https://opac.libnet.pref.okayama.jp/licsxp-opac/WOpacMsgNewListToTifTilDetailAction.do?tilcod=2002222328386")</f>
        <v>https://opac.libnet.pref.okayama.jp/licsxp-opac/WOpacMsgNewListToTifTilDetailAction.do?tilcod=2002222328386</v>
      </c>
    </row>
    <row r="1711" spans="1:9" x14ac:dyDescent="0.4">
      <c r="A1711" t="str">
        <f>"風聞き塔；風聞塔"</f>
        <v>風聞き塔；風聞塔</v>
      </c>
      <c r="B1711" s="1" t="str">
        <f t="shared" si="98"/>
        <v>風聞き塔；風聞塔</v>
      </c>
      <c r="C1711" t="str">
        <f>"カゼキキ　トウ"</f>
        <v>カゼキキ　トウ</v>
      </c>
      <c r="D1711" t="str">
        <f>"きらきら山出版"</f>
        <v>きらきら山出版</v>
      </c>
      <c r="E1711" t="str">
        <f>"キラキラヤマシュッパン"</f>
        <v>キラキラヤマシュッパン</v>
      </c>
      <c r="F1711" t="str">
        <f>"岡山"</f>
        <v>岡山</v>
      </c>
      <c r="G1711" t="str">
        <f>"年刊"</f>
        <v>年刊</v>
      </c>
      <c r="H1711" t="str">
        <f>"2002222294931"</f>
        <v>2002222294931</v>
      </c>
      <c r="I1711" t="str">
        <f>HYPERLINK("#", "https://opac.libnet.pref.okayama.jp/licsxp-opac/WOpacMsgNewListToTifTilDetailAction.do?tilcod=2002222294931")</f>
        <v>https://opac.libnet.pref.okayama.jp/licsxp-opac/WOpacMsgNewListToTifTilDetailAction.do?tilcod=2002222294931</v>
      </c>
    </row>
    <row r="1712" spans="1:9" x14ac:dyDescent="0.4">
      <c r="A1712" t="str">
        <f>"かたかみ"</f>
        <v>かたかみ</v>
      </c>
      <c r="B1712" s="1" t="str">
        <f t="shared" si="98"/>
        <v>かたかみ</v>
      </c>
      <c r="C1712" t="str">
        <f>"カタカミ"</f>
        <v>カタカミ</v>
      </c>
      <c r="D1712" t="str">
        <f>"片上文化会"</f>
        <v>片上文化会</v>
      </c>
      <c r="E1712" t="str">
        <f>"カタカミブンカカイ"</f>
        <v>カタカミブンカカイ</v>
      </c>
      <c r="F1712" t="str">
        <f>"片上町（和気郡）"</f>
        <v>片上町（和気郡）</v>
      </c>
      <c r="G1712" t="str">
        <f>"頻度不明"</f>
        <v>頻度不明</v>
      </c>
      <c r="H1712" t="str">
        <f>"2002222284581"</f>
        <v>2002222284581</v>
      </c>
      <c r="I1712" t="str">
        <f>HYPERLINK("#", "https://opac.libnet.pref.okayama.jp/licsxp-opac/WOpacMsgNewListToTifTilDetailAction.do?tilcod=2002222284581")</f>
        <v>https://opac.libnet.pref.okayama.jp/licsxp-opac/WOpacMsgNewListToTifTilDetailAction.do?tilcod=2002222284581</v>
      </c>
    </row>
    <row r="1713" spans="1:9" x14ac:dyDescent="0.4">
      <c r="A1713" t="str">
        <f>"形"</f>
        <v>形</v>
      </c>
      <c r="B1713" s="1" t="str">
        <f t="shared" si="98"/>
        <v>形</v>
      </c>
      <c r="C1713" t="str">
        <f>"カタチ"</f>
        <v>カタチ</v>
      </c>
      <c r="D1713" t="str">
        <f>"日本文教出版"</f>
        <v>日本文教出版</v>
      </c>
      <c r="E1713" t="str">
        <f>"ニホン ブンキョウ シュッパン"</f>
        <v>ニホン ブンキョウ シュッパン</v>
      </c>
      <c r="F1713" t="str">
        <f>""</f>
        <v/>
      </c>
      <c r="G1713" t="str">
        <f>"月刊"</f>
        <v>月刊</v>
      </c>
      <c r="H1713" t="str">
        <f>"2002222336967"</f>
        <v>2002222336967</v>
      </c>
      <c r="I1713" t="str">
        <f>HYPERLINK("#", "https://opac.libnet.pref.okayama.jp/licsxp-opac/WOpacMsgNewListToTifTilDetailAction.do?tilcod=2002222336967")</f>
        <v>https://opac.libnet.pref.okayama.jp/licsxp-opac/WOpacMsgNewListToTifTilDetailAction.do?tilcod=2002222336967</v>
      </c>
    </row>
    <row r="1714" spans="1:9" x14ac:dyDescent="0.4">
      <c r="A1714" t="str">
        <f>"片山学園だより　ミニ・コミ版"</f>
        <v>片山学園だより　ミニ・コミ版</v>
      </c>
      <c r="B1714" s="1" t="str">
        <f t="shared" si="98"/>
        <v>片山学園だより　ミニ・コミ版</v>
      </c>
      <c r="C1714" t="str">
        <f>"カタヤマ ガクエン ダヨリ ミニコミバン"</f>
        <v>カタヤマ ガクエン ダヨリ ミニコミバン</v>
      </c>
      <c r="D1714" t="str">
        <f>"片山女子高等学校"</f>
        <v>片山女子高等学校</v>
      </c>
      <c r="E1714" t="str">
        <f>"カタヤマ ジョシ コウトウ ガッコウ"</f>
        <v>カタヤマ ジョシ コウトウ ガッコウ</v>
      </c>
      <c r="F1714" t="str">
        <f>"倉敷"</f>
        <v>倉敷</v>
      </c>
      <c r="G1714" t="str">
        <f>"頻度不明"</f>
        <v>頻度不明</v>
      </c>
      <c r="H1714" t="str">
        <f>"2002222322408"</f>
        <v>2002222322408</v>
      </c>
      <c r="I1714" t="str">
        <f>HYPERLINK("#", "https://opac.libnet.pref.okayama.jp/licsxp-opac/WOpacMsgNewListToTifTilDetailAction.do?tilcod=2002222322408")</f>
        <v>https://opac.libnet.pref.okayama.jp/licsxp-opac/WOpacMsgNewListToTifTilDetailAction.do?tilcod=2002222322408</v>
      </c>
    </row>
    <row r="1715" spans="1:9" x14ac:dyDescent="0.4">
      <c r="A1715" t="str">
        <f>"学校安全"</f>
        <v>学校安全</v>
      </c>
      <c r="B1715" s="1" t="str">
        <f t="shared" si="98"/>
        <v>学校安全</v>
      </c>
      <c r="C1715" t="str">
        <f>"ガッコウ　アンゼン"</f>
        <v>ガッコウ　アンゼン</v>
      </c>
      <c r="D1715" t="str">
        <f>"日本学校安全会岡山県支部"</f>
        <v>日本学校安全会岡山県支部</v>
      </c>
      <c r="E1715" t="str">
        <f>"ニホンガッコウアンゼンカイオカヤマケンシブ"</f>
        <v>ニホンガッコウアンゼンカイオカヤマケンシブ</v>
      </c>
      <c r="F1715" t="str">
        <f>""</f>
        <v/>
      </c>
      <c r="G1715" t="str">
        <f>"年２回刊"</f>
        <v>年２回刊</v>
      </c>
      <c r="H1715" t="str">
        <f>"2002222282483"</f>
        <v>2002222282483</v>
      </c>
      <c r="I1715" t="str">
        <f>HYPERLINK("#", "https://opac.libnet.pref.okayama.jp/licsxp-opac/WOpacMsgNewListToTifTilDetailAction.do?tilcod=2002222282483")</f>
        <v>https://opac.libnet.pref.okayama.jp/licsxp-opac/WOpacMsgNewListToTifTilDetailAction.do?tilcod=2002222282483</v>
      </c>
    </row>
    <row r="1716" spans="1:9" x14ac:dyDescent="0.4">
      <c r="A1716" t="str">
        <f>"学校安全岡山"</f>
        <v>学校安全岡山</v>
      </c>
      <c r="B1716" s="1" t="str">
        <f t="shared" si="98"/>
        <v>学校安全岡山</v>
      </c>
      <c r="C1716" t="str">
        <f>"ガッコウ　アンゼン　オカヤマ"</f>
        <v>ガッコウ　アンゼン　オカヤマ</v>
      </c>
      <c r="D1716" t="str">
        <f>"日本体育・学校保健センター"</f>
        <v>日本体育・学校保健センター</v>
      </c>
      <c r="E1716" t="str">
        <f>"ニホンタイイクガッコウホケンセンター"</f>
        <v>ニホンタイイクガッコウホケンセンター</v>
      </c>
      <c r="F1716" t="str">
        <f>"［岡山］"</f>
        <v>［岡山］</v>
      </c>
      <c r="G1716" t="str">
        <f>"頻度不明"</f>
        <v>頻度不明</v>
      </c>
      <c r="H1716" t="str">
        <f>"2002222282911"</f>
        <v>2002222282911</v>
      </c>
      <c r="I1716" t="str">
        <f>HYPERLINK("#", "https://opac.libnet.pref.okayama.jp/licsxp-opac/WOpacMsgNewListToTifTilDetailAction.do?tilcod=2002222282911")</f>
        <v>https://opac.libnet.pref.okayama.jp/licsxp-opac/WOpacMsgNewListToTifTilDetailAction.do?tilcod=2002222282911</v>
      </c>
    </row>
    <row r="1717" spans="1:9" x14ac:dyDescent="0.4">
      <c r="A1717" t="str">
        <f>"勝高桜花新聞"</f>
        <v>勝高桜花新聞</v>
      </c>
      <c r="B1717" s="1" t="str">
        <f t="shared" si="98"/>
        <v>勝高桜花新聞</v>
      </c>
      <c r="C1717" t="str">
        <f>"カツコウ オウカ シンブン"</f>
        <v>カツコウ オウカ シンブン</v>
      </c>
      <c r="D1717" t="str">
        <f>"県立勝山高等学校新聞部"</f>
        <v>県立勝山高等学校新聞部</v>
      </c>
      <c r="E1717" t="str">
        <f>""</f>
        <v/>
      </c>
      <c r="F1717" t="str">
        <f>"真庭"</f>
        <v>真庭</v>
      </c>
      <c r="G1717" t="str">
        <f>"頻度不明"</f>
        <v>頻度不明</v>
      </c>
      <c r="H1717" t="str">
        <f>"2002222338110"</f>
        <v>2002222338110</v>
      </c>
      <c r="I1717" t="str">
        <f>HYPERLINK("#", "https://opac.libnet.pref.okayama.jp/licsxp-opac/WOpacMsgNewListToTifTilDetailAction.do?tilcod=2002222338110")</f>
        <v>https://opac.libnet.pref.okayama.jp/licsxp-opac/WOpacMsgNewListToTifTilDetailAction.do?tilcod=2002222338110</v>
      </c>
    </row>
    <row r="1718" spans="1:9" x14ac:dyDescent="0.4">
      <c r="A1718" t="str">
        <f>"勝高紀要"</f>
        <v>勝高紀要</v>
      </c>
      <c r="B1718" s="1" t="str">
        <f t="shared" si="98"/>
        <v>勝高紀要</v>
      </c>
      <c r="C1718" t="str">
        <f>"カツコウ　キヨウ"</f>
        <v>カツコウ　キヨウ</v>
      </c>
      <c r="D1718" t="str">
        <f>"勝山高等学校"</f>
        <v>勝山高等学校</v>
      </c>
      <c r="E1718" t="str">
        <f>"カツヤマ コウトウ ガッコウ"</f>
        <v>カツヤマ コウトウ ガッコウ</v>
      </c>
      <c r="F1718" t="str">
        <f>"真庭"</f>
        <v>真庭</v>
      </c>
      <c r="G1718" t="str">
        <f>"年刊"</f>
        <v>年刊</v>
      </c>
      <c r="H1718" t="str">
        <f>"2002222282041"</f>
        <v>2002222282041</v>
      </c>
      <c r="I1718" t="str">
        <f>HYPERLINK("#", "https://opac.libnet.pref.okayama.jp/licsxp-opac/WOpacMsgNewListToTifTilDetailAction.do?tilcod=2002222282041")</f>
        <v>https://opac.libnet.pref.okayama.jp/licsxp-opac/WOpacMsgNewListToTifTilDetailAction.do?tilcod=2002222282041</v>
      </c>
    </row>
    <row r="1719" spans="1:9" x14ac:dyDescent="0.4">
      <c r="A1719" t="str">
        <f>"学校見学会へ行こう；岡山エリア版"</f>
        <v>学校見学会へ行こう；岡山エリア版</v>
      </c>
      <c r="B1719" s="1" t="str">
        <f t="shared" si="98"/>
        <v>学校見学会へ行こう；岡山エリア版</v>
      </c>
      <c r="C1719" t="str">
        <f>"ガッコウ　ケンガクカイ　エ　イコウ；オカヤマ　エリア　バン"</f>
        <v>ガッコウ　ケンガクカイ　エ　イコウ；オカヤマ　エリア　バン</v>
      </c>
      <c r="D1719" t="str">
        <f>"リクルート中国支社"</f>
        <v>リクルート中国支社</v>
      </c>
      <c r="E1719" t="str">
        <f>"リクルートチュウゴクシシャ"</f>
        <v>リクルートチュウゴクシシャ</v>
      </c>
      <c r="F1719" t="str">
        <f>""</f>
        <v/>
      </c>
      <c r="G1719" t="str">
        <f>"その他"</f>
        <v>その他</v>
      </c>
      <c r="H1719" t="str">
        <f>"2002222300422"</f>
        <v>2002222300422</v>
      </c>
      <c r="I1719" t="str">
        <f>HYPERLINK("#", "https://opac.libnet.pref.okayama.jp/licsxp-opac/WOpacMsgNewListToTifTilDetailAction.do?tilcod=2002222300422")</f>
        <v>https://opac.libnet.pref.okayama.jp/licsxp-opac/WOpacMsgNewListToTifTilDetailAction.do?tilcod=2002222300422</v>
      </c>
    </row>
    <row r="1720" spans="1:9" x14ac:dyDescent="0.4">
      <c r="A1720" t="str">
        <f>"学校事務だより"</f>
        <v>学校事務だより</v>
      </c>
      <c r="B1720" s="1" t="str">
        <f t="shared" si="98"/>
        <v>学校事務だより</v>
      </c>
      <c r="C1720" t="str">
        <f>"ガッコウ　ジム　ダヨリ"</f>
        <v>ガッコウ　ジム　ダヨリ</v>
      </c>
      <c r="D1720" t="str">
        <f>"岡山市中学校事務研究会"</f>
        <v>岡山市中学校事務研究会</v>
      </c>
      <c r="E1720" t="str">
        <f>"オカヤマシチュウガッコウジムケンキュウカイ"</f>
        <v>オカヤマシチュウガッコウジムケンキュウカイ</v>
      </c>
      <c r="F1720" t="str">
        <f>""</f>
        <v/>
      </c>
      <c r="G1720" t="str">
        <f t="shared" ref="G1720:G1729" si="101">"頻度不明"</f>
        <v>頻度不明</v>
      </c>
      <c r="H1720" t="str">
        <f>"2002222282493"</f>
        <v>2002222282493</v>
      </c>
      <c r="I1720" t="str">
        <f>HYPERLINK("#", "https://opac.libnet.pref.okayama.jp/licsxp-opac/WOpacMsgNewListToTifTilDetailAction.do?tilcod=2002222282493")</f>
        <v>https://opac.libnet.pref.okayama.jp/licsxp-opac/WOpacMsgNewListToTifTilDetailAction.do?tilcod=2002222282493</v>
      </c>
    </row>
    <row r="1721" spans="1:9" x14ac:dyDescent="0.4">
      <c r="A1721" t="str">
        <f>"学校通報"</f>
        <v>学校通報</v>
      </c>
      <c r="B1721" s="1" t="str">
        <f t="shared" si="98"/>
        <v>学校通報</v>
      </c>
      <c r="C1721" t="str">
        <f>"ガッコウ　ツウホウ"</f>
        <v>ガッコウ　ツウホウ</v>
      </c>
      <c r="D1721" t="str">
        <f>"岡山県教育庁総務課"</f>
        <v>岡山県教育庁総務課</v>
      </c>
      <c r="E1721" t="str">
        <f>"オカヤマケンキョウイクチョウソウムカ"</f>
        <v>オカヤマケンキョウイクチョウソウムカ</v>
      </c>
      <c r="F1721" t="str">
        <f>"岡山"</f>
        <v>岡山</v>
      </c>
      <c r="G1721" t="str">
        <f t="shared" si="101"/>
        <v>頻度不明</v>
      </c>
      <c r="H1721" t="str">
        <f>"2002222282503"</f>
        <v>2002222282503</v>
      </c>
      <c r="I1721" t="str">
        <f>HYPERLINK("#", "https://opac.libnet.pref.okayama.jp/licsxp-opac/WOpacMsgNewListToTifTilDetailAction.do?tilcod=2002222282503")</f>
        <v>https://opac.libnet.pref.okayama.jp/licsxp-opac/WOpacMsgNewListToTifTilDetailAction.do?tilcod=2002222282503</v>
      </c>
    </row>
    <row r="1722" spans="1:9" x14ac:dyDescent="0.4">
      <c r="A1722" t="str">
        <f>"学校通報"</f>
        <v>学校通報</v>
      </c>
      <c r="B1722" s="1" t="str">
        <f t="shared" si="98"/>
        <v>学校通報</v>
      </c>
      <c r="C1722" t="str">
        <f>"ガッコウ　ツウホウ"</f>
        <v>ガッコウ　ツウホウ</v>
      </c>
      <c r="D1722" t="str">
        <f>"岡山県教育庁企画課"</f>
        <v>岡山県教育庁企画課</v>
      </c>
      <c r="E1722" t="str">
        <f>"オカヤマケンキョウイクチョウキカクカ"</f>
        <v>オカヤマケンキョウイクチョウキカクカ</v>
      </c>
      <c r="F1722" t="str">
        <f>"岡山"</f>
        <v>岡山</v>
      </c>
      <c r="G1722" t="str">
        <f t="shared" si="101"/>
        <v>頻度不明</v>
      </c>
      <c r="H1722" t="str">
        <f>"2002222289833"</f>
        <v>2002222289833</v>
      </c>
      <c r="I1722" t="str">
        <f>HYPERLINK("#", "https://opac.libnet.pref.okayama.jp/licsxp-opac/WOpacMsgNewListToTifTilDetailAction.do?tilcod=2002222289833")</f>
        <v>https://opac.libnet.pref.okayama.jp/licsxp-opac/WOpacMsgNewListToTifTilDetailAction.do?tilcod=2002222289833</v>
      </c>
    </row>
    <row r="1723" spans="1:9" x14ac:dyDescent="0.4">
      <c r="A1723" t="str">
        <f>"学校図書館カフェ News"</f>
        <v>学校図書館カフェ News</v>
      </c>
      <c r="B1723" s="1" t="str">
        <f t="shared" si="98"/>
        <v>学校図書館カフェ News</v>
      </c>
      <c r="C1723" t="str">
        <f>"ガッコウ トショカン カフェ ニュース"</f>
        <v>ガッコウ トショカン カフェ ニュース</v>
      </c>
      <c r="D1723" t="str">
        <f>"学校図書館を考える会・おかやま"</f>
        <v>学校図書館を考える会・おかやま</v>
      </c>
      <c r="E1723" t="str">
        <f>"ガッコウ トショカン オ カンガエル カイ オカヤマ"</f>
        <v>ガッコウ トショカン オ カンガエル カイ オカヤマ</v>
      </c>
      <c r="F1723" t="str">
        <f>"岡山"</f>
        <v>岡山</v>
      </c>
      <c r="G1723" t="str">
        <f t="shared" si="101"/>
        <v>頻度不明</v>
      </c>
      <c r="H1723" t="str">
        <f>"2002222344014"</f>
        <v>2002222344014</v>
      </c>
      <c r="I1723" t="str">
        <f>HYPERLINK("#", "https://opac.libnet.pref.okayama.jp/licsxp-opac/WOpacMsgNewListToTifTilDetailAction.do?tilcod=2002222344014")</f>
        <v>https://opac.libnet.pref.okayama.jp/licsxp-opac/WOpacMsgNewListToTifTilDetailAction.do?tilcod=2002222344014</v>
      </c>
    </row>
    <row r="1724" spans="1:9" x14ac:dyDescent="0.4">
      <c r="A1724" t="str">
        <f>"勝高図書館報"</f>
        <v>勝高図書館報</v>
      </c>
      <c r="B1724" s="1" t="str">
        <f t="shared" si="98"/>
        <v>勝高図書館報</v>
      </c>
      <c r="C1724" t="str">
        <f>"カツコウ　トショカンポウ"</f>
        <v>カツコウ　トショカンポウ</v>
      </c>
      <c r="D1724" t="str">
        <f>"勝山高等学校図書委員会"</f>
        <v>勝山高等学校図書委員会</v>
      </c>
      <c r="E1724" t="str">
        <f>"カツヤマコウトウガッコウトショイインカイ"</f>
        <v>カツヤマコウトウガッコウトショイインカイ</v>
      </c>
      <c r="F1724" t="str">
        <f>"真庭"</f>
        <v>真庭</v>
      </c>
      <c r="G1724" t="str">
        <f t="shared" si="101"/>
        <v>頻度不明</v>
      </c>
      <c r="H1724" t="str">
        <f>"2002222301797"</f>
        <v>2002222301797</v>
      </c>
      <c r="I1724" t="str">
        <f>HYPERLINK("#", "https://opac.libnet.pref.okayama.jp/licsxp-opac/WOpacMsgNewListToTifTilDetailAction.do?tilcod=2002222301797")</f>
        <v>https://opac.libnet.pref.okayama.jp/licsxp-opac/WOpacMsgNewListToTifTilDetailAction.do?tilcod=2002222301797</v>
      </c>
    </row>
    <row r="1725" spans="1:9" x14ac:dyDescent="0.4">
      <c r="A1725" t="str">
        <f>"滑車"</f>
        <v>滑車</v>
      </c>
      <c r="B1725" s="1" t="str">
        <f t="shared" si="98"/>
        <v>滑車</v>
      </c>
      <c r="C1725" t="str">
        <f>"カッシャ"</f>
        <v>カッシャ</v>
      </c>
      <c r="D1725" t="str">
        <f>"福渡高等学校"</f>
        <v>福渡高等学校</v>
      </c>
      <c r="E1725" t="str">
        <f>"フクワタリ コウトウ ガッコウ"</f>
        <v>フクワタリ コウトウ ガッコウ</v>
      </c>
      <c r="F1725" t="str">
        <f>"〔建部町（御津郡）〕"</f>
        <v>〔建部町（御津郡）〕</v>
      </c>
      <c r="G1725" t="str">
        <f t="shared" si="101"/>
        <v>頻度不明</v>
      </c>
      <c r="H1725" t="str">
        <f>"2002222301384"</f>
        <v>2002222301384</v>
      </c>
      <c r="I1725" t="str">
        <f>HYPERLINK("#", "https://opac.libnet.pref.okayama.jp/licsxp-opac/WOpacMsgNewListToTifTilDetailAction.do?tilcod=2002222301384")</f>
        <v>https://opac.libnet.pref.okayama.jp/licsxp-opac/WOpacMsgNewListToTifTilDetailAction.do?tilcod=2002222301384</v>
      </c>
    </row>
    <row r="1726" spans="1:9" x14ac:dyDescent="0.4">
      <c r="A1726" t="str">
        <f>"戞声詞叢"</f>
        <v>戞声詞叢</v>
      </c>
      <c r="B1726" s="1" t="str">
        <f t="shared" si="98"/>
        <v>戞声詞叢</v>
      </c>
      <c r="C1726" t="str">
        <f>"カッセイ シソウ"</f>
        <v>カッセイ シソウ</v>
      </c>
      <c r="D1726" t="str">
        <f>"戞声館"</f>
        <v>戞声館</v>
      </c>
      <c r="E1726" t="str">
        <f>"カッセイカン"</f>
        <v>カッセイカン</v>
      </c>
      <c r="F1726" t="str">
        <f>""</f>
        <v/>
      </c>
      <c r="G1726" t="str">
        <f t="shared" si="101"/>
        <v>頻度不明</v>
      </c>
      <c r="H1726" t="str">
        <f>"2002222286663"</f>
        <v>2002222286663</v>
      </c>
      <c r="I1726" t="str">
        <f>HYPERLINK("#", "https://opac.libnet.pref.okayama.jp/licsxp-opac/WOpacMsgNewListToTifTilDetailAction.do?tilcod=2002222286663")</f>
        <v>https://opac.libnet.pref.okayama.jp/licsxp-opac/WOpacMsgNewListToTifTilDetailAction.do?tilcod=2002222286663</v>
      </c>
    </row>
    <row r="1727" spans="1:9" x14ac:dyDescent="0.4">
      <c r="A1727" t="str">
        <f>"勝田郡こどもニュース"</f>
        <v>勝田郡こどもニュース</v>
      </c>
      <c r="B1727" s="1" t="str">
        <f t="shared" si="98"/>
        <v>勝田郡こどもニュース</v>
      </c>
      <c r="C1727" t="str">
        <f>"カツタグン　コドモ　ニュース"</f>
        <v>カツタグン　コドモ　ニュース</v>
      </c>
      <c r="D1727" t="str">
        <f>"勝田郡子ども情報センター"</f>
        <v>勝田郡子ども情報センター</v>
      </c>
      <c r="E1727" t="str">
        <f>"カツタグンコドモジョウホウセンター"</f>
        <v>カツタグンコドモジョウホウセンター</v>
      </c>
      <c r="F1727" t="str">
        <f>"勝北町（勝田郡）"</f>
        <v>勝北町（勝田郡）</v>
      </c>
      <c r="G1727" t="str">
        <f t="shared" si="101"/>
        <v>頻度不明</v>
      </c>
      <c r="H1727" t="str">
        <f>"2002222284601"</f>
        <v>2002222284601</v>
      </c>
      <c r="I1727" t="str">
        <f>HYPERLINK("#", "https://opac.libnet.pref.okayama.jp/licsxp-opac/WOpacMsgNewListToTifTilDetailAction.do?tilcod=2002222284601")</f>
        <v>https://opac.libnet.pref.okayama.jp/licsxp-opac/WOpacMsgNewListToTifTilDetailAction.do?tilcod=2002222284601</v>
      </c>
    </row>
    <row r="1728" spans="1:9" x14ac:dyDescent="0.4">
      <c r="A1728" t="str">
        <f>"勝田町・勝央町・勝北町・美作町・英田町・柵原町任意合併協議会だより"</f>
        <v>勝田町・勝央町・勝北町・美作町・英田町・柵原町任意合併協議会だより</v>
      </c>
      <c r="B1728" s="1" t="str">
        <f t="shared" si="98"/>
        <v>勝田町・勝央町・勝北町・美作町・英田町・柵原町任意合併協議会だより</v>
      </c>
      <c r="C1728" t="str">
        <f>"カツタチョウ　ショウオウチョウ　ショウボクチョウ　ミマサカチョウ　アイダチョウ　ヤナハラチョウ　ニンイ　ガッペイ　キョウギカイ　ダヨリ"</f>
        <v>カツタチョウ　ショウオウチョウ　ショウボクチョウ　ミマサカチョウ　アイダチョウ　ヤナハラチョウ　ニンイ　ガッペイ　キョウギカイ　ダヨリ</v>
      </c>
      <c r="D1728" t="str">
        <f>"勝田町・勝央町・勝北町・美作町・英田町・柵原町任意合併協議会"</f>
        <v>勝田町・勝央町・勝北町・美作町・英田町・柵原町任意合併協議会</v>
      </c>
      <c r="E1728" t="str">
        <f>"カツタチョウショウオウチョウショウボクチョウミマサカチョウアイダチョウヤナハラチョウニンイガッペイキョウギカイ"</f>
        <v>カツタチョウショウオウチョウショウボクチョウミマサカチョウアイダチョウヤナハラチョウニンイガッペイキョウギカイ</v>
      </c>
      <c r="F1728" t="str">
        <f>"美作町（英田郡）"</f>
        <v>美作町（英田郡）</v>
      </c>
      <c r="G1728" t="str">
        <f t="shared" si="101"/>
        <v>頻度不明</v>
      </c>
      <c r="H1728" t="str">
        <f>"2002222300191"</f>
        <v>2002222300191</v>
      </c>
      <c r="I1728" t="str">
        <f>HYPERLINK("#", "https://opac.libnet.pref.okayama.jp/licsxp-opac/WOpacMsgNewListToTifTilDetailAction.do?tilcod=2002222300191")</f>
        <v>https://opac.libnet.pref.okayama.jp/licsxp-opac/WOpacMsgNewListToTifTilDetailAction.do?tilcod=2002222300191</v>
      </c>
    </row>
    <row r="1729" spans="1:9" x14ac:dyDescent="0.4">
      <c r="A1729" t="str">
        <f>"合評会だより；岡山県エッセイスト・クラブ"</f>
        <v>合評会だより；岡山県エッセイスト・クラブ</v>
      </c>
      <c r="B1729" s="1" t="str">
        <f t="shared" si="98"/>
        <v>合評会だより；岡山県エッセイスト・クラブ</v>
      </c>
      <c r="C1729" t="str">
        <f>"ガッピョウカイ ダヨリ＊オカヤマケン エッセイスト クラブ"</f>
        <v>ガッピョウカイ ダヨリ＊オカヤマケン エッセイスト クラブ</v>
      </c>
      <c r="D1729" t="str">
        <f>"岡山県エッセイスト・クラブ"</f>
        <v>岡山県エッセイスト・クラブ</v>
      </c>
      <c r="E1729" t="str">
        <f>"オカヤマケン エッセイスト クラブ"</f>
        <v>オカヤマケン エッセイスト クラブ</v>
      </c>
      <c r="F1729" t="str">
        <f>"岡山"</f>
        <v>岡山</v>
      </c>
      <c r="G1729" t="str">
        <f t="shared" si="101"/>
        <v>頻度不明</v>
      </c>
      <c r="H1729" t="str">
        <f>"2002222343630"</f>
        <v>2002222343630</v>
      </c>
      <c r="I1729" t="str">
        <f>HYPERLINK("#", "https://opac.libnet.pref.okayama.jp/licsxp-opac/WOpacMsgNewListToTifTilDetailAction.do?tilcod=2002222343630")</f>
        <v>https://opac.libnet.pref.okayama.jp/licsxp-opac/WOpacMsgNewListToTifTilDetailAction.do?tilcod=2002222343630</v>
      </c>
    </row>
    <row r="1730" spans="1:9" x14ac:dyDescent="0.4">
      <c r="A1730" t="str">
        <f>"合併特例区みつ"</f>
        <v>合併特例区みつ</v>
      </c>
      <c r="B1730" s="1" t="str">
        <f t="shared" si="98"/>
        <v>合併特例区みつ</v>
      </c>
      <c r="C1730" t="str">
        <f>"ガッペイ　トクレイク　ミツ"</f>
        <v>ガッペイ　トクレイク　ミツ</v>
      </c>
      <c r="D1730" t="str">
        <f>"岡山市"</f>
        <v>岡山市</v>
      </c>
      <c r="E1730" t="str">
        <f>"オカヤマシ"</f>
        <v>オカヤマシ</v>
      </c>
      <c r="F1730" t="str">
        <f>"岡山"</f>
        <v>岡山</v>
      </c>
      <c r="G1730" t="str">
        <f>"季刊"</f>
        <v>季刊</v>
      </c>
      <c r="H1730" t="str">
        <f>"2002222301583"</f>
        <v>2002222301583</v>
      </c>
      <c r="I1730" t="str">
        <f>HYPERLINK("#", "https://opac.libnet.pref.okayama.jp/licsxp-opac/WOpacMsgNewListToTifTilDetailAction.do?tilcod=2002222301583")</f>
        <v>https://opac.libnet.pref.okayama.jp/licsxp-opac/WOpacMsgNewListToTifTilDetailAction.do?tilcod=2002222301583</v>
      </c>
    </row>
    <row r="1731" spans="1:9" x14ac:dyDescent="0.4">
      <c r="A1731" t="str">
        <f>"勝間田高校新聞"</f>
        <v>勝間田高校新聞</v>
      </c>
      <c r="B1731" s="1" t="str">
        <f t="shared" si="98"/>
        <v>勝間田高校新聞</v>
      </c>
      <c r="C1731" t="str">
        <f>"カツマダ　コウコウ　シンブン"</f>
        <v>カツマダ　コウコウ　シンブン</v>
      </c>
      <c r="D1731" t="str">
        <f>"勝間田高等学校"</f>
        <v>勝間田高等学校</v>
      </c>
      <c r="E1731" t="str">
        <f>"カツマダ コウトウ ガッコウ"</f>
        <v>カツマダ コウトウ ガッコウ</v>
      </c>
      <c r="F1731" t="str">
        <f>"勝央町（勝田郡）"</f>
        <v>勝央町（勝田郡）</v>
      </c>
      <c r="G1731" t="str">
        <f>"頻度不明"</f>
        <v>頻度不明</v>
      </c>
      <c r="H1731" t="str">
        <f>"2002222301873"</f>
        <v>2002222301873</v>
      </c>
      <c r="I1731" t="str">
        <f>HYPERLINK("#", "https://opac.libnet.pref.okayama.jp/licsxp-opac/WOpacMsgNewListToTifTilDetailAction.do?tilcod=2002222301873")</f>
        <v>https://opac.libnet.pref.okayama.jp/licsxp-opac/WOpacMsgNewListToTifTilDetailAction.do?tilcod=2002222301873</v>
      </c>
    </row>
    <row r="1732" spans="1:9" x14ac:dyDescent="0.4">
      <c r="A1732" t="str">
        <f>"勝間田高等学校学校案内"</f>
        <v>勝間田高等学校学校案内</v>
      </c>
      <c r="B1732" s="1" t="str">
        <f t="shared" ref="B1732:B1795" si="102">HYPERLINK("#", A1732)</f>
        <v>勝間田高等学校学校案内</v>
      </c>
      <c r="C1732" t="str">
        <f>"カツマダ　コウトウ　ガッコウ　ガッコウ　アンナイ"</f>
        <v>カツマダ　コウトウ　ガッコウ　ガッコウ　アンナイ</v>
      </c>
      <c r="D1732" t="str">
        <f>"勝間田高等学校"</f>
        <v>勝間田高等学校</v>
      </c>
      <c r="E1732" t="str">
        <f>"カツマダ コウトウ ガッコウ"</f>
        <v>カツマダ コウトウ ガッコウ</v>
      </c>
      <c r="F1732" t="str">
        <f>"勝央町（勝田郡）"</f>
        <v>勝央町（勝田郡）</v>
      </c>
      <c r="G1732" t="str">
        <f>"年刊"</f>
        <v>年刊</v>
      </c>
      <c r="H1732" t="str">
        <f>"2002222301288"</f>
        <v>2002222301288</v>
      </c>
      <c r="I1732" t="str">
        <f>HYPERLINK("#", "https://opac.libnet.pref.okayama.jp/licsxp-opac/WOpacMsgNewListToTifTilDetailAction.do?tilcod=2002222301288")</f>
        <v>https://opac.libnet.pref.okayama.jp/licsxp-opac/WOpacMsgNewListToTifTilDetailAction.do?tilcod=2002222301288</v>
      </c>
    </row>
    <row r="1733" spans="1:9" x14ac:dyDescent="0.4">
      <c r="A1733" t="str">
        <f>"勝間田高等学校学校要覧"</f>
        <v>勝間田高等学校学校要覧</v>
      </c>
      <c r="B1733" s="1" t="str">
        <f t="shared" si="102"/>
        <v>勝間田高等学校学校要覧</v>
      </c>
      <c r="C1733" t="str">
        <f>"カツマダ　コウトウ　ガッコウ　ガッコウ　ヨウラン"</f>
        <v>カツマダ　コウトウ　ガッコウ　ガッコウ　ヨウラン</v>
      </c>
      <c r="D1733" t="str">
        <f>"勝間田高等学校"</f>
        <v>勝間田高等学校</v>
      </c>
      <c r="E1733" t="str">
        <f>"カツマダ コウトウ ガッコウ"</f>
        <v>カツマダ コウトウ ガッコウ</v>
      </c>
      <c r="F1733" t="str">
        <f>"勝央町（勝田郡）"</f>
        <v>勝央町（勝田郡）</v>
      </c>
      <c r="G1733" t="str">
        <f>"年刊"</f>
        <v>年刊</v>
      </c>
      <c r="H1733" t="str">
        <f>"2002222300546"</f>
        <v>2002222300546</v>
      </c>
      <c r="I1733" t="str">
        <f>HYPERLINK("#", "https://opac.libnet.pref.okayama.jp/licsxp-opac/WOpacMsgNewListToTifTilDetailAction.do?tilcod=2002222300546")</f>
        <v>https://opac.libnet.pref.okayama.jp/licsxp-opac/WOpacMsgNewListToTifTilDetailAction.do?tilcod=2002222300546</v>
      </c>
    </row>
    <row r="1734" spans="1:9" x14ac:dyDescent="0.4">
      <c r="A1734" t="str">
        <f>"[勝間田農林高等学校]交通安全広報"</f>
        <v>[勝間田農林高等学校]交通安全広報</v>
      </c>
      <c r="B1734" s="1" t="str">
        <f t="shared" si="102"/>
        <v>[勝間田農林高等学校]交通安全広報</v>
      </c>
      <c r="C1734" t="str">
        <f>"カツマタ ノウリン コウトウ ガッコウ コウツウ アンゼン コウホウ"</f>
        <v>カツマタ ノウリン コウトウ ガッコウ コウツウ アンゼン コウホウ</v>
      </c>
      <c r="D1734" t="str">
        <f>"岡山県立勝間田農林高等学校"</f>
        <v>岡山県立勝間田農林高等学校</v>
      </c>
      <c r="E1734" t="str">
        <f>"オカヤマ ケンリツ カツマダ ノウリン コウトウ ガッコウ"</f>
        <v>オカヤマ ケンリツ カツマダ ノウリン コウトウ ガッコウ</v>
      </c>
      <c r="F1734" t="str">
        <f>"勝央町（英田郡）"</f>
        <v>勝央町（英田郡）</v>
      </c>
      <c r="G1734" t="str">
        <f>"頻度不明"</f>
        <v>頻度不明</v>
      </c>
      <c r="H1734" t="str">
        <f>"2002222335906"</f>
        <v>2002222335906</v>
      </c>
      <c r="I1734" t="str">
        <f>HYPERLINK("#", "https://opac.libnet.pref.okayama.jp/licsxp-opac/WOpacMsgNewListToTifTilDetailAction.do?tilcod=2002222335906")</f>
        <v>https://opac.libnet.pref.okayama.jp/licsxp-opac/WOpacMsgNewListToTifTilDetailAction.do?tilcod=2002222335906</v>
      </c>
    </row>
    <row r="1735" spans="1:9" x14ac:dyDescent="0.4">
      <c r="A1735" t="str">
        <f>"〔勝間田農林高等学校〕勝美新聞"</f>
        <v>〔勝間田農林高等学校〕勝美新聞</v>
      </c>
      <c r="B1735" s="1" t="str">
        <f t="shared" si="102"/>
        <v>〔勝間田農林高等学校〕勝美新聞</v>
      </c>
      <c r="C1735" t="str">
        <f>"カツマダ　ノウリン　コウトウ　ガッコウ＊ショウビ　シンブン"</f>
        <v>カツマダ　ノウリン　コウトウ　ガッコウ＊ショウビ　シンブン</v>
      </c>
      <c r="D1735" t="str">
        <f>"勝間田農林高等学校新聞部"</f>
        <v>勝間田農林高等学校新聞部</v>
      </c>
      <c r="E1735" t="str">
        <f>"カツマダ ノウリン コウトウ ガツコウ シンブンブ"</f>
        <v>カツマダ ノウリン コウトウ ガツコウ シンブンブ</v>
      </c>
      <c r="F1735" t="str">
        <f>"勝央町（勝田郡）"</f>
        <v>勝央町（勝田郡）</v>
      </c>
      <c r="G1735" t="str">
        <f>"頻度不明"</f>
        <v>頻度不明</v>
      </c>
      <c r="H1735" t="str">
        <f>"2002222301973"</f>
        <v>2002222301973</v>
      </c>
      <c r="I1735" t="str">
        <f>HYPERLINK("#", "https://opac.libnet.pref.okayama.jp/licsxp-opac/WOpacMsgNewListToTifTilDetailAction.do?tilcod=2002222301973")</f>
        <v>https://opac.libnet.pref.okayama.jp/licsxp-opac/WOpacMsgNewListToTifTilDetailAction.do?tilcod=2002222301973</v>
      </c>
    </row>
    <row r="1736" spans="1:9" x14ac:dyDescent="0.4">
      <c r="A1736" t="str">
        <f>"かつまだ；勝間田高等学校校友会報"</f>
        <v>かつまだ；勝間田高等学校校友会報</v>
      </c>
      <c r="B1736" s="1" t="str">
        <f t="shared" si="102"/>
        <v>かつまだ；勝間田高等学校校友会報</v>
      </c>
      <c r="C1736" t="str">
        <f>"カツマダ＊カツマダ　コウトウ　ガッコウ　コウユウ　カイホウ"</f>
        <v>カツマダ＊カツマダ　コウトウ　ガッコウ　コウユウ　カイホウ</v>
      </c>
      <c r="D1736" t="str">
        <f>"勝間田高等学校校友会"</f>
        <v>勝間田高等学校校友会</v>
      </c>
      <c r="E1736" t="str">
        <f>"オカヤマケンリツ カツマダ コウトウ ガッコウ コウユウカイ"</f>
        <v>オカヤマケンリツ カツマダ コウトウ ガッコウ コウユウカイ</v>
      </c>
      <c r="F1736" t="str">
        <f>"勝央町（勝田郡）"</f>
        <v>勝央町（勝田郡）</v>
      </c>
      <c r="G1736" t="str">
        <f>"頻度不明"</f>
        <v>頻度不明</v>
      </c>
      <c r="H1736" t="str">
        <f>"2002222301162"</f>
        <v>2002222301162</v>
      </c>
      <c r="I1736" t="str">
        <f>HYPERLINK("#", "https://opac.libnet.pref.okayama.jp/licsxp-opac/WOpacMsgNewListToTifTilDetailAction.do?tilcod=2002222301162")</f>
        <v>https://opac.libnet.pref.okayama.jp/licsxp-opac/WOpacMsgNewListToTifTilDetailAction.do?tilcod=2002222301162</v>
      </c>
    </row>
    <row r="1737" spans="1:9" x14ac:dyDescent="0.4">
      <c r="A1737" t="str">
        <f>"勝山基督教会報"</f>
        <v>勝山基督教会報</v>
      </c>
      <c r="B1737" s="1" t="str">
        <f t="shared" si="102"/>
        <v>勝山基督教会報</v>
      </c>
      <c r="C1737" t="str">
        <f>"カツヤマ　キリスト　キョウカイ　ホウ"</f>
        <v>カツヤマ　キリスト　キョウカイ　ホウ</v>
      </c>
      <c r="D1737" t="str">
        <f>"勝山基督教会"</f>
        <v>勝山基督教会</v>
      </c>
      <c r="E1737" t="str">
        <f>"カツヤマキリストキョウカイ"</f>
        <v>カツヤマキリストキョウカイ</v>
      </c>
      <c r="F1737" t="str">
        <f>""</f>
        <v/>
      </c>
      <c r="G1737" t="str">
        <f>"頻度不明"</f>
        <v>頻度不明</v>
      </c>
      <c r="H1737" t="str">
        <f>"2002222282513"</f>
        <v>2002222282513</v>
      </c>
      <c r="I1737" t="str">
        <f>HYPERLINK("#", "https://opac.libnet.pref.okayama.jp/licsxp-opac/WOpacMsgNewListToTifTilDetailAction.do?tilcod=2002222282513")</f>
        <v>https://opac.libnet.pref.okayama.jp/licsxp-opac/WOpacMsgNewListToTifTilDetailAction.do?tilcod=2002222282513</v>
      </c>
    </row>
    <row r="1738" spans="1:9" x14ac:dyDescent="0.4">
      <c r="A1738" t="str">
        <f>"[勝山高等学校] 学校案内"</f>
        <v>[勝山高等学校] 学校案内</v>
      </c>
      <c r="B1738" s="1" t="str">
        <f t="shared" si="102"/>
        <v>[勝山高等学校] 学校案内</v>
      </c>
      <c r="C1738" t="str">
        <f>"カツヤマ　コウトウ　ガッコウ　ガッコウ　アンナイ"</f>
        <v>カツヤマ　コウトウ　ガッコウ　ガッコウ　アンナイ</v>
      </c>
      <c r="D1738" t="str">
        <f>"勝山高等学校"</f>
        <v>勝山高等学校</v>
      </c>
      <c r="E1738" t="str">
        <f>"カツヤマ コウトウ ガッコウ"</f>
        <v>カツヤマ コウトウ ガッコウ</v>
      </c>
      <c r="F1738" t="str">
        <f>"真庭"</f>
        <v>真庭</v>
      </c>
      <c r="G1738" t="str">
        <f>"年刊"</f>
        <v>年刊</v>
      </c>
      <c r="H1738" t="str">
        <f>"2002222301283"</f>
        <v>2002222301283</v>
      </c>
      <c r="I1738" t="str">
        <f>HYPERLINK("#", "https://opac.libnet.pref.okayama.jp/licsxp-opac/WOpacMsgNewListToTifTilDetailAction.do?tilcod=2002222301283")</f>
        <v>https://opac.libnet.pref.okayama.jp/licsxp-opac/WOpacMsgNewListToTifTilDetailAction.do?tilcod=2002222301283</v>
      </c>
    </row>
    <row r="1739" spans="1:9" x14ac:dyDescent="0.4">
      <c r="A1739" t="str">
        <f>"[勝山高等学校]勝高新聞"</f>
        <v>[勝山高等学校]勝高新聞</v>
      </c>
      <c r="B1739" s="1" t="str">
        <f t="shared" si="102"/>
        <v>[勝山高等学校]勝高新聞</v>
      </c>
      <c r="C1739" t="str">
        <f>"カツヤマ コウトウ ガッコウ カツコウ シンブン"</f>
        <v>カツヤマ コウトウ ガッコウ カツコウ シンブン</v>
      </c>
      <c r="D1739" t="str">
        <f>"勝山高等学校生徒会"</f>
        <v>勝山高等学校生徒会</v>
      </c>
      <c r="E1739" t="str">
        <f>"カツヤマ コウトウ ガッコウ セイトカイ"</f>
        <v>カツヤマ コウトウ ガッコウ セイトカイ</v>
      </c>
      <c r="F1739" t="str">
        <f>"真庭"</f>
        <v>真庭</v>
      </c>
      <c r="G1739" t="str">
        <f>"頻度不明"</f>
        <v>頻度不明</v>
      </c>
      <c r="H1739" t="str">
        <f>"2002222311966"</f>
        <v>2002222311966</v>
      </c>
      <c r="I1739" t="str">
        <f>HYPERLINK("#", "https://opac.libnet.pref.okayama.jp/licsxp-opac/WOpacMsgNewListToTifTilDetailAction.do?tilcod=2002222311966")</f>
        <v>https://opac.libnet.pref.okayama.jp/licsxp-opac/WOpacMsgNewListToTifTilDetailAction.do?tilcod=2002222311966</v>
      </c>
    </row>
    <row r="1740" spans="1:9" x14ac:dyDescent="0.4">
      <c r="A1740" t="str">
        <f>"[勝山高等学校] 学校要覧"</f>
        <v>[勝山高等学校] 学校要覧</v>
      </c>
      <c r="B1740" s="1" t="str">
        <f t="shared" si="102"/>
        <v>[勝山高等学校] 学校要覧</v>
      </c>
      <c r="C1740" t="str">
        <f>"カツヤマ　コウトウ　ガッコウ　ガッコウ　ヨウラン"</f>
        <v>カツヤマ　コウトウ　ガッコウ　ガッコウ　ヨウラン</v>
      </c>
      <c r="D1740" t="str">
        <f>"勝山高等学校"</f>
        <v>勝山高等学校</v>
      </c>
      <c r="E1740" t="str">
        <f>"カツヤマ コウトウ ガッコウ"</f>
        <v>カツヤマ コウトウ ガッコウ</v>
      </c>
      <c r="F1740" t="str">
        <f>"勝山町（真庭郡）"</f>
        <v>勝山町（真庭郡）</v>
      </c>
      <c r="G1740" t="str">
        <f>"年刊"</f>
        <v>年刊</v>
      </c>
      <c r="H1740" t="str">
        <f>"2002222300543"</f>
        <v>2002222300543</v>
      </c>
      <c r="I1740" t="str">
        <f>HYPERLINK("#", "https://opac.libnet.pref.okayama.jp/licsxp-opac/WOpacMsgNewListToTifTilDetailAction.do?tilcod=2002222300543")</f>
        <v>https://opac.libnet.pref.okayama.jp/licsxp-opac/WOpacMsgNewListToTifTilDetailAction.do?tilcod=2002222300543</v>
      </c>
    </row>
    <row r="1741" spans="1:9" x14ac:dyDescent="0.4">
      <c r="A1741" t="str">
        <f>"[勝山高等学校蒜山校地] 学校案内"</f>
        <v>[勝山高等学校蒜山校地] 学校案内</v>
      </c>
      <c r="B1741" s="1" t="str">
        <f t="shared" si="102"/>
        <v>[勝山高等学校蒜山校地] 学校案内</v>
      </c>
      <c r="C1741" t="str">
        <f>"カツヤマ　コウトウ　ガッコウ　ヒルゼン　コウチ　ガッコウ　アンナイ"</f>
        <v>カツヤマ　コウトウ　ガッコウ　ヒルゼン　コウチ　ガッコウ　アンナイ</v>
      </c>
      <c r="D1741" t="str">
        <f>"勝山高等学校蒜山校地"</f>
        <v>勝山高等学校蒜山校地</v>
      </c>
      <c r="E1741" t="str">
        <f>"ヒルゼンコウトウガッコウ"</f>
        <v>ヒルゼンコウトウガッコウ</v>
      </c>
      <c r="F1741" t="str">
        <f>"真庭"</f>
        <v>真庭</v>
      </c>
      <c r="G1741" t="str">
        <f>"年刊"</f>
        <v>年刊</v>
      </c>
      <c r="H1741" t="str">
        <f>"2002222315846"</f>
        <v>2002222315846</v>
      </c>
      <c r="I1741" t="str">
        <f>HYPERLINK("#", "https://opac.libnet.pref.okayama.jp/licsxp-opac/WOpacMsgNewListToTifTilDetailAction.do?tilcod=2002222315846")</f>
        <v>https://opac.libnet.pref.okayama.jp/licsxp-opac/WOpacMsgNewListToTifTilDetailAction.do?tilcod=2002222315846</v>
      </c>
    </row>
    <row r="1742" spans="1:9" x14ac:dyDescent="0.4">
      <c r="A1742" t="str">
        <f>"[勝山高等学校蒜山校地] 学校要覧"</f>
        <v>[勝山高等学校蒜山校地] 学校要覧</v>
      </c>
      <c r="B1742" s="1" t="str">
        <f t="shared" si="102"/>
        <v>[勝山高等学校蒜山校地] 学校要覧</v>
      </c>
      <c r="C1742" t="str">
        <f>"カツヤマ　コウトウ　ガッコウ　ヒルゼン　コウチ　ガッコウ　ヨウラン"</f>
        <v>カツヤマ　コウトウ　ガッコウ　ヒルゼン　コウチ　ガッコウ　ヨウラン</v>
      </c>
      <c r="D1742" t="str">
        <f>"勝山高等学校蒜山校地"</f>
        <v>勝山高等学校蒜山校地</v>
      </c>
      <c r="E1742" t="str">
        <f>"ヒルゼンコウトウガッコウ"</f>
        <v>ヒルゼンコウトウガッコウ</v>
      </c>
      <c r="F1742" t="str">
        <f>"真庭"</f>
        <v>真庭</v>
      </c>
      <c r="G1742" t="str">
        <f>"年刊"</f>
        <v>年刊</v>
      </c>
      <c r="H1742" t="str">
        <f>"2002222315847"</f>
        <v>2002222315847</v>
      </c>
      <c r="I1742" t="str">
        <f>HYPERLINK("#", "https://opac.libnet.pref.okayama.jp/licsxp-opac/WOpacMsgNewListToTifTilDetailAction.do?tilcod=2002222315847")</f>
        <v>https://opac.libnet.pref.okayama.jp/licsxp-opac/WOpacMsgNewListToTifTilDetailAction.do?tilcod=2002222315847</v>
      </c>
    </row>
    <row r="1743" spans="1:9" x14ac:dyDescent="0.4">
      <c r="A1743" t="str">
        <f>"〔勝山高等学校〕シラバス"</f>
        <v>〔勝山高等学校〕シラバス</v>
      </c>
      <c r="B1743" s="1" t="str">
        <f t="shared" si="102"/>
        <v>〔勝山高等学校〕シラバス</v>
      </c>
      <c r="C1743" t="str">
        <f>"カツヤマ　コウトウ　ガッコウ＊シラバス"</f>
        <v>カツヤマ　コウトウ　ガッコウ＊シラバス</v>
      </c>
      <c r="D1743" t="str">
        <f>"勝山高等学校"</f>
        <v>勝山高等学校</v>
      </c>
      <c r="E1743" t="str">
        <f>"カツヤマ コウトウ ガッコウ"</f>
        <v>カツヤマ コウトウ ガッコウ</v>
      </c>
      <c r="F1743" t="str">
        <f>"真庭"</f>
        <v>真庭</v>
      </c>
      <c r="G1743" t="str">
        <f>"年刊"</f>
        <v>年刊</v>
      </c>
      <c r="H1743" t="str">
        <f>"2002222301800"</f>
        <v>2002222301800</v>
      </c>
      <c r="I1743" t="str">
        <f>HYPERLINK("#", "https://opac.libnet.pref.okayama.jp/licsxp-opac/WOpacMsgNewListToTifTilDetailAction.do?tilcod=2002222301800")</f>
        <v>https://opac.libnet.pref.okayama.jp/licsxp-opac/WOpacMsgNewListToTifTilDetailAction.do?tilcod=2002222301800</v>
      </c>
    </row>
    <row r="1744" spans="1:9" x14ac:dyDescent="0.4">
      <c r="A1744" t="str">
        <f>"〔勝山〕文化協会だより"</f>
        <v>〔勝山〕文化協会だより</v>
      </c>
      <c r="B1744" s="1" t="str">
        <f t="shared" si="102"/>
        <v>〔勝山〕文化協会だより</v>
      </c>
      <c r="C1744" t="str">
        <f>"カツヤマ ブンカ キョウカイ ダヨリ"</f>
        <v>カツヤマ ブンカ キョウカイ ダヨリ</v>
      </c>
      <c r="D1744" t="str">
        <f>"勝山文化協会"</f>
        <v>勝山文化協会</v>
      </c>
      <c r="E1744" t="str">
        <f>"カツヤマ ブンカ キョウカイ"</f>
        <v>カツヤマ ブンカ キョウカイ</v>
      </c>
      <c r="F1744" t="str">
        <f>"真庭"</f>
        <v>真庭</v>
      </c>
      <c r="G1744" t="str">
        <f>"年刊"</f>
        <v>年刊</v>
      </c>
      <c r="H1744" t="str">
        <f>"2002222334071"</f>
        <v>2002222334071</v>
      </c>
      <c r="I1744" t="str">
        <f>HYPERLINK("#", "https://opac.libnet.pref.okayama.jp/licsxp-opac/WOpacMsgNewListToTifTilDetailAction.do?tilcod=2002222334071")</f>
        <v>https://opac.libnet.pref.okayama.jp/licsxp-opac/WOpacMsgNewListToTifTilDetailAction.do?tilcod=2002222334071</v>
      </c>
    </row>
    <row r="1745" spans="1:9" x14ac:dyDescent="0.4">
      <c r="A1745" t="str">
        <f>"勝山町議会報告"</f>
        <v>勝山町議会報告</v>
      </c>
      <c r="B1745" s="1" t="str">
        <f t="shared" si="102"/>
        <v>勝山町議会報告</v>
      </c>
      <c r="C1745" t="str">
        <f>"カツヤマチョウ　ギカイ　ホウコク"</f>
        <v>カツヤマチョウ　ギカイ　ホウコク</v>
      </c>
      <c r="D1745" t="str">
        <f>"〔勝山町〕"</f>
        <v>〔勝山町〕</v>
      </c>
      <c r="E1745" t="str">
        <f>"カツヤマチョウ"</f>
        <v>カツヤマチョウ</v>
      </c>
      <c r="F1745" t="str">
        <f>"〔勝山町（真庭郡）〕"</f>
        <v>〔勝山町（真庭郡）〕</v>
      </c>
      <c r="G1745" t="str">
        <f>"不定期刊"</f>
        <v>不定期刊</v>
      </c>
      <c r="H1745" t="str">
        <f>"2002222281894"</f>
        <v>2002222281894</v>
      </c>
      <c r="I1745" t="str">
        <f>HYPERLINK("#", "https://opac.libnet.pref.okayama.jp/licsxp-opac/WOpacMsgNewListToTifTilDetailAction.do?tilcod=2002222281894")</f>
        <v>https://opac.libnet.pref.okayama.jp/licsxp-opac/WOpacMsgNewListToTifTilDetailAction.do?tilcod=2002222281894</v>
      </c>
    </row>
    <row r="1746" spans="1:9" x14ac:dyDescent="0.4">
      <c r="A1746" t="str">
        <f>"[勝山町教育委員会]会報"</f>
        <v>[勝山町教育委員会]会報</v>
      </c>
      <c r="B1746" s="1" t="str">
        <f t="shared" si="102"/>
        <v>[勝山町教育委員会]会報</v>
      </c>
      <c r="C1746" t="str">
        <f>"カツヤマチョウ キョウイク イインカイ カイホウ"</f>
        <v>カツヤマチョウ キョウイク イインカイ カイホウ</v>
      </c>
      <c r="D1746" t="str">
        <f>"勝山町教育委員会"</f>
        <v>勝山町教育委員会</v>
      </c>
      <c r="E1746" t="str">
        <f>"カツヤマチョウ キョウイク イインカイ"</f>
        <v>カツヤマチョウ キョウイク イインカイ</v>
      </c>
      <c r="F1746" t="str">
        <f>"勝山町(真庭郡)"</f>
        <v>勝山町(真庭郡)</v>
      </c>
      <c r="G1746" t="str">
        <f>"月刊"</f>
        <v>月刊</v>
      </c>
      <c r="H1746" t="str">
        <f>"2002222334648"</f>
        <v>2002222334648</v>
      </c>
      <c r="I1746" t="str">
        <f>HYPERLINK("#", "https://opac.libnet.pref.okayama.jp/licsxp-opac/WOpacMsgNewListToTifTilDetailAction.do?tilcod=2002222334648")</f>
        <v>https://opac.libnet.pref.okayama.jp/licsxp-opac/WOpacMsgNewListToTifTilDetailAction.do?tilcod=2002222334648</v>
      </c>
    </row>
    <row r="1747" spans="1:9" x14ac:dyDescent="0.4">
      <c r="A1747" t="str">
        <f>"家庭科教育"</f>
        <v>家庭科教育</v>
      </c>
      <c r="B1747" s="1" t="str">
        <f t="shared" si="102"/>
        <v>家庭科教育</v>
      </c>
      <c r="C1747" t="str">
        <f>"カテイカ　キョウイク"</f>
        <v>カテイカ　キョウイク</v>
      </c>
      <c r="D1747" t="str">
        <f>"岡山県高等学校教育研究会家庭部会"</f>
        <v>岡山県高等学校教育研究会家庭部会</v>
      </c>
      <c r="E1747" t="str">
        <f>"オカヤマケンコウトウガッコウキョウイクケンキュウカイカテイブカイ"</f>
        <v>オカヤマケンコウトウガッコウキョウイクケンキュウカイカテイブカイ</v>
      </c>
      <c r="F1747" t="str">
        <f>"〔岡山〕"</f>
        <v>〔岡山〕</v>
      </c>
      <c r="G1747" t="str">
        <f>"年刊"</f>
        <v>年刊</v>
      </c>
      <c r="H1747" t="str">
        <f>"2002222282801"</f>
        <v>2002222282801</v>
      </c>
      <c r="I1747" t="str">
        <f>HYPERLINK("#", "https://opac.libnet.pref.okayama.jp/licsxp-opac/WOpacMsgNewListToTifTilDetailAction.do?tilcod=2002222282801")</f>
        <v>https://opac.libnet.pref.okayama.jp/licsxp-opac/WOpacMsgNewListToTifTilDetailAction.do?tilcod=2002222282801</v>
      </c>
    </row>
    <row r="1748" spans="1:9" x14ac:dyDescent="0.4">
      <c r="A1748" t="str">
        <f>"華道専敬"</f>
        <v>華道専敬</v>
      </c>
      <c r="B1748" s="1" t="str">
        <f t="shared" si="102"/>
        <v>華道専敬</v>
      </c>
      <c r="C1748" t="str">
        <f>"カドウ　センケイ"</f>
        <v>カドウ　センケイ</v>
      </c>
      <c r="D1748" t="str">
        <f>"華道専敬社"</f>
        <v>華道専敬社</v>
      </c>
      <c r="E1748" t="str">
        <f>"カドウセンケイシャ"</f>
        <v>カドウセンケイシャ</v>
      </c>
      <c r="F1748" t="str">
        <f>""</f>
        <v/>
      </c>
      <c r="G1748" t="str">
        <f>"頻度不明"</f>
        <v>頻度不明</v>
      </c>
      <c r="H1748" t="str">
        <f>"2002222282523"</f>
        <v>2002222282523</v>
      </c>
      <c r="I1748" t="str">
        <f>HYPERLINK("#", "https://opac.libnet.pref.okayama.jp/licsxp-opac/WOpacMsgNewListToTifTilDetailAction.do?tilcod=2002222282523")</f>
        <v>https://opac.libnet.pref.okayama.jp/licsxp-opac/WOpacMsgNewListToTifTilDetailAction.do?tilcod=2002222282523</v>
      </c>
    </row>
    <row r="1749" spans="1:9" x14ac:dyDescent="0.4">
      <c r="A1749" t="str">
        <f>"かど松"</f>
        <v>かど松</v>
      </c>
      <c r="B1749" s="1" t="str">
        <f t="shared" si="102"/>
        <v>かど松</v>
      </c>
      <c r="C1749" t="str">
        <f>"カドマツ"</f>
        <v>カドマツ</v>
      </c>
      <c r="D1749" t="str">
        <f>"岡山ホトトギス会"</f>
        <v>岡山ホトトギス会</v>
      </c>
      <c r="E1749" t="str">
        <f>"オカヤマホトトギスカイ"</f>
        <v>オカヤマホトトギスカイ</v>
      </c>
      <c r="F1749" t="str">
        <f>"岡山"</f>
        <v>岡山</v>
      </c>
      <c r="G1749" t="str">
        <f>"月刊"</f>
        <v>月刊</v>
      </c>
      <c r="H1749" t="str">
        <f>"2002222301828"</f>
        <v>2002222301828</v>
      </c>
      <c r="I1749" t="str">
        <f>HYPERLINK("#", "https://opac.libnet.pref.okayama.jp/licsxp-opac/WOpacMsgNewListToTifTilDetailAction.do?tilcod=2002222301828")</f>
        <v>https://opac.libnet.pref.okayama.jp/licsxp-opac/WOpacMsgNewListToTifTilDetailAction.do?tilcod=2002222301828</v>
      </c>
    </row>
    <row r="1750" spans="1:9" x14ac:dyDescent="0.4">
      <c r="A1750" t="str">
        <f>"家内の目さま志(家内の目さまし)"</f>
        <v>家内の目さま志(家内の目さまし)</v>
      </c>
      <c r="B1750" s="1" t="str">
        <f t="shared" si="102"/>
        <v>家内の目さま志(家内の目さまし)</v>
      </c>
      <c r="C1750" t="str">
        <f>"カナイ ノ メサマシ"</f>
        <v>カナイ ノ メサマシ</v>
      </c>
      <c r="D1750" t="str">
        <f>"薇州文社"</f>
        <v>薇州文社</v>
      </c>
      <c r="E1750" t="str">
        <f>"ビシュウブンシャ"</f>
        <v>ビシュウブンシャ</v>
      </c>
      <c r="F1750" t="str">
        <f>"備中国"</f>
        <v>備中国</v>
      </c>
      <c r="G1750" t="str">
        <f>"月刊"</f>
        <v>月刊</v>
      </c>
      <c r="H1750" t="str">
        <f>"2002222302324"</f>
        <v>2002222302324</v>
      </c>
      <c r="I1750" t="str">
        <f>HYPERLINK("#", "https://opac.libnet.pref.okayama.jp/licsxp-opac/WOpacMsgNewListToTifTilDetailAction.do?tilcod=2002222302324")</f>
        <v>https://opac.libnet.pref.okayama.jp/licsxp-opac/WOpacMsgNewListToTifTilDetailAction.do?tilcod=2002222302324</v>
      </c>
    </row>
    <row r="1751" spans="1:9" x14ac:dyDescent="0.4">
      <c r="A1751" t="str">
        <f>"金川高等学校学校案内"</f>
        <v>金川高等学校学校案内</v>
      </c>
      <c r="B1751" s="1" t="str">
        <f t="shared" si="102"/>
        <v>金川高等学校学校案内</v>
      </c>
      <c r="C1751" t="str">
        <f>"カナガワ　コウトウ　ガッコウ　ガッコウ　アンナイ"</f>
        <v>カナガワ　コウトウ　ガッコウ　ガッコウ　アンナイ</v>
      </c>
      <c r="D1751" t="str">
        <f>"金川高等学校"</f>
        <v>金川高等学校</v>
      </c>
      <c r="E1751" t="str">
        <f>"カナガワ コウトウ ガッコウ"</f>
        <v>カナガワ コウトウ ガッコウ</v>
      </c>
      <c r="F1751" t="str">
        <f>"御津町（御津郡）"</f>
        <v>御津町（御津郡）</v>
      </c>
      <c r="G1751" t="str">
        <f>"年刊"</f>
        <v>年刊</v>
      </c>
      <c r="H1751" t="str">
        <f>"2002222301187"</f>
        <v>2002222301187</v>
      </c>
      <c r="I1751" t="str">
        <f>HYPERLINK("#", "https://opac.libnet.pref.okayama.jp/licsxp-opac/WOpacMsgNewListToTifTilDetailAction.do?tilcod=2002222301187")</f>
        <v>https://opac.libnet.pref.okayama.jp/licsxp-opac/WOpacMsgNewListToTifTilDetailAction.do?tilcod=2002222301187</v>
      </c>
    </row>
    <row r="1752" spans="1:9" x14ac:dyDescent="0.4">
      <c r="A1752" t="str">
        <f>"金川高等学校学校要覧"</f>
        <v>金川高等学校学校要覧</v>
      </c>
      <c r="B1752" s="1" t="str">
        <f t="shared" si="102"/>
        <v>金川高等学校学校要覧</v>
      </c>
      <c r="C1752" t="str">
        <f>"カナガワ　コウトウ　ガッコウ　ガッコウ　ヨウラン"</f>
        <v>カナガワ　コウトウ　ガッコウ　ガッコウ　ヨウラン</v>
      </c>
      <c r="D1752" t="str">
        <f>"金川高等学校"</f>
        <v>金川高等学校</v>
      </c>
      <c r="E1752" t="str">
        <f>"カナガワ コウトウ ガッコウ"</f>
        <v>カナガワ コウトウ ガッコウ</v>
      </c>
      <c r="F1752" t="str">
        <f>"御津町（御津郡）"</f>
        <v>御津町（御津郡）</v>
      </c>
      <c r="G1752" t="str">
        <f>"年刊"</f>
        <v>年刊</v>
      </c>
      <c r="H1752" t="str">
        <f>"2002222300533"</f>
        <v>2002222300533</v>
      </c>
      <c r="I1752" t="str">
        <f>HYPERLINK("#", "https://opac.libnet.pref.okayama.jp/licsxp-opac/WOpacMsgNewListToTifTilDetailAction.do?tilcod=2002222300533")</f>
        <v>https://opac.libnet.pref.okayama.jp/licsxp-opac/WOpacMsgNewListToTifTilDetailAction.do?tilcod=2002222300533</v>
      </c>
    </row>
    <row r="1753" spans="1:9" x14ac:dyDescent="0.4">
      <c r="A1753" t="str">
        <f>"〔金川高等学校〕金川高校創八十周年記念新聞"</f>
        <v>〔金川高等学校〕金川高校創八十周年記念新聞</v>
      </c>
      <c r="B1753" s="1" t="str">
        <f t="shared" si="102"/>
        <v>〔金川高等学校〕金川高校創八十周年記念新聞</v>
      </c>
      <c r="C1753" t="str">
        <f>"カナガワ　コウトウ　ガッコウ＊カナガワ　コウコウ　ソウリツ　ハチジュッシュウネン　キネン　シンブン"</f>
        <v>カナガワ　コウトウ　ガッコウ＊カナガワ　コウコウ　ソウリツ　ハチジュッシュウネン　キネン　シンブン</v>
      </c>
      <c r="D1753" t="str">
        <f>"金川高等学校創立８０周年記念新聞係"</f>
        <v>金川高等学校創立８０周年記念新聞係</v>
      </c>
      <c r="E1753" t="str">
        <f>"カナガワコウトウガッコウソウリツハチジュッシュウネンキネンシンブンカカリ"</f>
        <v>カナガワコウトウガッコウソウリツハチジュッシュウネンキネンシンブンカカリ</v>
      </c>
      <c r="F1753" t="str">
        <f>"御津町（御津郡）"</f>
        <v>御津町（御津郡）</v>
      </c>
      <c r="G1753" t="str">
        <f>"その他"</f>
        <v>その他</v>
      </c>
      <c r="H1753" t="str">
        <f>"2002222301975"</f>
        <v>2002222301975</v>
      </c>
      <c r="I1753" t="str">
        <f>HYPERLINK("#", "https://opac.libnet.pref.okayama.jp/licsxp-opac/WOpacMsgNewListToTifTilDetailAction.do?tilcod=2002222301975")</f>
        <v>https://opac.libnet.pref.okayama.jp/licsxp-opac/WOpacMsgNewListToTifTilDetailAction.do?tilcod=2002222301975</v>
      </c>
    </row>
    <row r="1754" spans="1:9" x14ac:dyDescent="0.4">
      <c r="A1754" t="str">
        <f>"金山学園高等学校学園あんない"</f>
        <v>金山学園高等学校学園あんない</v>
      </c>
      <c r="B1754" s="1" t="str">
        <f t="shared" si="102"/>
        <v>金山学園高等学校学園あんない</v>
      </c>
      <c r="C1754" t="str">
        <f>"カナヤマ ガクエン コウトウ ガッコウ ガクエン アンナイ"</f>
        <v>カナヤマ ガクエン コウトウ ガッコウ ガクエン アンナイ</v>
      </c>
      <c r="D1754" t="str">
        <f>"金山学園高等学校"</f>
        <v>金山学園高等学校</v>
      </c>
      <c r="E1754" t="str">
        <f>"カナヤマ ガクエン コウトウ ガッコウ"</f>
        <v>カナヤマ ガクエン コウトウ ガッコウ</v>
      </c>
      <c r="F1754" t="str">
        <f>"岡山"</f>
        <v>岡山</v>
      </c>
      <c r="G1754" t="str">
        <f>"年刊"</f>
        <v>年刊</v>
      </c>
      <c r="H1754" t="str">
        <f>"2002222336668"</f>
        <v>2002222336668</v>
      </c>
      <c r="I1754" t="str">
        <f>HYPERLINK("#", "https://opac.libnet.pref.okayama.jp/licsxp-opac/WOpacMsgNewListToTifTilDetailAction.do?tilcod=2002222336668")</f>
        <v>https://opac.libnet.pref.okayama.jp/licsxp-opac/WOpacMsgNewListToTifTilDetailAction.do?tilcod=2002222336668</v>
      </c>
    </row>
    <row r="1755" spans="1:9" x14ac:dyDescent="0.4">
      <c r="A1755" t="str">
        <f>"金山学報"</f>
        <v>金山学報</v>
      </c>
      <c r="B1755" s="1" t="str">
        <f t="shared" si="102"/>
        <v>金山学報</v>
      </c>
      <c r="C1755" t="str">
        <f>"カナヤマ ガクホウ"</f>
        <v>カナヤマ ガクホウ</v>
      </c>
      <c r="D1755" t="str">
        <f>"西大寺尋常高等小学校"</f>
        <v>西大寺尋常高等小学校</v>
      </c>
      <c r="E1755" t="str">
        <f>"サイダイジ ジンジョウ コウトウ ショウガッコウ"</f>
        <v>サイダイジ ジンジョウ コウトウ ショウガッコウ</v>
      </c>
      <c r="F1755" t="str">
        <f>""</f>
        <v/>
      </c>
      <c r="G1755" t="str">
        <f>"月刊"</f>
        <v>月刊</v>
      </c>
      <c r="H1755" t="str">
        <f>"2002222333566"</f>
        <v>2002222333566</v>
      </c>
      <c r="I1755" t="str">
        <f>HYPERLINK("#", "https://opac.libnet.pref.okayama.jp/licsxp-opac/WOpacMsgNewListToTifTilDetailAction.do?tilcod=2002222333566")</f>
        <v>https://opac.libnet.pref.okayama.jp/licsxp-opac/WOpacMsgNewListToTifTilDetailAction.do?tilcod=2002222333566</v>
      </c>
    </row>
    <row r="1756" spans="1:9" x14ac:dyDescent="0.4">
      <c r="A1756" t="str">
        <f>"金山展望"</f>
        <v>金山展望</v>
      </c>
      <c r="B1756" s="1" t="str">
        <f t="shared" si="102"/>
        <v>金山展望</v>
      </c>
      <c r="C1756" t="str">
        <f>"カナヤマ　テンボウ"</f>
        <v>カナヤマ　テンボウ</v>
      </c>
      <c r="D1756" t="str">
        <f>"西大寺高等学校歴史社会部"</f>
        <v>西大寺高等学校歴史社会部</v>
      </c>
      <c r="E1756" t="str">
        <f>"サイダイジコウトウガッコウレキシシャカイブ"</f>
        <v>サイダイジコウトウガッコウレキシシャカイブ</v>
      </c>
      <c r="F1756" t="str">
        <f>""</f>
        <v/>
      </c>
      <c r="G1756" t="str">
        <f>"頻度不明"</f>
        <v>頻度不明</v>
      </c>
      <c r="H1756" t="str">
        <f>"2002222289893"</f>
        <v>2002222289893</v>
      </c>
      <c r="I1756" t="str">
        <f>HYPERLINK("#", "https://opac.libnet.pref.okayama.jp/licsxp-opac/WOpacMsgNewListToTifTilDetailAction.do?tilcod=2002222289893")</f>
        <v>https://opac.libnet.pref.okayama.jp/licsxp-opac/WOpacMsgNewListToTifTilDetailAction.do?tilcod=2002222289893</v>
      </c>
    </row>
    <row r="1757" spans="1:9" x14ac:dyDescent="0.4">
      <c r="A1757" t="str">
        <f>"かぶとがに"</f>
        <v>かぶとがに</v>
      </c>
      <c r="B1757" s="1" t="str">
        <f t="shared" si="102"/>
        <v>かぶとがに</v>
      </c>
      <c r="C1757" t="str">
        <f>"カブトガニ"</f>
        <v>カブトガニ</v>
      </c>
      <c r="D1757" t="str">
        <f>"笠岡青年会議所"</f>
        <v>笠岡青年会議所</v>
      </c>
      <c r="E1757" t="str">
        <f>"カサオカ セイネン カイギショ"</f>
        <v>カサオカ セイネン カイギショ</v>
      </c>
      <c r="F1757" t="str">
        <f>""</f>
        <v/>
      </c>
      <c r="G1757" t="str">
        <f>"月刊"</f>
        <v>月刊</v>
      </c>
      <c r="H1757" t="str">
        <f>"2002222282533"</f>
        <v>2002222282533</v>
      </c>
      <c r="I1757" t="str">
        <f>HYPERLINK("#", "https://opac.libnet.pref.okayama.jp/licsxp-opac/WOpacMsgNewListToTifTilDetailAction.do?tilcod=2002222282533")</f>
        <v>https://opac.libnet.pref.okayama.jp/licsxp-opac/WOpacMsgNewListToTifTilDetailAction.do?tilcod=2002222282533</v>
      </c>
    </row>
    <row r="1758" spans="1:9" x14ac:dyDescent="0.4">
      <c r="A1758" t="str">
        <f>"かぶとがに"</f>
        <v>かぶとがに</v>
      </c>
      <c r="B1758" s="1" t="str">
        <f t="shared" si="102"/>
        <v>かぶとがに</v>
      </c>
      <c r="C1758" t="str">
        <f>"カブトガニ"</f>
        <v>カブトガニ</v>
      </c>
      <c r="D1758" t="str">
        <f>"日本カブトガニを守る会"</f>
        <v>日本カブトガニを守る会</v>
      </c>
      <c r="E1758" t="str">
        <f>"ニホン カブトガニ オ マモル カイ"</f>
        <v>ニホン カブトガニ オ マモル カイ</v>
      </c>
      <c r="F1758" t="str">
        <f>""</f>
        <v/>
      </c>
      <c r="G1758" t="str">
        <f>"年刊"</f>
        <v>年刊</v>
      </c>
      <c r="H1758" t="str">
        <f>"2002222339990"</f>
        <v>2002222339990</v>
      </c>
      <c r="I1758" t="str">
        <f>HYPERLINK("#", "https://opac.libnet.pref.okayama.jp/licsxp-opac/WOpacMsgNewListToTifTilDetailAction.do?tilcod=2002222339990")</f>
        <v>https://opac.libnet.pref.okayama.jp/licsxp-opac/WOpacMsgNewListToTifTilDetailAction.do?tilcod=2002222339990</v>
      </c>
    </row>
    <row r="1759" spans="1:9" x14ac:dyDescent="0.4">
      <c r="A1759" t="str">
        <f>"カブトガニ便り"</f>
        <v>カブトガニ便り</v>
      </c>
      <c r="B1759" s="1" t="str">
        <f t="shared" si="102"/>
        <v>カブトガニ便り</v>
      </c>
      <c r="C1759" t="str">
        <f>"カブトガニ　ダヨリ"</f>
        <v>カブトガニ　ダヨリ</v>
      </c>
      <c r="D1759" t="str">
        <f>"川崎誠治"</f>
        <v>川崎誠治</v>
      </c>
      <c r="E1759" t="str">
        <f>"カワサキセイジ"</f>
        <v>カワサキセイジ</v>
      </c>
      <c r="F1759" t="str">
        <f>"笠岡"</f>
        <v>笠岡</v>
      </c>
      <c r="G1759" t="str">
        <f>"月刊"</f>
        <v>月刊</v>
      </c>
      <c r="H1759" t="str">
        <f>"2002222300743"</f>
        <v>2002222300743</v>
      </c>
      <c r="I1759" t="str">
        <f>HYPERLINK("#", "https://opac.libnet.pref.okayama.jp/licsxp-opac/WOpacMsgNewListToTifTilDetailAction.do?tilcod=2002222300743")</f>
        <v>https://opac.libnet.pref.okayama.jp/licsxp-opac/WOpacMsgNewListToTifTilDetailAction.do?tilcod=2002222300743</v>
      </c>
    </row>
    <row r="1760" spans="1:9" x14ac:dyDescent="0.4">
      <c r="A1760" t="str">
        <f>"〔カブトガニ〕保護センター年報"</f>
        <v>〔カブトガニ〕保護センター年報</v>
      </c>
      <c r="B1760" s="1" t="str">
        <f t="shared" si="102"/>
        <v>〔カブトガニ〕保護センター年報</v>
      </c>
      <c r="C1760" t="str">
        <f>"カブトガニ＊ホゴ　センター　ネンポウ"</f>
        <v>カブトガニ＊ホゴ　センター　ネンポウ</v>
      </c>
      <c r="D1760" t="str">
        <f>"笠岡市立カブトガニ保護センター"</f>
        <v>笠岡市立カブトガニ保護センター</v>
      </c>
      <c r="E1760" t="str">
        <f>"カサオカシリツカブトガニホゴセンター"</f>
        <v>カサオカシリツカブトガニホゴセンター</v>
      </c>
      <c r="F1760" t="str">
        <f>"笠岡"</f>
        <v>笠岡</v>
      </c>
      <c r="G1760" t="str">
        <f>"頻度不明"</f>
        <v>頻度不明</v>
      </c>
      <c r="H1760" t="str">
        <f>"2002222284963"</f>
        <v>2002222284963</v>
      </c>
      <c r="I1760" t="str">
        <f>HYPERLINK("#", "https://opac.libnet.pref.okayama.jp/licsxp-opac/WOpacMsgNewListToTifTilDetailAction.do?tilcod=2002222284963")</f>
        <v>https://opac.libnet.pref.okayama.jp/licsxp-opac/WOpacMsgNewListToTifTilDetailAction.do?tilcod=2002222284963</v>
      </c>
    </row>
    <row r="1761" spans="1:9" x14ac:dyDescent="0.4">
      <c r="A1761" t="str">
        <f>"火片"</f>
        <v>火片</v>
      </c>
      <c r="B1761" s="1" t="str">
        <f t="shared" si="102"/>
        <v>火片</v>
      </c>
      <c r="C1761" t="str">
        <f>"カヘン"</f>
        <v>カヘン</v>
      </c>
      <c r="D1761" t="str">
        <f>"火片発行所"</f>
        <v>火片発行所</v>
      </c>
      <c r="E1761" t="str">
        <f>"カヘンハッコウジョ"</f>
        <v>カヘンハッコウジョ</v>
      </c>
      <c r="F1761" t="str">
        <f>"総社"</f>
        <v>総社</v>
      </c>
      <c r="G1761" t="str">
        <f>"年３回刊"</f>
        <v>年３回刊</v>
      </c>
      <c r="H1761" t="str">
        <f>"2002222291211"</f>
        <v>2002222291211</v>
      </c>
      <c r="I1761" t="str">
        <f>HYPERLINK("#", "https://opac.libnet.pref.okayama.jp/licsxp-opac/WOpacMsgNewListToTifTilDetailAction.do?tilcod=2002222291211")</f>
        <v>https://opac.libnet.pref.okayama.jp/licsxp-opac/WOpacMsgNewListToTifTilDetailAction.do?tilcod=2002222291211</v>
      </c>
    </row>
    <row r="1762" spans="1:9" x14ac:dyDescent="0.4">
      <c r="A1762" t="str">
        <f>"火片通信"</f>
        <v>火片通信</v>
      </c>
      <c r="B1762" s="1" t="str">
        <f t="shared" si="102"/>
        <v>火片通信</v>
      </c>
      <c r="C1762" t="str">
        <f>"カヘン　ツウシン"</f>
        <v>カヘン　ツウシン</v>
      </c>
      <c r="D1762" t="str">
        <f>"詩脈発行所"</f>
        <v>詩脈発行所</v>
      </c>
      <c r="E1762" t="str">
        <f>"シミャクハッコウショ"</f>
        <v>シミャクハッコウショ</v>
      </c>
      <c r="F1762" t="str">
        <f>""</f>
        <v/>
      </c>
      <c r="G1762" t="str">
        <f>"頻度不明"</f>
        <v>頻度不明</v>
      </c>
      <c r="H1762" t="str">
        <f>"2002222282553"</f>
        <v>2002222282553</v>
      </c>
      <c r="I1762" t="str">
        <f>HYPERLINK("#", "https://opac.libnet.pref.okayama.jp/licsxp-opac/WOpacMsgNewListToTifTilDetailAction.do?tilcod=2002222282553")</f>
        <v>https://opac.libnet.pref.okayama.jp/licsxp-opac/WOpacMsgNewListToTifTilDetailAction.do?tilcod=2002222282553</v>
      </c>
    </row>
    <row r="1763" spans="1:9" x14ac:dyDescent="0.4">
      <c r="A1763" t="str">
        <f>"蟷螂"</f>
        <v>蟷螂</v>
      </c>
      <c r="B1763" s="1" t="str">
        <f t="shared" si="102"/>
        <v>蟷螂</v>
      </c>
      <c r="C1763" t="str">
        <f>"カマキリ"</f>
        <v>カマキリ</v>
      </c>
      <c r="D1763" t="str">
        <f>"蟷螂俳句会"</f>
        <v>蟷螂俳句会</v>
      </c>
      <c r="E1763" t="str">
        <f>"カマキリハイクカイ"</f>
        <v>カマキリハイクカイ</v>
      </c>
      <c r="F1763" t="str">
        <f>"［出版地不明］"</f>
        <v>［出版地不明］</v>
      </c>
      <c r="G1763" t="str">
        <f>"頻度不明"</f>
        <v>頻度不明</v>
      </c>
      <c r="H1763" t="str">
        <f>"2002222284491"</f>
        <v>2002222284491</v>
      </c>
      <c r="I1763" t="str">
        <f>HYPERLINK("#", "https://opac.libnet.pref.okayama.jp/licsxp-opac/WOpacMsgNewListToTifTilDetailAction.do?tilcod=2002222284491")</f>
        <v>https://opac.libnet.pref.okayama.jp/licsxp-opac/WOpacMsgNewListToTifTilDetailAction.do?tilcod=2002222284491</v>
      </c>
    </row>
    <row r="1764" spans="1:9" x14ac:dyDescent="0.4">
      <c r="A1764" t="str">
        <f>"亀島神社だより"</f>
        <v>亀島神社だより</v>
      </c>
      <c r="B1764" s="1" t="str">
        <f t="shared" si="102"/>
        <v>亀島神社だより</v>
      </c>
      <c r="C1764" t="str">
        <f>"カメジマ　ジンジャ　ダヨリ"</f>
        <v>カメジマ　ジンジャ　ダヨリ</v>
      </c>
      <c r="D1764" t="str">
        <f>"亀島神社氏子総代"</f>
        <v>亀島神社氏子総代</v>
      </c>
      <c r="E1764" t="str">
        <f>"カメジマジンジャウジコソウダイ"</f>
        <v>カメジマジンジャウジコソウダイ</v>
      </c>
      <c r="F1764" t="str">
        <f>"倉敷"</f>
        <v>倉敷</v>
      </c>
      <c r="G1764" t="str">
        <f>"不定期刊"</f>
        <v>不定期刊</v>
      </c>
      <c r="H1764" t="str">
        <f>"2002222285271"</f>
        <v>2002222285271</v>
      </c>
      <c r="I1764" t="str">
        <f>HYPERLINK("#", "https://opac.libnet.pref.okayama.jp/licsxp-opac/WOpacMsgNewListToTifTilDetailAction.do?tilcod=2002222285271")</f>
        <v>https://opac.libnet.pref.okayama.jp/licsxp-opac/WOpacMsgNewListToTifTilDetailAction.do?tilcod=2002222285271</v>
      </c>
    </row>
    <row r="1765" spans="1:9" x14ac:dyDescent="0.4">
      <c r="A1765" t="str">
        <f>"加茂郷土史ニュース"</f>
        <v>加茂郷土史ニュース</v>
      </c>
      <c r="B1765" s="1" t="str">
        <f t="shared" si="102"/>
        <v>加茂郷土史ニュース</v>
      </c>
      <c r="C1765" t="str">
        <f>"カモ　キョウドシ　ニュース"</f>
        <v>カモ　キョウドシ　ニュース</v>
      </c>
      <c r="D1765" t="str">
        <f>"加茂郷土史研究会"</f>
        <v>加茂郷土史研究会</v>
      </c>
      <c r="E1765" t="str">
        <f>"カモ キョウドシ ケンキュウカイ"</f>
        <v>カモ キョウドシ ケンキュウカイ</v>
      </c>
      <c r="F1765" t="str">
        <f>"加茂町"</f>
        <v>加茂町</v>
      </c>
      <c r="G1765" t="str">
        <f>"頻度不明"</f>
        <v>頻度不明</v>
      </c>
      <c r="H1765" t="str">
        <f>"2002222280921"</f>
        <v>2002222280921</v>
      </c>
      <c r="I1765" t="str">
        <f>HYPERLINK("#", "https://opac.libnet.pref.okayama.jp/licsxp-opac/WOpacMsgNewListToTifTilDetailAction.do?tilcod=2002222280921")</f>
        <v>https://opac.libnet.pref.okayama.jp/licsxp-opac/WOpacMsgNewListToTifTilDetailAction.do?tilcod=2002222280921</v>
      </c>
    </row>
    <row r="1766" spans="1:9" x14ac:dyDescent="0.4">
      <c r="A1766" t="str">
        <f>"かもがた議会だより"</f>
        <v>かもがた議会だより</v>
      </c>
      <c r="B1766" s="1" t="str">
        <f t="shared" si="102"/>
        <v>かもがた議会だより</v>
      </c>
      <c r="C1766" t="str">
        <f>"カモガタ　ギカイ　ダヨリ"</f>
        <v>カモガタ　ギカイ　ダヨリ</v>
      </c>
      <c r="D1766" t="str">
        <f>"鴨方町議会"</f>
        <v>鴨方町議会</v>
      </c>
      <c r="E1766" t="str">
        <f>"カモガタチヨウギカイ"</f>
        <v>カモガタチヨウギカイ</v>
      </c>
      <c r="F1766" t="str">
        <f>"鴨方町"</f>
        <v>鴨方町</v>
      </c>
      <c r="G1766" t="str">
        <f>"その他"</f>
        <v>その他</v>
      </c>
      <c r="H1766" t="str">
        <f>"2002222293581"</f>
        <v>2002222293581</v>
      </c>
      <c r="I1766" t="str">
        <f>HYPERLINK("#", "https://opac.libnet.pref.okayama.jp/licsxp-opac/WOpacMsgNewListToTifTilDetailAction.do?tilcod=2002222293581")</f>
        <v>https://opac.libnet.pref.okayama.jp/licsxp-opac/WOpacMsgNewListToTifTilDetailAction.do?tilcod=2002222293581</v>
      </c>
    </row>
    <row r="1767" spans="1:9" x14ac:dyDescent="0.4">
      <c r="A1767" t="str">
        <f>"鴨方高等学校学校案内"</f>
        <v>鴨方高等学校学校案内</v>
      </c>
      <c r="B1767" s="1" t="str">
        <f t="shared" si="102"/>
        <v>鴨方高等学校学校案内</v>
      </c>
      <c r="C1767" t="str">
        <f>"カモガタ　コウトウ　ガッコウ　ガッコウ　アンナイ"</f>
        <v>カモガタ　コウトウ　ガッコウ　ガッコウ　アンナイ</v>
      </c>
      <c r="D1767" t="str">
        <f>"鴨方高等学校"</f>
        <v>鴨方高等学校</v>
      </c>
      <c r="E1767" t="str">
        <f>"カモガタコウトウガッコウ"</f>
        <v>カモガタコウトウガッコウ</v>
      </c>
      <c r="F1767" t="str">
        <f>"浅口"</f>
        <v>浅口</v>
      </c>
      <c r="G1767" t="str">
        <f>"年刊"</f>
        <v>年刊</v>
      </c>
      <c r="H1767" t="str">
        <f>"2002222301261"</f>
        <v>2002222301261</v>
      </c>
      <c r="I1767" t="str">
        <f>HYPERLINK("#", "https://opac.libnet.pref.okayama.jp/licsxp-opac/WOpacMsgNewListToTifTilDetailAction.do?tilcod=2002222301261")</f>
        <v>https://opac.libnet.pref.okayama.jp/licsxp-opac/WOpacMsgNewListToTifTilDetailAction.do?tilcod=2002222301261</v>
      </c>
    </row>
    <row r="1768" spans="1:9" x14ac:dyDescent="0.4">
      <c r="A1768" t="str">
        <f>"鴨方高等学校学校要覧"</f>
        <v>鴨方高等学校学校要覧</v>
      </c>
      <c r="B1768" s="1" t="str">
        <f t="shared" si="102"/>
        <v>鴨方高等学校学校要覧</v>
      </c>
      <c r="C1768" t="str">
        <f>"カモガタ　コウトウ　ガッコウ　ガッコウ　ヨウラン"</f>
        <v>カモガタ　コウトウ　ガッコウ　ガッコウ　ヨウラン</v>
      </c>
      <c r="D1768" t="str">
        <f>"鴨方高等学校"</f>
        <v>鴨方高等学校</v>
      </c>
      <c r="E1768" t="str">
        <f>"カモガタコウトウガッコウ"</f>
        <v>カモガタコウトウガッコウ</v>
      </c>
      <c r="F1768" t="str">
        <f>"鴨方町（浅口郡）"</f>
        <v>鴨方町（浅口郡）</v>
      </c>
      <c r="G1768" t="str">
        <f>"年刊"</f>
        <v>年刊</v>
      </c>
      <c r="H1768" t="str">
        <f>"2002222300537"</f>
        <v>2002222300537</v>
      </c>
      <c r="I1768" t="str">
        <f>HYPERLINK("#", "https://opac.libnet.pref.okayama.jp/licsxp-opac/WOpacMsgNewListToTifTilDetailAction.do?tilcod=2002222300537")</f>
        <v>https://opac.libnet.pref.okayama.jp/licsxp-opac/WOpacMsgNewListToTifTilDetailAction.do?tilcod=2002222300537</v>
      </c>
    </row>
    <row r="1769" spans="1:9" x14ac:dyDescent="0.4">
      <c r="A1769" t="str">
        <f>"〔鴨方高等学校〕鴨高新聞"</f>
        <v>〔鴨方高等学校〕鴨高新聞</v>
      </c>
      <c r="B1769" s="1" t="str">
        <f t="shared" si="102"/>
        <v>〔鴨方高等学校〕鴨高新聞</v>
      </c>
      <c r="C1769" t="str">
        <f>"カモガタ　コウトウ　ガッコウ＊カモコウ　シンブン"</f>
        <v>カモガタ　コウトウ　ガッコウ＊カモコウ　シンブン</v>
      </c>
      <c r="D1769" t="str">
        <f>"鴨方高等学校新聞部"</f>
        <v>鴨方高等学校新聞部</v>
      </c>
      <c r="E1769" t="str">
        <f>"カモガタコウトウガッコウシンブンブ"</f>
        <v>カモガタコウトウガッコウシンブンブ</v>
      </c>
      <c r="F1769" t="str">
        <f>"浅口"</f>
        <v>浅口</v>
      </c>
      <c r="G1769" t="str">
        <f>"頻度不明"</f>
        <v>頻度不明</v>
      </c>
      <c r="H1769" t="str">
        <f>"2002222301885"</f>
        <v>2002222301885</v>
      </c>
      <c r="I1769" t="str">
        <f>HYPERLINK("#", "https://opac.libnet.pref.okayama.jp/licsxp-opac/WOpacMsgNewListToTifTilDetailAction.do?tilcod=2002222301885")</f>
        <v>https://opac.libnet.pref.okayama.jp/licsxp-opac/WOpacMsgNewListToTifTilDetailAction.do?tilcod=2002222301885</v>
      </c>
    </row>
    <row r="1770" spans="1:9" x14ac:dyDescent="0.4">
      <c r="A1770" t="str">
        <f>"〔鴨方高等学校〕鴨高図書館報"</f>
        <v>〔鴨方高等学校〕鴨高図書館報</v>
      </c>
      <c r="B1770" s="1" t="str">
        <f t="shared" si="102"/>
        <v>〔鴨方高等学校〕鴨高図書館報</v>
      </c>
      <c r="C1770" t="str">
        <f>"カモガタ　コウトウ　ガッコウ＊カモコウ　トショカンホウ"</f>
        <v>カモガタ　コウトウ　ガッコウ＊カモコウ　トショカンホウ</v>
      </c>
      <c r="D1770" t="str">
        <f>"鴨方高等学校図書館"</f>
        <v>鴨方高等学校図書館</v>
      </c>
      <c r="E1770" t="str">
        <f>"カモガタコウトウガッコウトショカン"</f>
        <v>カモガタコウトウガッコウトショカン</v>
      </c>
      <c r="F1770" t="str">
        <f>"浅口"</f>
        <v>浅口</v>
      </c>
      <c r="G1770" t="str">
        <f>"不定期刊"</f>
        <v>不定期刊</v>
      </c>
      <c r="H1770" t="str">
        <f>"2002222301858"</f>
        <v>2002222301858</v>
      </c>
      <c r="I1770" t="str">
        <f>HYPERLINK("#", "https://opac.libnet.pref.okayama.jp/licsxp-opac/WOpacMsgNewListToTifTilDetailAction.do?tilcod=2002222301858")</f>
        <v>https://opac.libnet.pref.okayama.jp/licsxp-opac/WOpacMsgNewListToTifTilDetailAction.do?tilcod=2002222301858</v>
      </c>
    </row>
    <row r="1771" spans="1:9" x14ac:dyDescent="0.4">
      <c r="A1771" t="str">
        <f>"〔鴨方高等学校〕Ｃｏｍｍｕｎｉｔｙ　ｉｎ鴨方（コミュニティーイン鴨方）"</f>
        <v>〔鴨方高等学校〕Ｃｏｍｍｕｎｉｔｙ　ｉｎ鴨方（コミュニティーイン鴨方）</v>
      </c>
      <c r="B1771" s="1" t="str">
        <f t="shared" si="102"/>
        <v>〔鴨方高等学校〕Ｃｏｍｍｕｎｉｔｙ　ｉｎ鴨方（コミュニティーイン鴨方）</v>
      </c>
      <c r="C1771" t="str">
        <f>"カモガタ　コウトウ　ガッコウ＊コミュニティー　イン　カモガタ"</f>
        <v>カモガタ　コウトウ　ガッコウ＊コミュニティー　イン　カモガタ</v>
      </c>
      <c r="D1771" t="str">
        <f>"鴨方高等学校総務課"</f>
        <v>鴨方高等学校総務課</v>
      </c>
      <c r="E1771" t="str">
        <f>"カモガタコウトウガッコウソウムカ"</f>
        <v>カモガタコウトウガッコウソウムカ</v>
      </c>
      <c r="F1771" t="str">
        <f>"鴨方町（浅口郡）"</f>
        <v>鴨方町（浅口郡）</v>
      </c>
      <c r="G1771" t="str">
        <f>"年刊"</f>
        <v>年刊</v>
      </c>
      <c r="H1771" t="str">
        <f>"2002222301935"</f>
        <v>2002222301935</v>
      </c>
      <c r="I1771" t="str">
        <f>HYPERLINK("#", "https://opac.libnet.pref.okayama.jp/licsxp-opac/WOpacMsgNewListToTifTilDetailAction.do?tilcod=2002222301935")</f>
        <v>https://opac.libnet.pref.okayama.jp/licsxp-opac/WOpacMsgNewListToTifTilDetailAction.do?tilcod=2002222301935</v>
      </c>
    </row>
    <row r="1772" spans="1:9" x14ac:dyDescent="0.4">
      <c r="A1772" t="str">
        <f>"〔鴨方高等学校〕ＭＹ　Ｐ＆Ｔ"</f>
        <v>〔鴨方高等学校〕ＭＹ　Ｐ＆Ｔ</v>
      </c>
      <c r="B1772" s="1" t="str">
        <f t="shared" si="102"/>
        <v>〔鴨方高等学校〕ＭＹ　Ｐ＆Ｔ</v>
      </c>
      <c r="C1772" t="str">
        <f>"カモガタ　コウトウ　ガッコウ＊マイ　ピー　アンド　ティー"</f>
        <v>カモガタ　コウトウ　ガッコウ＊マイ　ピー　アンド　ティー</v>
      </c>
      <c r="D1772" t="str">
        <f>"鴨方高等学校"</f>
        <v>鴨方高等学校</v>
      </c>
      <c r="E1772" t="str">
        <f>"カモガタコウトウガッコウ"</f>
        <v>カモガタコウトウガッコウ</v>
      </c>
      <c r="F1772" t="str">
        <f>"浅口"</f>
        <v>浅口</v>
      </c>
      <c r="G1772" t="str">
        <f>"年刊"</f>
        <v>年刊</v>
      </c>
      <c r="H1772" t="str">
        <f>"2002222301842"</f>
        <v>2002222301842</v>
      </c>
      <c r="I1772" t="str">
        <f>HYPERLINK("#", "https://opac.libnet.pref.okayama.jp/licsxp-opac/WOpacMsgNewListToTifTilDetailAction.do?tilcod=2002222301842")</f>
        <v>https://opac.libnet.pref.okayama.jp/licsxp-opac/WOpacMsgNewListToTifTilDetailAction.do?tilcod=2002222301842</v>
      </c>
    </row>
    <row r="1773" spans="1:9" x14ac:dyDescent="0.4">
      <c r="A1773" t="str">
        <f>"鴨方東小学校P.T.A新聞"</f>
        <v>鴨方東小学校P.T.A新聞</v>
      </c>
      <c r="B1773" s="1" t="str">
        <f t="shared" si="102"/>
        <v>鴨方東小学校P.T.A新聞</v>
      </c>
      <c r="C1773" t="str">
        <f>"カモガタ ヒガシ ショウガッコウ ピーティーエー シンブン"</f>
        <v>カモガタ ヒガシ ショウガッコウ ピーティーエー シンブン</v>
      </c>
      <c r="D1773" t="str">
        <f>"鴨方町立鴨方東小学校P･T･A"</f>
        <v>鴨方町立鴨方東小学校P･T･A</v>
      </c>
      <c r="E1773" t="str">
        <f>"カモガタチョウリツ カモガタ ヒガシ ショウガッコウ ピーティーエー"</f>
        <v>カモガタチョウリツ カモガタ ヒガシ ショウガッコウ ピーティーエー</v>
      </c>
      <c r="F1773" t="str">
        <f>"鴨方町(浅口郡)"</f>
        <v>鴨方町(浅口郡)</v>
      </c>
      <c r="G1773" t="str">
        <f>"年２回刊"</f>
        <v>年２回刊</v>
      </c>
      <c r="H1773" t="str">
        <f>"2002222322367"</f>
        <v>2002222322367</v>
      </c>
      <c r="I1773" t="str">
        <f>HYPERLINK("#", "https://opac.libnet.pref.okayama.jp/licsxp-opac/WOpacMsgNewListToTifTilDetailAction.do?tilcod=2002222322367")</f>
        <v>https://opac.libnet.pref.okayama.jp/licsxp-opac/WOpacMsgNewListToTifTilDetailAction.do?tilcod=2002222322367</v>
      </c>
    </row>
    <row r="1774" spans="1:9" x14ac:dyDescent="0.4">
      <c r="A1774" t="str">
        <f>"かもがた町家だより"</f>
        <v>かもがた町家だより</v>
      </c>
      <c r="B1774" s="1" t="str">
        <f t="shared" si="102"/>
        <v>かもがた町家だより</v>
      </c>
      <c r="C1774" t="str">
        <f>"カモガタ　マチヤ　ダヨリ"</f>
        <v>カモガタ　マチヤ　ダヨリ</v>
      </c>
      <c r="D1774" t="str">
        <f>"かもがた町家管理組合"</f>
        <v>かもがた町家管理組合</v>
      </c>
      <c r="E1774" t="str">
        <f>"カモガタマチヤカンリクミアイ"</f>
        <v>カモガタマチヤカンリクミアイ</v>
      </c>
      <c r="F1774" t="str">
        <f>"浅口"</f>
        <v>浅口</v>
      </c>
      <c r="G1774" t="str">
        <f>"年刊"</f>
        <v>年刊</v>
      </c>
      <c r="H1774" t="str">
        <f>"2002222302257"</f>
        <v>2002222302257</v>
      </c>
      <c r="I1774" t="str">
        <f>HYPERLINK("#", "https://opac.libnet.pref.okayama.jp/licsxp-opac/WOpacMsgNewListToTifTilDetailAction.do?tilcod=2002222302257")</f>
        <v>https://opac.libnet.pref.okayama.jp/licsxp-opac/WOpacMsgNewListToTifTilDetailAction.do?tilcod=2002222302257</v>
      </c>
    </row>
    <row r="1775" spans="1:9" x14ac:dyDescent="0.4">
      <c r="A1775" t="str">
        <f>"〔鴨方町公民館〕公民館だより"</f>
        <v>〔鴨方町公民館〕公民館だより</v>
      </c>
      <c r="B1775" s="1" t="str">
        <f t="shared" si="102"/>
        <v>〔鴨方町公民館〕公民館だより</v>
      </c>
      <c r="C1775" t="str">
        <f>"カモガタチョウ　コウミンカン　コウミンカン　ダヨリ"</f>
        <v>カモガタチョウ　コウミンカン　コウミンカン　ダヨリ</v>
      </c>
      <c r="D1775" t="str">
        <f>"鴨方町公民館"</f>
        <v>鴨方町公民館</v>
      </c>
      <c r="E1775" t="str">
        <f>"カモガタチョウコウミンカン"</f>
        <v>カモガタチョウコウミンカン</v>
      </c>
      <c r="F1775" t="str">
        <f>"鴨方町（浅口郡）"</f>
        <v>鴨方町（浅口郡）</v>
      </c>
      <c r="G1775" t="str">
        <f>"頻度不明"</f>
        <v>頻度不明</v>
      </c>
      <c r="H1775" t="str">
        <f>"2002222281251"</f>
        <v>2002222281251</v>
      </c>
      <c r="I1775" t="str">
        <f>HYPERLINK("#", "https://opac.libnet.pref.okayama.jp/licsxp-opac/WOpacMsgNewListToTifTilDetailAction.do?tilcod=2002222281251")</f>
        <v>https://opac.libnet.pref.okayama.jp/licsxp-opac/WOpacMsgNewListToTifTilDetailAction.do?tilcod=2002222281251</v>
      </c>
    </row>
    <row r="1776" spans="1:9" x14ac:dyDescent="0.4">
      <c r="A1776" t="str">
        <f>"〔鴨方町〕青年団だより"</f>
        <v>〔鴨方町〕青年団だより</v>
      </c>
      <c r="B1776" s="1" t="str">
        <f t="shared" si="102"/>
        <v>〔鴨方町〕青年団だより</v>
      </c>
      <c r="C1776" t="str">
        <f>"カモガタチョウ　セイネンダン　ダヨリ"</f>
        <v>カモガタチョウ　セイネンダン　ダヨリ</v>
      </c>
      <c r="D1776" t="str">
        <f>"鴨方町青年団協議会"</f>
        <v>鴨方町青年団協議会</v>
      </c>
      <c r="E1776" t="str">
        <f>"カモガタチョウセイネンダンキョウギカイ"</f>
        <v>カモガタチョウセイネンダンキョウギカイ</v>
      </c>
      <c r="F1776" t="str">
        <f>"鴨方町（浅口郡）"</f>
        <v>鴨方町（浅口郡）</v>
      </c>
      <c r="G1776" t="str">
        <f>"頻度不明"</f>
        <v>頻度不明</v>
      </c>
      <c r="H1776" t="str">
        <f>"2002222281261"</f>
        <v>2002222281261</v>
      </c>
      <c r="I1776" t="str">
        <f>HYPERLINK("#", "https://opac.libnet.pref.okayama.jp/licsxp-opac/WOpacMsgNewListToTifTilDetailAction.do?tilcod=2002222281261")</f>
        <v>https://opac.libnet.pref.okayama.jp/licsxp-opac/WOpacMsgNewListToTifTilDetailAction.do?tilcod=2002222281261</v>
      </c>
    </row>
    <row r="1777" spans="1:9" x14ac:dyDescent="0.4">
      <c r="A1777" t="str">
        <f>"[鴨方東小学校]学校通信"</f>
        <v>[鴨方東小学校]学校通信</v>
      </c>
      <c r="B1777" s="1" t="str">
        <f t="shared" si="102"/>
        <v>[鴨方東小学校]学校通信</v>
      </c>
      <c r="C1777" t="str">
        <f>"カモガタヒガシ ショウガッコウ　ガッコウ ツウシン"</f>
        <v>カモガタヒガシ ショウガッコウ　ガッコウ ツウシン</v>
      </c>
      <c r="D1777" t="str">
        <f>"鴨方町立鴨方東小学校P･T･A"</f>
        <v>鴨方町立鴨方東小学校P･T･A</v>
      </c>
      <c r="E1777" t="str">
        <f>"カモガタチョウリツ カモガタ ヒガシ ショウガッコウ ピーティーエー"</f>
        <v>カモガタチョウリツ カモガタ ヒガシ ショウガッコウ ピーティーエー</v>
      </c>
      <c r="F1777" t="str">
        <f>"鴨方町(浅口郡)"</f>
        <v>鴨方町(浅口郡)</v>
      </c>
      <c r="G1777" t="str">
        <f>"月刊"</f>
        <v>月刊</v>
      </c>
      <c r="H1777" t="str">
        <f>"2002222322368"</f>
        <v>2002222322368</v>
      </c>
      <c r="I1777" t="str">
        <f>HYPERLINK("#", "https://opac.libnet.pref.okayama.jp/licsxp-opac/WOpacMsgNewListToTifTilDetailAction.do?tilcod=2002222322368")</f>
        <v>https://opac.libnet.pref.okayama.jp/licsxp-opac/WOpacMsgNewListToTifTilDetailAction.do?tilcod=2002222322368</v>
      </c>
    </row>
    <row r="1778" spans="1:9" x14ac:dyDescent="0.4">
      <c r="A1778" t="str">
        <f>"かもがわ町議会だより"</f>
        <v>かもがわ町議会だより</v>
      </c>
      <c r="B1778" s="1" t="str">
        <f t="shared" si="102"/>
        <v>かもがわ町議会だより</v>
      </c>
      <c r="C1778" t="str">
        <f>"カモガワチョウ　ギカイ　ダヨリ"</f>
        <v>カモガワチョウ　ギカイ　ダヨリ</v>
      </c>
      <c r="D1778" t="str">
        <f>"御津郡加茂川町議会広報誌編集委員会"</f>
        <v>御津郡加茂川町議会広報誌編集委員会</v>
      </c>
      <c r="E1778" t="str">
        <f>"ミツグンカモガワチョウギカイコウホウシヘンシュウイインカイ"</f>
        <v>ミツグンカモガワチョウギカイコウホウシヘンシュウイインカイ</v>
      </c>
      <c r="F1778" t="str">
        <f>"御津郡加茂川町"</f>
        <v>御津郡加茂川町</v>
      </c>
      <c r="G1778" t="str">
        <f>"頻度不明"</f>
        <v>頻度不明</v>
      </c>
      <c r="H1778" t="str">
        <f>"2002222281321"</f>
        <v>2002222281321</v>
      </c>
      <c r="I1778" t="str">
        <f>HYPERLINK("#", "https://opac.libnet.pref.okayama.jp/licsxp-opac/WOpacMsgNewListToTifTilDetailAction.do?tilcod=2002222281321")</f>
        <v>https://opac.libnet.pref.okayama.jp/licsxp-opac/WOpacMsgNewListToTifTilDetailAction.do?tilcod=2002222281321</v>
      </c>
    </row>
    <row r="1779" spans="1:9" x14ac:dyDescent="0.4">
      <c r="A1779" t="str">
        <f>"鴨高ガイドブック"</f>
        <v>鴨高ガイドブック</v>
      </c>
      <c r="B1779" s="1" t="str">
        <f t="shared" si="102"/>
        <v>鴨高ガイドブック</v>
      </c>
      <c r="C1779" t="str">
        <f>"カモコウ　ガイド　ブック"</f>
        <v>カモコウ　ガイド　ブック</v>
      </c>
      <c r="D1779" t="str">
        <f>"鴨方高等学校総合学科"</f>
        <v>鴨方高等学校総合学科</v>
      </c>
      <c r="E1779" t="str">
        <f>"カモガタコウトウガッコウソウゴウガッカ"</f>
        <v>カモガタコウトウガッコウソウゴウガッカ</v>
      </c>
      <c r="F1779" t="str">
        <f>"浅口"</f>
        <v>浅口</v>
      </c>
      <c r="G1779" t="str">
        <f>"年刊"</f>
        <v>年刊</v>
      </c>
      <c r="H1779" t="str">
        <f>"2002222301470"</f>
        <v>2002222301470</v>
      </c>
      <c r="I1779" t="str">
        <f>HYPERLINK("#", "https://opac.libnet.pref.okayama.jp/licsxp-opac/WOpacMsgNewListToTifTilDetailAction.do?tilcod=2002222301470")</f>
        <v>https://opac.libnet.pref.okayama.jp/licsxp-opac/WOpacMsgNewListToTifTilDetailAction.do?tilcod=2002222301470</v>
      </c>
    </row>
    <row r="1780" spans="1:9" x14ac:dyDescent="0.4">
      <c r="A1780" t="str">
        <f>"加茂町議会だより"</f>
        <v>加茂町議会だより</v>
      </c>
      <c r="B1780" s="1" t="str">
        <f t="shared" si="102"/>
        <v>加茂町議会だより</v>
      </c>
      <c r="C1780" t="str">
        <f>"カモチョウ　ギカイ　ダヨリ"</f>
        <v>カモチョウ　ギカイ　ダヨリ</v>
      </c>
      <c r="D1780" t="str">
        <f>"岡山県苫田郡加茂町議会"</f>
        <v>岡山県苫田郡加茂町議会</v>
      </c>
      <c r="E1780" t="str">
        <f>"オカヤマケントマタグンカモチョウギカイ"</f>
        <v>オカヤマケントマタグンカモチョウギカイ</v>
      </c>
      <c r="F1780" t="str">
        <f>"加茂町（苫田郡）"</f>
        <v>加茂町（苫田郡）</v>
      </c>
      <c r="G1780" t="str">
        <f>"頻度不明"</f>
        <v>頻度不明</v>
      </c>
      <c r="H1780" t="str">
        <f>"2002222301913"</f>
        <v>2002222301913</v>
      </c>
      <c r="I1780" t="str">
        <f>HYPERLINK("#", "https://opac.libnet.pref.okayama.jp/licsxp-opac/WOpacMsgNewListToTifTilDetailAction.do?tilcod=2002222301913")</f>
        <v>https://opac.libnet.pref.okayama.jp/licsxp-opac/WOpacMsgNewListToTifTilDetailAction.do?tilcod=2002222301913</v>
      </c>
    </row>
    <row r="1781" spans="1:9" x14ac:dyDescent="0.4">
      <c r="A1781" t="str">
        <f>"かもめ"</f>
        <v>かもめ</v>
      </c>
      <c r="B1781" s="1" t="str">
        <f t="shared" si="102"/>
        <v>かもめ</v>
      </c>
      <c r="C1781" t="str">
        <f>"カモメ"</f>
        <v>カモメ</v>
      </c>
      <c r="D1781" t="str">
        <f>"鉄道友の会東中国支部"</f>
        <v>鉄道友の会東中国支部</v>
      </c>
      <c r="E1781" t="str">
        <f>"テツドウトモノカイヒガシチュウゴクシブ"</f>
        <v>テツドウトモノカイヒガシチュウゴクシブ</v>
      </c>
      <c r="F1781" t="str">
        <f>""</f>
        <v/>
      </c>
      <c r="G1781" t="str">
        <f>"頻度不明"</f>
        <v>頻度不明</v>
      </c>
      <c r="H1781" t="str">
        <f>"2002222282563"</f>
        <v>2002222282563</v>
      </c>
      <c r="I1781" t="str">
        <f>HYPERLINK("#", "https://opac.libnet.pref.okayama.jp/licsxp-opac/WOpacMsgNewListToTifTilDetailAction.do?tilcod=2002222282563")</f>
        <v>https://opac.libnet.pref.okayama.jp/licsxp-opac/WOpacMsgNewListToTifTilDetailAction.do?tilcod=2002222282563</v>
      </c>
    </row>
    <row r="1782" spans="1:9" x14ac:dyDescent="0.4">
      <c r="A1782" t="str">
        <f>"かもやま；鴨方高等学校同窓会報"</f>
        <v>かもやま；鴨方高等学校同窓会報</v>
      </c>
      <c r="B1782" s="1" t="str">
        <f t="shared" si="102"/>
        <v>かもやま；鴨方高等学校同窓会報</v>
      </c>
      <c r="C1782" t="str">
        <f>"カモヤマ＊カモガタ　コウトウ　ガッコウ　ドウソウカイホウ"</f>
        <v>カモヤマ＊カモガタ　コウトウ　ガッコウ　ドウソウカイホウ</v>
      </c>
      <c r="D1782" t="str">
        <f>"鴨方高等学校同窓会"</f>
        <v>鴨方高等学校同窓会</v>
      </c>
      <c r="E1782" t="str">
        <f>"カモガタ コウトウ ガッコウ ドウソウカイ"</f>
        <v>カモガタ コウトウ ガッコウ ドウソウカイ</v>
      </c>
      <c r="F1782" t="str">
        <f>"鴨方町（浅口郡）"</f>
        <v>鴨方町（浅口郡）</v>
      </c>
      <c r="G1782" t="str">
        <f>"年刊"</f>
        <v>年刊</v>
      </c>
      <c r="H1782" t="str">
        <f>"2002222301916"</f>
        <v>2002222301916</v>
      </c>
      <c r="I1782" t="str">
        <f>HYPERLINK("#", "https://opac.libnet.pref.okayama.jp/licsxp-opac/WOpacMsgNewListToTifTilDetailAction.do?tilcod=2002222301916")</f>
        <v>https://opac.libnet.pref.okayama.jp/licsxp-opac/WOpacMsgNewListToTifTilDetailAction.do?tilcod=2002222301916</v>
      </c>
    </row>
    <row r="1783" spans="1:9" x14ac:dyDescent="0.4">
      <c r="A1783" t="str">
        <f>"岡山県外資同報"</f>
        <v>岡山県外資同報</v>
      </c>
      <c r="B1783" s="1" t="str">
        <f t="shared" si="102"/>
        <v>岡山県外資同報</v>
      </c>
      <c r="C1783" t="str">
        <f>"カヤマケン ガイシ ドウホウ"</f>
        <v>カヤマケン ガイシ ドウホウ</v>
      </c>
      <c r="D1783" t="str">
        <f>"岡山県海外引揚者連盟在外資産補償確得期成同盟岡山県本部"</f>
        <v>岡山県海外引揚者連盟在外資産補償確得期成同盟岡山県本部</v>
      </c>
      <c r="E1783" t="str">
        <f>"オカヤマケン カイガイ ヒキアゲシャ レンメイ ザイガイ シサン ホショウ カクトク キセイ ドウメイ オカヤマケン ホンブ"</f>
        <v>オカヤマケン カイガイ ヒキアゲシャ レンメイ ザイガイ シサン ホショウ カクトク キセイ ドウメイ オカヤマケン ホンブ</v>
      </c>
      <c r="F1783" t="str">
        <f>"岡山"</f>
        <v>岡山</v>
      </c>
      <c r="G1783" t="str">
        <f>"頻度不明"</f>
        <v>頻度不明</v>
      </c>
      <c r="H1783" t="str">
        <f>"2002222334074"</f>
        <v>2002222334074</v>
      </c>
      <c r="I1783" t="str">
        <f>HYPERLINK("#", "https://opac.libnet.pref.okayama.jp/licsxp-opac/WOpacMsgNewListToTifTilDetailAction.do?tilcod=2002222334074")</f>
        <v>https://opac.libnet.pref.okayama.jp/licsxp-opac/WOpacMsgNewListToTifTilDetailAction.do?tilcod=2002222334074</v>
      </c>
    </row>
    <row r="1784" spans="1:9" x14ac:dyDescent="0.4">
      <c r="A1784" t="str">
        <f>"賀陽"</f>
        <v>賀陽</v>
      </c>
      <c r="B1784" s="1" t="str">
        <f t="shared" si="102"/>
        <v>賀陽</v>
      </c>
      <c r="C1784" t="str">
        <f>"カヨウ"</f>
        <v>カヨウ</v>
      </c>
      <c r="D1784" t="str">
        <f>"賀陽文芸クラブ"</f>
        <v>賀陽文芸クラブ</v>
      </c>
      <c r="E1784" t="str">
        <f>"カヨウブンゲイカイ"</f>
        <v>カヨウブンゲイカイ</v>
      </c>
      <c r="F1784" t="str">
        <f>"上房郡賀陽町"</f>
        <v>上房郡賀陽町</v>
      </c>
      <c r="G1784" t="str">
        <f>"季刊"</f>
        <v>季刊</v>
      </c>
      <c r="H1784" t="str">
        <f>"2002222292351"</f>
        <v>2002222292351</v>
      </c>
      <c r="I1784" t="str">
        <f>HYPERLINK("#", "https://opac.libnet.pref.okayama.jp/licsxp-opac/WOpacMsgNewListToTifTilDetailAction.do?tilcod=2002222292351")</f>
        <v>https://opac.libnet.pref.okayama.jp/licsxp-opac/WOpacMsgNewListToTifTilDetailAction.do?tilcod=2002222292351</v>
      </c>
    </row>
    <row r="1785" spans="1:9" x14ac:dyDescent="0.4">
      <c r="A1785" t="str">
        <f>"賀陽文芸"</f>
        <v>賀陽文芸</v>
      </c>
      <c r="B1785" s="1" t="str">
        <f t="shared" si="102"/>
        <v>賀陽文芸</v>
      </c>
      <c r="C1785" t="str">
        <f>"カヨウ　ブンゲイ"</f>
        <v>カヨウ　ブンゲイ</v>
      </c>
      <c r="D1785" t="str">
        <f>"賀陽町公民館"</f>
        <v>賀陽町公民館</v>
      </c>
      <c r="E1785" t="str">
        <f>"カヨウチョウコウミンカン"</f>
        <v>カヨウチョウコウミンカン</v>
      </c>
      <c r="F1785" t="str">
        <f>""</f>
        <v/>
      </c>
      <c r="G1785" t="str">
        <f>"頻度不明"</f>
        <v>頻度不明</v>
      </c>
      <c r="H1785" t="str">
        <f>"2002222282573"</f>
        <v>2002222282573</v>
      </c>
      <c r="I1785" t="str">
        <f>HYPERLINK("#", "https://opac.libnet.pref.okayama.jp/licsxp-opac/WOpacMsgNewListToTifTilDetailAction.do?tilcod=2002222282573")</f>
        <v>https://opac.libnet.pref.okayama.jp/licsxp-opac/WOpacMsgNewListToTifTilDetailAction.do?tilcod=2002222282573</v>
      </c>
    </row>
    <row r="1786" spans="1:9" x14ac:dyDescent="0.4">
      <c r="A1786" t="str">
        <f>"唐琴"</f>
        <v>唐琴</v>
      </c>
      <c r="B1786" s="1" t="str">
        <f t="shared" si="102"/>
        <v>唐琴</v>
      </c>
      <c r="C1786" t="str">
        <f>"カラコト"</f>
        <v>カラコト</v>
      </c>
      <c r="D1786" t="str">
        <f>"岡山県邑久郡牛窓小学校同窓会"</f>
        <v>岡山県邑久郡牛窓小学校同窓会</v>
      </c>
      <c r="E1786" t="str">
        <f>"オカヤマケンオクグンウシマドショウガッコウドウソウカイ"</f>
        <v>オカヤマケンオクグンウシマドショウガッコウドウソウカイ</v>
      </c>
      <c r="F1786" t="str">
        <f>"瀬戸内"</f>
        <v>瀬戸内</v>
      </c>
      <c r="G1786" t="str">
        <f>"季刊"</f>
        <v>季刊</v>
      </c>
      <c r="H1786" t="str">
        <f>"2002222302064"</f>
        <v>2002222302064</v>
      </c>
      <c r="I1786" t="str">
        <f>HYPERLINK("#", "https://opac.libnet.pref.okayama.jp/licsxp-opac/WOpacMsgNewListToTifTilDetailAction.do?tilcod=2002222302064")</f>
        <v>https://opac.libnet.pref.okayama.jp/licsxp-opac/WOpacMsgNewListToTifTilDetailAction.do?tilcod=2002222302064</v>
      </c>
    </row>
    <row r="1787" spans="1:9" x14ac:dyDescent="0.4">
      <c r="A1787" t="str">
        <f>"からす；岡山市立勤労青少年ホームだより"</f>
        <v>からす；岡山市立勤労青少年ホームだより</v>
      </c>
      <c r="B1787" s="1" t="str">
        <f t="shared" si="102"/>
        <v>からす；岡山市立勤労青少年ホームだより</v>
      </c>
      <c r="C1787" t="str">
        <f>"カラス＊オカヤマシリツ　キンロウ　セイショウネン　ホーム　ダヨリ"</f>
        <v>カラス＊オカヤマシリツ　キンロウ　セイショウネン　ホーム　ダヨリ</v>
      </c>
      <c r="D1787" t="str">
        <f>"岡山市立勤労青少年ホーム"</f>
        <v>岡山市立勤労青少年ホーム</v>
      </c>
      <c r="E1787" t="str">
        <f>"オカヤマシリツ キンロウ セイショウネン ホーム"</f>
        <v>オカヤマシリツ キンロウ セイショウネン ホーム</v>
      </c>
      <c r="F1787" t="str">
        <f>"岡山"</f>
        <v>岡山</v>
      </c>
      <c r="G1787" t="str">
        <f>"年刊"</f>
        <v>年刊</v>
      </c>
      <c r="H1787" t="str">
        <f>"2002222289843"</f>
        <v>2002222289843</v>
      </c>
      <c r="I1787" t="str">
        <f>HYPERLINK("#", "https://opac.libnet.pref.okayama.jp/licsxp-opac/WOpacMsgNewListToTifTilDetailAction.do?tilcod=2002222289843")</f>
        <v>https://opac.libnet.pref.okayama.jp/licsxp-opac/WOpacMsgNewListToTifTilDetailAction.do?tilcod=2002222289843</v>
      </c>
    </row>
    <row r="1788" spans="1:9" x14ac:dyDescent="0.4">
      <c r="A1788" t="str">
        <f>"からすがせん"</f>
        <v>からすがせん</v>
      </c>
      <c r="B1788" s="1" t="str">
        <f t="shared" si="102"/>
        <v>からすがせん</v>
      </c>
      <c r="C1788" t="str">
        <f>"カラスガセン"</f>
        <v>カラスガセン</v>
      </c>
      <c r="D1788" t="str">
        <f>"津山市立高倉小学校"</f>
        <v>津山市立高倉小学校</v>
      </c>
      <c r="E1788" t="str">
        <f>"ツヤマシリツタカクラショウガッコウ"</f>
        <v>ツヤマシリツタカクラショウガッコウ</v>
      </c>
      <c r="F1788" t="str">
        <f>""</f>
        <v/>
      </c>
      <c r="G1788" t="str">
        <f>"頻度不明"</f>
        <v>頻度不明</v>
      </c>
      <c r="H1788" t="str">
        <f>"2002222282593"</f>
        <v>2002222282593</v>
      </c>
      <c r="I1788" t="str">
        <f>HYPERLINK("#", "https://opac.libnet.pref.okayama.jp/licsxp-opac/WOpacMsgNewListToTifTilDetailAction.do?tilcod=2002222282593")</f>
        <v>https://opac.libnet.pref.okayama.jp/licsxp-opac/WOpacMsgNewListToTifTilDetailAction.do?tilcod=2002222282593</v>
      </c>
    </row>
    <row r="1789" spans="1:9" x14ac:dyDescent="0.4">
      <c r="A1789" t="str">
        <f>"Colorful；HASHIMOTO HOMES LIFESTYLE MAGAZINE"</f>
        <v>Colorful；HASHIMOTO HOMES LIFESTYLE MAGAZINE</v>
      </c>
      <c r="B1789" s="1" t="str">
        <f t="shared" si="102"/>
        <v>Colorful；HASHIMOTO HOMES LIFESTYLE MAGAZINE</v>
      </c>
      <c r="C1789" t="str">
        <f>"カラフル＊ハシモト ホームズ ライフスタイル マガジン"</f>
        <v>カラフル＊ハシモト ホームズ ライフスタイル マガジン</v>
      </c>
      <c r="D1789" t="str">
        <f>"ハシモトホームズ"</f>
        <v>ハシモトホームズ</v>
      </c>
      <c r="E1789" t="str">
        <f>"ハシモト ホームズ"</f>
        <v>ハシモト ホームズ</v>
      </c>
      <c r="F1789" t="str">
        <f>"岡山"</f>
        <v>岡山</v>
      </c>
      <c r="G1789" t="str">
        <f>"隔月刊"</f>
        <v>隔月刊</v>
      </c>
      <c r="H1789" t="str">
        <f>"2002222335126"</f>
        <v>2002222335126</v>
      </c>
      <c r="I1789" t="str">
        <f>HYPERLINK("#", "https://opac.libnet.pref.okayama.jp/licsxp-opac/WOpacMsgNewListToTifTilDetailAction.do?tilcod=2002222335126")</f>
        <v>https://opac.libnet.pref.okayama.jp/licsxp-opac/WOpacMsgNewListToTifTilDetailAction.do?tilcod=2002222335126</v>
      </c>
    </row>
    <row r="1790" spans="1:9" x14ac:dyDescent="0.4">
      <c r="A1790" t="str">
        <f>"臥龍"</f>
        <v>臥龍</v>
      </c>
      <c r="B1790" s="1" t="str">
        <f t="shared" si="102"/>
        <v>臥龍</v>
      </c>
      <c r="C1790" t="str">
        <f>"ガリョウ"</f>
        <v>ガリョウ</v>
      </c>
      <c r="D1790" t="str">
        <f>"金川中学校文学部"</f>
        <v>金川中学校文学部</v>
      </c>
      <c r="E1790" t="str">
        <f>"カナガワ チュウガッコウ ブンガクブ"</f>
        <v>カナガワ チュウガッコウ ブンガクブ</v>
      </c>
      <c r="F1790" t="str">
        <f>"金川町（御津郡）"</f>
        <v>金川町（御津郡）</v>
      </c>
      <c r="G1790" t="str">
        <f>"月刊"</f>
        <v>月刊</v>
      </c>
      <c r="H1790" t="str">
        <f>"2002222326966"</f>
        <v>2002222326966</v>
      </c>
      <c r="I1790" t="str">
        <f>HYPERLINK("#", "https://opac.libnet.pref.okayama.jp/licsxp-opac/WOpacMsgNewListToTifTilDetailAction.do?tilcod=2002222326966")</f>
        <v>https://opac.libnet.pref.okayama.jp/licsxp-opac/WOpacMsgNewListToTifTilDetailAction.do?tilcod=2002222326966</v>
      </c>
    </row>
    <row r="1791" spans="1:9" x14ac:dyDescent="0.4">
      <c r="A1791" t="str">
        <f>"軽部村月々便り"</f>
        <v>軽部村月々便り</v>
      </c>
      <c r="B1791" s="1" t="str">
        <f t="shared" si="102"/>
        <v>軽部村月々便り</v>
      </c>
      <c r="C1791" t="str">
        <f>"カルベムラ　ツキズキ　ダヨリ"</f>
        <v>カルベムラ　ツキズキ　ダヨリ</v>
      </c>
      <c r="D1791" t="str">
        <f>"利守酒造"</f>
        <v>利守酒造</v>
      </c>
      <c r="E1791" t="str">
        <f>"トシモリシュゾウ"</f>
        <v>トシモリシュゾウ</v>
      </c>
      <c r="F1791" t="str">
        <f>"赤磐"</f>
        <v>赤磐</v>
      </c>
      <c r="G1791" t="str">
        <f>"隔月刊"</f>
        <v>隔月刊</v>
      </c>
      <c r="H1791" t="str">
        <f>"2002222300800"</f>
        <v>2002222300800</v>
      </c>
      <c r="I1791" t="str">
        <f>HYPERLINK("#", "https://opac.libnet.pref.okayama.jp/licsxp-opac/WOpacMsgNewListToTifTilDetailAction.do?tilcod=2002222300800")</f>
        <v>https://opac.libnet.pref.okayama.jp/licsxp-opac/WOpacMsgNewListToTifTilDetailAction.do?tilcod=2002222300800</v>
      </c>
    </row>
    <row r="1792" spans="1:9" x14ac:dyDescent="0.4">
      <c r="A1792" t="str">
        <f>"カレッジ通信"</f>
        <v>カレッジ通信</v>
      </c>
      <c r="B1792" s="1" t="str">
        <f t="shared" si="102"/>
        <v>カレッジ通信</v>
      </c>
      <c r="C1792" t="str">
        <f>"カレッジ ツウシン"</f>
        <v>カレッジ ツウシン</v>
      </c>
      <c r="D1792" t="str">
        <f>"カレッジ旭川荘"</f>
        <v>カレッジ旭川荘</v>
      </c>
      <c r="E1792" t="str">
        <f>"カレッジ アサヒガワソウ"</f>
        <v>カレッジ アサヒガワソウ</v>
      </c>
      <c r="F1792" t="str">
        <f>"岡山"</f>
        <v>岡山</v>
      </c>
      <c r="G1792" t="str">
        <f>"年２回刊"</f>
        <v>年２回刊</v>
      </c>
      <c r="H1792" t="str">
        <f>"2002222332347"</f>
        <v>2002222332347</v>
      </c>
      <c r="I1792" t="str">
        <f>HYPERLINK("#", "https://opac.libnet.pref.okayama.jp/licsxp-opac/WOpacMsgNewListToTifTilDetailAction.do?tilcod=2002222332347")</f>
        <v>https://opac.libnet.pref.okayama.jp/licsxp-opac/WOpacMsgNewListToTifTilDetailAction.do?tilcod=2002222332347</v>
      </c>
    </row>
    <row r="1793" spans="1:9" x14ac:dyDescent="0.4">
      <c r="A1793" t="str">
        <f>"画廊通信"</f>
        <v>画廊通信</v>
      </c>
      <c r="B1793" s="1" t="str">
        <f t="shared" si="102"/>
        <v>画廊通信</v>
      </c>
      <c r="C1793" t="str">
        <f>"ガロウ　ツウシン"</f>
        <v>ガロウ　ツウシン</v>
      </c>
      <c r="D1793" t="str">
        <f>"上之町画廊"</f>
        <v>上之町画廊</v>
      </c>
      <c r="E1793" t="str">
        <f>"カミノチョウガロウ"</f>
        <v>カミノチョウガロウ</v>
      </c>
      <c r="F1793" t="str">
        <f>""</f>
        <v/>
      </c>
      <c r="G1793" t="str">
        <f>"頻度不明"</f>
        <v>頻度不明</v>
      </c>
      <c r="H1793" t="str">
        <f>"2002222282603"</f>
        <v>2002222282603</v>
      </c>
      <c r="I1793" t="str">
        <f>HYPERLINK("#", "https://opac.libnet.pref.okayama.jp/licsxp-opac/WOpacMsgNewListToTifTilDetailAction.do?tilcod=2002222282603")</f>
        <v>https://opac.libnet.pref.okayama.jp/licsxp-opac/WOpacMsgNewListToTifTilDetailAction.do?tilcod=2002222282603</v>
      </c>
    </row>
    <row r="1794" spans="1:9" x14ac:dyDescent="0.4">
      <c r="A1794" t="str">
        <f>"画廊の窓から"</f>
        <v>画廊の窓から</v>
      </c>
      <c r="B1794" s="1" t="str">
        <f t="shared" si="102"/>
        <v>画廊の窓から</v>
      </c>
      <c r="C1794" t="str">
        <f>"ガロウ　ノ　マド　カラ"</f>
        <v>ガロウ　ノ　マド　カラ</v>
      </c>
      <c r="D1794" t="str">
        <f>"ギャラリー備前"</f>
        <v>ギャラリー備前</v>
      </c>
      <c r="E1794" t="str">
        <f>"ギャラリービゼン"</f>
        <v>ギャラリービゼン</v>
      </c>
      <c r="F1794" t="str">
        <f>""</f>
        <v/>
      </c>
      <c r="G1794" t="str">
        <f>"頻度不明"</f>
        <v>頻度不明</v>
      </c>
      <c r="H1794" t="str">
        <f>"2002222282613"</f>
        <v>2002222282613</v>
      </c>
      <c r="I1794" t="str">
        <f>HYPERLINK("#", "https://opac.libnet.pref.okayama.jp/licsxp-opac/WOpacMsgNewListToTifTilDetailAction.do?tilcod=2002222282613")</f>
        <v>https://opac.libnet.pref.okayama.jp/licsxp-opac/WOpacMsgNewListToTifTilDetailAction.do?tilcod=2002222282613</v>
      </c>
    </row>
    <row r="1795" spans="1:9" x14ac:dyDescent="0.4">
      <c r="A1795" t="str">
        <f>"川"</f>
        <v>川</v>
      </c>
      <c r="B1795" s="1" t="str">
        <f t="shared" si="102"/>
        <v>川</v>
      </c>
      <c r="C1795" t="str">
        <f>"カワ"</f>
        <v>カワ</v>
      </c>
      <c r="D1795" t="str">
        <f>"川の会"</f>
        <v>川の会</v>
      </c>
      <c r="E1795" t="str">
        <f>"カワノカイ"</f>
        <v>カワノカイ</v>
      </c>
      <c r="F1795" t="str">
        <f>""</f>
        <v/>
      </c>
      <c r="G1795" t="str">
        <f>"頻度不明"</f>
        <v>頻度不明</v>
      </c>
      <c r="H1795" t="str">
        <f>"2002222282623"</f>
        <v>2002222282623</v>
      </c>
      <c r="I1795" t="str">
        <f>HYPERLINK("#", "https://opac.libnet.pref.okayama.jp/licsxp-opac/WOpacMsgNewListToTifTilDetailAction.do?tilcod=2002222282623")</f>
        <v>https://opac.libnet.pref.okayama.jp/licsxp-opac/WOpacMsgNewListToTifTilDetailAction.do?tilcod=2002222282623</v>
      </c>
    </row>
    <row r="1796" spans="1:9" x14ac:dyDescent="0.4">
      <c r="A1796" t="str">
        <f>"川上教育タイムス"</f>
        <v>川上教育タイムス</v>
      </c>
      <c r="B1796" s="1" t="str">
        <f t="shared" ref="B1796:B1859" si="103">HYPERLINK("#", A1796)</f>
        <v>川上教育タイムス</v>
      </c>
      <c r="C1796" t="str">
        <f>"カワカミ　キョウイク　タイムス"</f>
        <v>カワカミ　キョウイク　タイムス</v>
      </c>
      <c r="D1796" t="str">
        <f>"川上郡教育振興会"</f>
        <v>川上郡教育振興会</v>
      </c>
      <c r="E1796" t="str">
        <f>"カワカミグンキョウイクシンコウカイ"</f>
        <v>カワカミグンキョウイクシンコウカイ</v>
      </c>
      <c r="F1796" t="str">
        <f>""</f>
        <v/>
      </c>
      <c r="G1796" t="str">
        <f>"頻度不明"</f>
        <v>頻度不明</v>
      </c>
      <c r="H1796" t="str">
        <f>"2002222282643"</f>
        <v>2002222282643</v>
      </c>
      <c r="I1796" t="str">
        <f>HYPERLINK("#", "https://opac.libnet.pref.okayama.jp/licsxp-opac/WOpacMsgNewListToTifTilDetailAction.do?tilcod=2002222282643")</f>
        <v>https://opac.libnet.pref.okayama.jp/licsxp-opac/WOpacMsgNewListToTifTilDetailAction.do?tilcod=2002222282643</v>
      </c>
    </row>
    <row r="1797" spans="1:9" x14ac:dyDescent="0.4">
      <c r="A1797" t="str">
        <f>"川上社教タイムス"</f>
        <v>川上社教タイムス</v>
      </c>
      <c r="B1797" s="1" t="str">
        <f t="shared" si="103"/>
        <v>川上社教タイムス</v>
      </c>
      <c r="C1797" t="str">
        <f>"カワカミ　シャキョウ　タイムス"</f>
        <v>カワカミ　シャキョウ　タイムス</v>
      </c>
      <c r="D1797" t="str">
        <f>"川上郡社会教育協会"</f>
        <v>川上郡社会教育協会</v>
      </c>
      <c r="E1797" t="str">
        <f>"カワカミグン シャカイ キョウイク キョウカイ"</f>
        <v>カワカミグン シャカイ キョウイク キョウカイ</v>
      </c>
      <c r="F1797" t="str">
        <f>""</f>
        <v/>
      </c>
      <c r="G1797" t="str">
        <f>"頻度不明"</f>
        <v>頻度不明</v>
      </c>
      <c r="H1797" t="str">
        <f>"2002222282653"</f>
        <v>2002222282653</v>
      </c>
      <c r="I1797" t="str">
        <f>HYPERLINK("#", "https://opac.libnet.pref.okayama.jp/licsxp-opac/WOpacMsgNewListToTifTilDetailAction.do?tilcod=2002222282653")</f>
        <v>https://opac.libnet.pref.okayama.jp/licsxp-opac/WOpacMsgNewListToTifTilDetailAction.do?tilcod=2002222282653</v>
      </c>
    </row>
    <row r="1798" spans="1:9" x14ac:dyDescent="0.4">
      <c r="A1798" t="str">
        <f>"川上農業高等学校学校案内"</f>
        <v>川上農業高等学校学校案内</v>
      </c>
      <c r="B1798" s="1" t="str">
        <f t="shared" si="103"/>
        <v>川上農業高等学校学校案内</v>
      </c>
      <c r="C1798" t="str">
        <f>"カワカミ　ノウギョウ　コウトウ　ガッコウ　ガッコウ　アンナイ"</f>
        <v>カワカミ　ノウギョウ　コウトウ　ガッコウ　ガッコウ　アンナイ</v>
      </c>
      <c r="D1798" t="str">
        <f>"川上農業高等学校"</f>
        <v>川上農業高等学校</v>
      </c>
      <c r="E1798" t="str">
        <f>"カワカミノウギョウコウトウガッコウ"</f>
        <v>カワカミノウギョウコウトウガッコウ</v>
      </c>
      <c r="F1798" t="str">
        <f>"川上町（川上郡）"</f>
        <v>川上町（川上郡）</v>
      </c>
      <c r="G1798" t="str">
        <f>"年刊"</f>
        <v>年刊</v>
      </c>
      <c r="H1798" t="str">
        <f>"2002222301226"</f>
        <v>2002222301226</v>
      </c>
      <c r="I1798" t="str">
        <f>HYPERLINK("#", "https://opac.libnet.pref.okayama.jp/licsxp-opac/WOpacMsgNewListToTifTilDetailAction.do?tilcod=2002222301226")</f>
        <v>https://opac.libnet.pref.okayama.jp/licsxp-opac/WOpacMsgNewListToTifTilDetailAction.do?tilcod=2002222301226</v>
      </c>
    </row>
    <row r="1799" spans="1:9" x14ac:dyDescent="0.4">
      <c r="A1799" t="str">
        <f>"川上農業高等学校学校要覧"</f>
        <v>川上農業高等学校学校要覧</v>
      </c>
      <c r="B1799" s="1" t="str">
        <f t="shared" si="103"/>
        <v>川上農業高等学校学校要覧</v>
      </c>
      <c r="C1799" t="str">
        <f>"カワカミ　ノウギョウ　コウトウ　ガッコウ　ガッコウ　ヨウラン"</f>
        <v>カワカミ　ノウギョウ　コウトウ　ガッコウ　ガッコウ　ヨウラン</v>
      </c>
      <c r="D1799" t="str">
        <f>"川上農業高等学校"</f>
        <v>川上農業高等学校</v>
      </c>
      <c r="E1799" t="str">
        <f>"カワカミノウギョウコウトウガッコウ"</f>
        <v>カワカミノウギョウコウトウガッコウ</v>
      </c>
      <c r="F1799" t="str">
        <f>"川上町（川上郡）"</f>
        <v>川上町（川上郡）</v>
      </c>
      <c r="G1799" t="str">
        <f>"年刊"</f>
        <v>年刊</v>
      </c>
      <c r="H1799" t="str">
        <f>"2002222300542"</f>
        <v>2002222300542</v>
      </c>
      <c r="I1799" t="str">
        <f>HYPERLINK("#", "https://opac.libnet.pref.okayama.jp/licsxp-opac/WOpacMsgNewListToTifTilDetailAction.do?tilcod=2002222300542")</f>
        <v>https://opac.libnet.pref.okayama.jp/licsxp-opac/WOpacMsgNewListToTifTilDetailAction.do?tilcod=2002222300542</v>
      </c>
    </row>
    <row r="1800" spans="1:9" x14ac:dyDescent="0.4">
      <c r="A1800" t="str">
        <f>"かわかみ；川上郡中学生文集"</f>
        <v>かわかみ；川上郡中学生文集</v>
      </c>
      <c r="B1800" s="1" t="str">
        <f t="shared" si="103"/>
        <v>かわかみ；川上郡中学生文集</v>
      </c>
      <c r="C1800" t="str">
        <f>"カワカミ＊カワカミグン　チュウガクセイ　ブンシュウ"</f>
        <v>カワカミ＊カワカミグン　チュウガクセイ　ブンシュウ</v>
      </c>
      <c r="D1800" t="str">
        <f>"川上郡中学校国語教育研究会"</f>
        <v>川上郡中学校国語教育研究会</v>
      </c>
      <c r="E1800" t="str">
        <f>"カワカミグンチュウガッコウコクゴキョウイクケンキュウカイ"</f>
        <v>カワカミグンチュウガッコウコクゴキョウイクケンキュウカイ</v>
      </c>
      <c r="F1800" t="str">
        <f>""</f>
        <v/>
      </c>
      <c r="G1800" t="str">
        <f>"不定期刊"</f>
        <v>不定期刊</v>
      </c>
      <c r="H1800" t="str">
        <f>"2002222282633"</f>
        <v>2002222282633</v>
      </c>
      <c r="I1800" t="str">
        <f>HYPERLINK("#", "https://opac.libnet.pref.okayama.jp/licsxp-opac/WOpacMsgNewListToTifTilDetailAction.do?tilcod=2002222282633")</f>
        <v>https://opac.libnet.pref.okayama.jp/licsxp-opac/WOpacMsgNewListToTifTilDetailAction.do?tilcod=2002222282633</v>
      </c>
    </row>
    <row r="1801" spans="1:9" x14ac:dyDescent="0.4">
      <c r="A1801" t="str">
        <f>"[川上郡成羽町立小泉小学校]学校要覧"</f>
        <v>[川上郡成羽町立小泉小学校]学校要覧</v>
      </c>
      <c r="B1801" s="1" t="str">
        <f t="shared" si="103"/>
        <v>[川上郡成羽町立小泉小学校]学校要覧</v>
      </c>
      <c r="C1801" t="str">
        <f>"カワカミグン ナリワチョウリツ コイズミ ショウガッコウ ガッコウ ヨウラン"</f>
        <v>カワカミグン ナリワチョウリツ コイズミ ショウガッコウ ガッコウ ヨウラン</v>
      </c>
      <c r="D1801" t="str">
        <f>"川上郡成羽町立小泉小学校"</f>
        <v>川上郡成羽町立小泉小学校</v>
      </c>
      <c r="E1801" t="str">
        <f>"カワカミグン ナリワチョウリツ コイズミ ショウガッコウ"</f>
        <v>カワカミグン ナリワチョウリツ コイズミ ショウガッコウ</v>
      </c>
      <c r="F1801" t="str">
        <f>"岡山"</f>
        <v>岡山</v>
      </c>
      <c r="G1801" t="str">
        <f>"年刊"</f>
        <v>年刊</v>
      </c>
      <c r="H1801" t="str">
        <f>"2002222339670"</f>
        <v>2002222339670</v>
      </c>
      <c r="I1801" t="str">
        <f>HYPERLINK("#", "https://opac.libnet.pref.okayama.jp/licsxp-opac/WOpacMsgNewListToTifTilDetailAction.do?tilcod=2002222339670")</f>
        <v>https://opac.libnet.pref.okayama.jp/licsxp-opac/WOpacMsgNewListToTifTilDetailAction.do?tilcod=2002222339670</v>
      </c>
    </row>
    <row r="1802" spans="1:9" x14ac:dyDescent="0.4">
      <c r="A1802" t="str">
        <f>"かわさき"</f>
        <v>かわさき</v>
      </c>
      <c r="B1802" s="1" t="str">
        <f t="shared" si="103"/>
        <v>かわさき</v>
      </c>
      <c r="C1802" t="str">
        <f>"カワサキ"</f>
        <v>カワサキ</v>
      </c>
      <c r="D1802" t="str">
        <f>"川崎医科大学附属病院"</f>
        <v>川崎医科大学附属病院</v>
      </c>
      <c r="E1802" t="str">
        <f>"カワサキ イカ ダイガク フゾク ビョウイン"</f>
        <v>カワサキ イカ ダイガク フゾク ビョウイン</v>
      </c>
      <c r="F1802" t="str">
        <f t="shared" ref="F1802:F1809" si="104">"倉敷"</f>
        <v>倉敷</v>
      </c>
      <c r="G1802" t="str">
        <f>"季刊"</f>
        <v>季刊</v>
      </c>
      <c r="H1802" t="str">
        <f>"2002222302355"</f>
        <v>2002222302355</v>
      </c>
      <c r="I1802" t="str">
        <f>HYPERLINK("#", "https://opac.libnet.pref.okayama.jp/licsxp-opac/WOpacMsgNewListToTifTilDetailAction.do?tilcod=2002222302355")</f>
        <v>https://opac.libnet.pref.okayama.jp/licsxp-opac/WOpacMsgNewListToTifTilDetailAction.do?tilcod=2002222302355</v>
      </c>
    </row>
    <row r="1803" spans="1:9" x14ac:dyDescent="0.4">
      <c r="A1803" t="str">
        <f>"川崎医科大学学報"</f>
        <v>川崎医科大学学報</v>
      </c>
      <c r="B1803" s="1" t="str">
        <f t="shared" si="103"/>
        <v>川崎医科大学学報</v>
      </c>
      <c r="C1803" t="str">
        <f>"カワサキ　イカ　ダイガク　ガクホウ"</f>
        <v>カワサキ　イカ　ダイガク　ガクホウ</v>
      </c>
      <c r="D1803" t="str">
        <f>"川崎医科大学学務課"</f>
        <v>川崎医科大学学務課</v>
      </c>
      <c r="E1803" t="str">
        <f>"カワサキイカダイガクガクムカ"</f>
        <v>カワサキイカダイガクガクムカ</v>
      </c>
      <c r="F1803" t="str">
        <f t="shared" si="104"/>
        <v>倉敷</v>
      </c>
      <c r="G1803" t="str">
        <f>"年２回刊"</f>
        <v>年２回刊</v>
      </c>
      <c r="H1803" t="str">
        <f>"2002222302357"</f>
        <v>2002222302357</v>
      </c>
      <c r="I1803" t="str">
        <f>HYPERLINK("#", "https://opac.libnet.pref.okayama.jp/licsxp-opac/WOpacMsgNewListToTifTilDetailAction.do?tilcod=2002222302357")</f>
        <v>https://opac.libnet.pref.okayama.jp/licsxp-opac/WOpacMsgNewListToTifTilDetailAction.do?tilcod=2002222302357</v>
      </c>
    </row>
    <row r="1804" spans="1:9" x14ac:dyDescent="0.4">
      <c r="A1804" t="str">
        <f>"川崎医科大学学報；学生版"</f>
        <v>川崎医科大学学報；学生版</v>
      </c>
      <c r="B1804" s="1" t="str">
        <f t="shared" si="103"/>
        <v>川崎医科大学学報；学生版</v>
      </c>
      <c r="C1804" t="str">
        <f>"カワサキ　イカ　ダイガク　ガクホウ＊ガクセイ　バン"</f>
        <v>カワサキ　イカ　ダイガク　ガクホウ＊ガクセイ　バン</v>
      </c>
      <c r="D1804" t="str">
        <f>"川崎医科大学学務課"</f>
        <v>川崎医科大学学務課</v>
      </c>
      <c r="E1804" t="str">
        <f>"カワサキイカダイガクガクムカ"</f>
        <v>カワサキイカダイガクガクムカ</v>
      </c>
      <c r="F1804" t="str">
        <f t="shared" si="104"/>
        <v>倉敷</v>
      </c>
      <c r="G1804" t="str">
        <f>"年２回刊"</f>
        <v>年２回刊</v>
      </c>
      <c r="H1804" t="str">
        <f>"2002222302356"</f>
        <v>2002222302356</v>
      </c>
      <c r="I1804" t="str">
        <f>HYPERLINK("#", "https://opac.libnet.pref.okayama.jp/licsxp-opac/WOpacMsgNewListToTifTilDetailAction.do?tilcod=2002222302356")</f>
        <v>https://opac.libnet.pref.okayama.jp/licsxp-opac/WOpacMsgNewListToTifTilDetailAction.do?tilcod=2002222302356</v>
      </c>
    </row>
    <row r="1805" spans="1:9" x14ac:dyDescent="0.4">
      <c r="A1805" t="str">
        <f>"川崎医科大学父兄会会報"</f>
        <v>川崎医科大学父兄会会報</v>
      </c>
      <c r="B1805" s="1" t="str">
        <f t="shared" si="103"/>
        <v>川崎医科大学父兄会会報</v>
      </c>
      <c r="C1805" t="str">
        <f>"カワサキ　イカ　ダイガク　フケイ　カイ　カイホウ"</f>
        <v>カワサキ　イカ　ダイガク　フケイ　カイ　カイホウ</v>
      </c>
      <c r="D1805" t="str">
        <f>"川崎医科大学父兄会"</f>
        <v>川崎医科大学父兄会</v>
      </c>
      <c r="E1805" t="str">
        <f>"カワサキイカダイガクフケイカイ"</f>
        <v>カワサキイカダイガクフケイカイ</v>
      </c>
      <c r="F1805" t="str">
        <f t="shared" si="104"/>
        <v>倉敷</v>
      </c>
      <c r="G1805" t="str">
        <f>"頻度不明"</f>
        <v>頻度不明</v>
      </c>
      <c r="H1805" t="str">
        <f>"2002222281394"</f>
        <v>2002222281394</v>
      </c>
      <c r="I1805" t="str">
        <f>HYPERLINK("#", "https://opac.libnet.pref.okayama.jp/licsxp-opac/WOpacMsgNewListToTifTilDetailAction.do?tilcod=2002222281394")</f>
        <v>https://opac.libnet.pref.okayama.jp/licsxp-opac/WOpacMsgNewListToTifTilDetailAction.do?tilcod=2002222281394</v>
      </c>
    </row>
    <row r="1806" spans="1:9" x14ac:dyDescent="0.4">
      <c r="A1806" t="str">
        <f>"川崎医科大学附属高等学校学校案内"</f>
        <v>川崎医科大学附属高等学校学校案内</v>
      </c>
      <c r="B1806" s="1" t="str">
        <f t="shared" si="103"/>
        <v>川崎医科大学附属高等学校学校案内</v>
      </c>
      <c r="C1806" t="str">
        <f>"カワサキ　イカ　ダイガク　フゾク　コウトウ　ガッコウ　ガッコウ　アンナイ"</f>
        <v>カワサキ　イカ　ダイガク　フゾク　コウトウ　ガッコウ　ガッコウ　アンナイ</v>
      </c>
      <c r="D1806" t="str">
        <f>"川崎医科大学附属高等学校"</f>
        <v>川崎医科大学附属高等学校</v>
      </c>
      <c r="E1806" t="str">
        <f>"カワサキイカダイガクフゾクコウトウガッコウ"</f>
        <v>カワサキイカダイガクフゾクコウトウガッコウ</v>
      </c>
      <c r="F1806" t="str">
        <f t="shared" si="104"/>
        <v>倉敷</v>
      </c>
      <c r="G1806" t="str">
        <f>"年刊"</f>
        <v>年刊</v>
      </c>
      <c r="H1806" t="str">
        <f>"2002222301272"</f>
        <v>2002222301272</v>
      </c>
      <c r="I1806" t="str">
        <f>HYPERLINK("#", "https://opac.libnet.pref.okayama.jp/licsxp-opac/WOpacMsgNewListToTifTilDetailAction.do?tilcod=2002222301272")</f>
        <v>https://opac.libnet.pref.okayama.jp/licsxp-opac/WOpacMsgNewListToTifTilDetailAction.do?tilcod=2002222301272</v>
      </c>
    </row>
    <row r="1807" spans="1:9" x14ac:dyDescent="0.4">
      <c r="A1807" t="str">
        <f>"川崎医科大学附属高等学校学校要覧"</f>
        <v>川崎医科大学附属高等学校学校要覧</v>
      </c>
      <c r="B1807" s="1" t="str">
        <f t="shared" si="103"/>
        <v>川崎医科大学附属高等学校学校要覧</v>
      </c>
      <c r="C1807" t="str">
        <f>"カワサキ　イカ　ダイガク　フゾク　コウトウ　ガッコウ　ガッコウ　ヨウラン"</f>
        <v>カワサキ　イカ　ダイガク　フゾク　コウトウ　ガッコウ　ガッコウ　ヨウラン</v>
      </c>
      <c r="D1807" t="str">
        <f>"川崎医科大学附属高等学校"</f>
        <v>川崎医科大学附属高等学校</v>
      </c>
      <c r="E1807" t="str">
        <f>"カワサキイカダイガクフゾクコウトウガッコウ"</f>
        <v>カワサキイカダイガクフゾクコウトウガッコウ</v>
      </c>
      <c r="F1807" t="str">
        <f t="shared" si="104"/>
        <v>倉敷</v>
      </c>
      <c r="G1807" t="str">
        <f>"年刊"</f>
        <v>年刊</v>
      </c>
      <c r="H1807" t="str">
        <f>"2002222300578"</f>
        <v>2002222300578</v>
      </c>
      <c r="I1807" t="str">
        <f>HYPERLINK("#", "https://opac.libnet.pref.okayama.jp/licsxp-opac/WOpacMsgNewListToTifTilDetailAction.do?tilcod=2002222300578")</f>
        <v>https://opac.libnet.pref.okayama.jp/licsxp-opac/WOpacMsgNewListToTifTilDetailAction.do?tilcod=2002222300578</v>
      </c>
    </row>
    <row r="1808" spans="1:9" x14ac:dyDescent="0.4">
      <c r="A1808" t="str">
        <f>"[川崎医科大学附属高等学校]いくさか"</f>
        <v>[川崎医科大学附属高等学校]いくさか</v>
      </c>
      <c r="B1808" s="1" t="str">
        <f t="shared" si="103"/>
        <v>[川崎医科大学附属高等学校]いくさか</v>
      </c>
      <c r="C1808" t="str">
        <f>"カワサキ イカ ダイガク フゾク コウトウ ガッコウ＊イクサカ"</f>
        <v>カワサキ イカ ダイガク フゾク コウトウ ガッコウ＊イクサカ</v>
      </c>
      <c r="D1808" t="str">
        <f>"川崎医科大学附属高等学校"</f>
        <v>川崎医科大学附属高等学校</v>
      </c>
      <c r="E1808" t="str">
        <f>"カワサキ イカ ダイガク フゾク コウトウ ガッコウ"</f>
        <v>カワサキ イカ ダイガク フゾク コウトウ ガッコウ</v>
      </c>
      <c r="F1808" t="str">
        <f t="shared" si="104"/>
        <v>倉敷</v>
      </c>
      <c r="G1808" t="str">
        <f>"頻度不明"</f>
        <v>頻度不明</v>
      </c>
      <c r="H1808" t="str">
        <f>"2002222311911"</f>
        <v>2002222311911</v>
      </c>
      <c r="I1808" t="str">
        <f>HYPERLINK("#", "https://opac.libnet.pref.okayama.jp/licsxp-opac/WOpacMsgNewListToTifTilDetailAction.do?tilcod=2002222311911")</f>
        <v>https://opac.libnet.pref.okayama.jp/licsxp-opac/WOpacMsgNewListToTifTilDetailAction.do?tilcod=2002222311911</v>
      </c>
    </row>
    <row r="1809" spans="1:9" x14ac:dyDescent="0.4">
      <c r="A1809" t="str">
        <f>"〔川崎医科大学附属高等学校〕謳歌"</f>
        <v>〔川崎医科大学附属高等学校〕謳歌</v>
      </c>
      <c r="B1809" s="1" t="str">
        <f t="shared" si="103"/>
        <v>〔川崎医科大学附属高等学校〕謳歌</v>
      </c>
      <c r="C1809" t="str">
        <f>"カワサキ　イカダイガク　フゾク　コウトウ　ガッコウ＊オウカ"</f>
        <v>カワサキ　イカダイガク　フゾク　コウトウ　ガッコウ＊オウカ</v>
      </c>
      <c r="D1809" t="str">
        <f>"川崎医科大学附属高等学校生徒会"</f>
        <v>川崎医科大学附属高等学校生徒会</v>
      </c>
      <c r="E1809" t="str">
        <f>"カワサキイカダイガクフゾクコウトウガッコウセイトカイ"</f>
        <v>カワサキイカダイガクフゾクコウトウガッコウセイトカイ</v>
      </c>
      <c r="F1809" t="str">
        <f t="shared" si="104"/>
        <v>倉敷</v>
      </c>
      <c r="G1809" t="str">
        <f>"年刊"</f>
        <v>年刊</v>
      </c>
      <c r="H1809" t="str">
        <f>"2002222288283"</f>
        <v>2002222288283</v>
      </c>
      <c r="I1809" t="str">
        <f>HYPERLINK("#", "https://opac.libnet.pref.okayama.jp/licsxp-opac/WOpacMsgNewListToTifTilDetailAction.do?tilcod=2002222288283")</f>
        <v>https://opac.libnet.pref.okayama.jp/licsxp-opac/WOpacMsgNewListToTifTilDetailAction.do?tilcod=2002222288283</v>
      </c>
    </row>
    <row r="1810" spans="1:9" x14ac:dyDescent="0.4">
      <c r="A1810" t="str">
        <f>"川崎医福大ニュース"</f>
        <v>川崎医福大ニュース</v>
      </c>
      <c r="B1810" s="1" t="str">
        <f t="shared" si="103"/>
        <v>川崎医福大ニュース</v>
      </c>
      <c r="C1810" t="str">
        <f>"カワサキ　イフク　ダイ　ニュース"</f>
        <v>カワサキ　イフク　ダイ　ニュース</v>
      </c>
      <c r="D1810" t="str">
        <f>"川崎医療福祉大学広報編集委員会"</f>
        <v>川崎医療福祉大学広報編集委員会</v>
      </c>
      <c r="E1810" t="str">
        <f>"カワサキイリョウフクシダイガクコウホウヘンシュウイインカイ"</f>
        <v>カワサキイリョウフクシダイガクコウホウヘンシュウイインカイ</v>
      </c>
      <c r="F1810" t="str">
        <f>"〔倉敷〕"</f>
        <v>〔倉敷〕</v>
      </c>
      <c r="G1810" t="str">
        <f>"頻度不明"</f>
        <v>頻度不明</v>
      </c>
      <c r="H1810" t="str">
        <f>"2002222281404"</f>
        <v>2002222281404</v>
      </c>
      <c r="I1810" t="str">
        <f>HYPERLINK("#", "https://opac.libnet.pref.okayama.jp/licsxp-opac/WOpacMsgNewListToTifTilDetailAction.do?tilcod=2002222281404")</f>
        <v>https://opac.libnet.pref.okayama.jp/licsxp-opac/WOpacMsgNewListToTifTilDetailAction.do?tilcod=2002222281404</v>
      </c>
    </row>
    <row r="1811" spans="1:9" x14ac:dyDescent="0.4">
      <c r="A1811" t="str">
        <f>"川崎医療短期大学紀要"</f>
        <v>川崎医療短期大学紀要</v>
      </c>
      <c r="B1811" s="1" t="str">
        <f t="shared" si="103"/>
        <v>川崎医療短期大学紀要</v>
      </c>
      <c r="C1811" t="str">
        <f>"カワサキ　イリョウ　タンキ　ダイガク＊キヨウ"</f>
        <v>カワサキ　イリョウ　タンキ　ダイガク＊キヨウ</v>
      </c>
      <c r="D1811" t="str">
        <f>"川崎医療短期大学"</f>
        <v>川崎医療短期大学</v>
      </c>
      <c r="E1811" t="str">
        <f>"カワサキ イリョウ タンキ ダイガク"</f>
        <v>カワサキ イリョウ タンキ ダイガク</v>
      </c>
      <c r="F1811" t="str">
        <f>"倉敷"</f>
        <v>倉敷</v>
      </c>
      <c r="G1811" t="str">
        <f>"年刊"</f>
        <v>年刊</v>
      </c>
      <c r="H1811" t="str">
        <f>"2002222289683"</f>
        <v>2002222289683</v>
      </c>
      <c r="I1811" t="str">
        <f>HYPERLINK("#", "https://opac.libnet.pref.okayama.jp/licsxp-opac/WOpacMsgNewListToTifTilDetailAction.do?tilcod=2002222289683")</f>
        <v>https://opac.libnet.pref.okayama.jp/licsxp-opac/WOpacMsgNewListToTifTilDetailAction.do?tilcod=2002222289683</v>
      </c>
    </row>
    <row r="1812" spans="1:9" x14ac:dyDescent="0.4">
      <c r="A1812" t="str">
        <f>"川崎医療福祉学会誌"</f>
        <v>川崎医療福祉学会誌</v>
      </c>
      <c r="B1812" s="1" t="str">
        <f t="shared" si="103"/>
        <v>川崎医療福祉学会誌</v>
      </c>
      <c r="C1812" t="str">
        <f>"カワサキ　イリョウ　フクシ　ガッカイシ"</f>
        <v>カワサキ　イリョウ　フクシ　ガッカイシ</v>
      </c>
      <c r="D1812" t="str">
        <f>"川崎医療福祉学会"</f>
        <v>川崎医療福祉学会</v>
      </c>
      <c r="E1812" t="str">
        <f>"カワサキイリョウフクシガッカイ"</f>
        <v>カワサキイリョウフクシガッカイ</v>
      </c>
      <c r="F1812" t="str">
        <f>"倉敷"</f>
        <v>倉敷</v>
      </c>
      <c r="G1812" t="str">
        <f>"年２回刊"</f>
        <v>年２回刊</v>
      </c>
      <c r="H1812" t="str">
        <f>"2002222294941"</f>
        <v>2002222294941</v>
      </c>
      <c r="I1812" t="str">
        <f>HYPERLINK("#", "https://opac.libnet.pref.okayama.jp/licsxp-opac/WOpacMsgNewListToTifTilDetailAction.do?tilcod=2002222294941")</f>
        <v>https://opac.libnet.pref.okayama.jp/licsxp-opac/WOpacMsgNewListToTifTilDetailAction.do?tilcod=2002222294941</v>
      </c>
    </row>
    <row r="1813" spans="1:9" x14ac:dyDescent="0.4">
      <c r="A1813" t="str">
        <f>"かわさき かわら版；川崎医科大学総合医療センター広報誌"</f>
        <v>かわさき かわら版；川崎医科大学総合医療センター広報誌</v>
      </c>
      <c r="B1813" s="1" t="str">
        <f t="shared" si="103"/>
        <v>かわさき かわら版；川崎医科大学総合医療センター広報誌</v>
      </c>
      <c r="C1813" t="str">
        <f>"カワサキ　カワラ　バ ン＊カワサキ　イカ　ダイガク　ソウゴウ　イリョウ　センター コウホウシ"</f>
        <v>カワサキ　カワラ　バ ン＊カワサキ　イカ　ダイガク　ソウゴウ　イリョウ　センター コウホウシ</v>
      </c>
      <c r="D1813" t="str">
        <f>"川崎医科大学総合医療センター"</f>
        <v>川崎医科大学総合医療センター</v>
      </c>
      <c r="E1813" t="str">
        <f>"カワサキ イカ ダイガク ソウゴウ イリョウ センター"</f>
        <v>カワサキ イカ ダイガク ソウゴウ イリョウ センター</v>
      </c>
      <c r="F1813" t="str">
        <f>"岡山"</f>
        <v>岡山</v>
      </c>
      <c r="G1813" t="str">
        <f>"季刊"</f>
        <v>季刊</v>
      </c>
      <c r="H1813" t="str">
        <f>"2002222328387"</f>
        <v>2002222328387</v>
      </c>
      <c r="I1813" t="str">
        <f>HYPERLINK("#", "https://opac.libnet.pref.okayama.jp/licsxp-opac/WOpacMsgNewListToTifTilDetailAction.do?tilcod=2002222328387")</f>
        <v>https://opac.libnet.pref.okayama.jp/licsxp-opac/WOpacMsgNewListToTifTilDetailAction.do?tilcod=2002222328387</v>
      </c>
    </row>
    <row r="1814" spans="1:9" x14ac:dyDescent="0.4">
      <c r="A1814" t="str">
        <f>"かわさき かわら版；川崎医科大学附属川崎病院広報誌"</f>
        <v>かわさき かわら版；川崎医科大学附属川崎病院広報誌</v>
      </c>
      <c r="B1814" s="1" t="str">
        <f t="shared" si="103"/>
        <v>かわさき かわら版；川崎医科大学附属川崎病院広報誌</v>
      </c>
      <c r="C1814" t="str">
        <f>"カワサキ カワラ バ ン*カワサキ イカ　ダイガク フゾク カワサキ ビョウイン コウホウシ"</f>
        <v>カワサキ カワラ バ ン*カワサキ イカ　ダイガク フゾク カワサキ ビョウイン コウホウシ</v>
      </c>
      <c r="D1814" t="str">
        <f>"川崎医科大学附属 川崎病院"</f>
        <v>川崎医科大学附属 川崎病院</v>
      </c>
      <c r="E1814" t="str">
        <f>"カワサキ イカ ダイガク  フゾク  カワサキ ビョウイ ン"</f>
        <v>カワサキ イカ ダイガク  フゾク  カワサキ ビョウイ ン</v>
      </c>
      <c r="F1814" t="str">
        <f>"岡山"</f>
        <v>岡山</v>
      </c>
      <c r="G1814" t="str">
        <f>"季刊"</f>
        <v>季刊</v>
      </c>
      <c r="H1814" t="str">
        <f>"2002222307526"</f>
        <v>2002222307526</v>
      </c>
      <c r="I1814" t="str">
        <f>HYPERLINK("#", "https://opac.libnet.pref.okayama.jp/licsxp-opac/WOpacMsgNewListToTifTilDetailAction.do?tilcod=2002222307526")</f>
        <v>https://opac.libnet.pref.okayama.jp/licsxp-opac/WOpacMsgNewListToTifTilDetailAction.do?tilcod=2002222307526</v>
      </c>
    </row>
    <row r="1815" spans="1:9" x14ac:dyDescent="0.4">
      <c r="A1815" t="str">
        <f>"Ｋａｗａｓａｋｉ　Ｊｏｕｒｎａｌ　ｏｆ　Ｍｅｄｉｃａｌ　Ｗｅｌｆａｒｅ"</f>
        <v>Ｋａｗａｓａｋｉ　Ｊｏｕｒｎａｌ　ｏｆ　Ｍｅｄｉｃａｌ　Ｗｅｌｆａｒｅ</v>
      </c>
      <c r="B1815" s="1" t="str">
        <f t="shared" si="103"/>
        <v>Ｋａｗａｓａｋｉ　Ｊｏｕｒｎａｌ　ｏｆ　Ｍｅｄｉｃａｌ　Ｗｅｌｆａｒｅ</v>
      </c>
      <c r="C1815" t="str">
        <f>"カワサキ　ジャーナル　オブ　メディカル　ウェルフェア"</f>
        <v>カワサキ　ジャーナル　オブ　メディカル　ウェルフェア</v>
      </c>
      <c r="D1815" t="str">
        <f>"川崎医療福祉学会"</f>
        <v>川崎医療福祉学会</v>
      </c>
      <c r="E1815" t="str">
        <f>"カワサキイリョウフクシガッカイ"</f>
        <v>カワサキイリョウフクシガッカイ</v>
      </c>
      <c r="F1815" t="str">
        <f>"倉敷"</f>
        <v>倉敷</v>
      </c>
      <c r="G1815" t="str">
        <f>"頻度不明"</f>
        <v>頻度不明</v>
      </c>
      <c r="H1815" t="str">
        <f>"2002222281131"</f>
        <v>2002222281131</v>
      </c>
      <c r="I1815" t="str">
        <f>HYPERLINK("#", "https://opac.libnet.pref.okayama.jp/licsxp-opac/WOpacMsgNewListToTifTilDetailAction.do?tilcod=2002222281131")</f>
        <v>https://opac.libnet.pref.okayama.jp/licsxp-opac/WOpacMsgNewListToTifTilDetailAction.do?tilcod=2002222281131</v>
      </c>
    </row>
    <row r="1816" spans="1:9" x14ac:dyDescent="0.4">
      <c r="A1816" t="str">
        <f>"川崎病院医学雑誌"</f>
        <v>川崎病院医学雑誌</v>
      </c>
      <c r="B1816" s="1" t="str">
        <f t="shared" si="103"/>
        <v>川崎病院医学雑誌</v>
      </c>
      <c r="C1816" t="str">
        <f>"カワサキ ビョウイン イガク ザッシ"</f>
        <v>カワサキ ビョウイン イガク ザッシ</v>
      </c>
      <c r="D1816" t="str">
        <f>"川崎病院"</f>
        <v>川崎病院</v>
      </c>
      <c r="E1816" t="str">
        <f>"カワサキ ビョウイン"</f>
        <v>カワサキ ビョウイン</v>
      </c>
      <c r="F1816" t="str">
        <f>""</f>
        <v/>
      </c>
      <c r="G1816" t="str">
        <f>"不定期刊"</f>
        <v>不定期刊</v>
      </c>
      <c r="H1816" t="str">
        <f>"2002222282663"</f>
        <v>2002222282663</v>
      </c>
      <c r="I1816" t="str">
        <f>HYPERLINK("#", "https://opac.libnet.pref.okayama.jp/licsxp-opac/WOpacMsgNewListToTifTilDetailAction.do?tilcod=2002222282663")</f>
        <v>https://opac.libnet.pref.okayama.jp/licsxp-opac/WOpacMsgNewListToTifTilDetailAction.do?tilcod=2002222282663</v>
      </c>
    </row>
    <row r="1817" spans="1:9" x14ac:dyDescent="0.4">
      <c r="A1817" t="str">
        <f>"川崎病院医学ジャーナル"</f>
        <v>川崎病院医学ジャーナル</v>
      </c>
      <c r="B1817" s="1" t="str">
        <f t="shared" si="103"/>
        <v>川崎病院医学ジャーナル</v>
      </c>
      <c r="C1817" t="str">
        <f>"カワサキ　ビョウイン　イガク　ジャーナル"</f>
        <v>カワサキ　ビョウイン　イガク　ジャーナル</v>
      </c>
      <c r="D1817" t="str">
        <f>"川崎医科大学附属川崎病院"</f>
        <v>川崎医科大学附属川崎病院</v>
      </c>
      <c r="E1817" t="str">
        <f>"カワサキイカダイガクフゾクカワサキビョウイン"</f>
        <v>カワサキイカダイガクフゾクカワサキビョウイン</v>
      </c>
      <c r="F1817" t="str">
        <f>"岡山"</f>
        <v>岡山</v>
      </c>
      <c r="G1817" t="str">
        <f>"年刊"</f>
        <v>年刊</v>
      </c>
      <c r="H1817" t="str">
        <f>"2002222301063"</f>
        <v>2002222301063</v>
      </c>
      <c r="I1817" t="str">
        <f>HYPERLINK("#", "https://opac.libnet.pref.okayama.jp/licsxp-opac/WOpacMsgNewListToTifTilDetailAction.do?tilcod=2002222301063")</f>
        <v>https://opac.libnet.pref.okayama.jp/licsxp-opac/WOpacMsgNewListToTifTilDetailAction.do?tilcod=2002222301063</v>
      </c>
    </row>
    <row r="1818" spans="1:9" x14ac:dyDescent="0.4">
      <c r="A1818" t="str">
        <f>"かわせみ通信"</f>
        <v>かわせみ通信</v>
      </c>
      <c r="B1818" s="1" t="str">
        <f t="shared" si="103"/>
        <v>かわせみ通信</v>
      </c>
      <c r="C1818" t="str">
        <f>"カワセミ ツウシン"</f>
        <v>カワセミ ツウシン</v>
      </c>
      <c r="D1818" t="str">
        <f>"吉井川ウオッチング実行委員会"</f>
        <v>吉井川ウオッチング実行委員会</v>
      </c>
      <c r="E1818" t="str">
        <f>"ヨシイガワ ウオッチング ジッコウ イインカイ"</f>
        <v>ヨシイガワ ウオッチング ジッコウ イインカイ</v>
      </c>
      <c r="F1818" t="str">
        <f>"岡山"</f>
        <v>岡山</v>
      </c>
      <c r="G1818" t="str">
        <f>"不定期刊"</f>
        <v>不定期刊</v>
      </c>
      <c r="H1818" t="str">
        <f>"2002222343172"</f>
        <v>2002222343172</v>
      </c>
      <c r="I1818" t="str">
        <f>HYPERLINK("#", "https://opac.libnet.pref.okayama.jp/licsxp-opac/WOpacMsgNewListToTifTilDetailAction.do?tilcod=2002222343172")</f>
        <v>https://opac.libnet.pref.okayama.jp/licsxp-opac/WOpacMsgNewListToTifTilDetailAction.do?tilcod=2002222343172</v>
      </c>
    </row>
    <row r="1819" spans="1:9" x14ac:dyDescent="0.4">
      <c r="A1819" t="str">
        <f>"川鉄水島ニュース"</f>
        <v>川鉄水島ニュース</v>
      </c>
      <c r="B1819" s="1" t="str">
        <f t="shared" si="103"/>
        <v>川鉄水島ニュース</v>
      </c>
      <c r="C1819" t="str">
        <f>"カワテツ　ミズシマ　ニュース"</f>
        <v>カワテツ　ミズシマ　ニュース</v>
      </c>
      <c r="D1819" t="str">
        <f>"川崎製鉄水島製鉄所"</f>
        <v>川崎製鉄水島製鉄所</v>
      </c>
      <c r="E1819" t="str">
        <f>"カワサキセイテツミズシマセイテツジョ"</f>
        <v>カワサキセイテツミズシマセイテツジョ</v>
      </c>
      <c r="F1819" t="str">
        <f>"倉敷"</f>
        <v>倉敷</v>
      </c>
      <c r="G1819" t="str">
        <f>"月刊"</f>
        <v>月刊</v>
      </c>
      <c r="H1819" t="str">
        <f>"2002222282673"</f>
        <v>2002222282673</v>
      </c>
      <c r="I1819" t="str">
        <f>HYPERLINK("#", "https://opac.libnet.pref.okayama.jp/licsxp-opac/WOpacMsgNewListToTifTilDetailAction.do?tilcod=2002222282673")</f>
        <v>https://opac.libnet.pref.okayama.jp/licsxp-opac/WOpacMsgNewListToTifTilDetailAction.do?tilcod=2002222282673</v>
      </c>
    </row>
    <row r="1820" spans="1:9" x14ac:dyDescent="0.4">
      <c r="A1820" t="str">
        <f>"川張のむかし"</f>
        <v>川張のむかし</v>
      </c>
      <c r="B1820" s="1" t="str">
        <f t="shared" si="103"/>
        <v>川張のむかし</v>
      </c>
      <c r="C1820" t="str">
        <f>"カワハリ　ノ　ムカシ"</f>
        <v>カワハリ　ノ　ムカシ</v>
      </c>
      <c r="D1820" t="str">
        <f>"川張の昔を語る会"</f>
        <v>川張の昔を語る会</v>
      </c>
      <c r="E1820" t="str">
        <f>"カワハリノムカシオカタルカイ"</f>
        <v>カワハリノムカシオカタルカイ</v>
      </c>
      <c r="F1820" t="str">
        <f>""</f>
        <v/>
      </c>
      <c r="G1820" t="str">
        <f>"頻度不明"</f>
        <v>頻度不明</v>
      </c>
      <c r="H1820" t="str">
        <f>"2002222282683"</f>
        <v>2002222282683</v>
      </c>
      <c r="I1820" t="str">
        <f>HYPERLINK("#", "https://opac.libnet.pref.okayama.jp/licsxp-opac/WOpacMsgNewListToTifTilDetailAction.do?tilcod=2002222282683")</f>
        <v>https://opac.libnet.pref.okayama.jp/licsxp-opac/WOpacMsgNewListToTifTilDetailAction.do?tilcod=2002222282683</v>
      </c>
    </row>
    <row r="1821" spans="1:9" x14ac:dyDescent="0.4">
      <c r="A1821" t="str">
        <f>"川船通信"</f>
        <v>川船通信</v>
      </c>
      <c r="B1821" s="1" t="str">
        <f t="shared" si="103"/>
        <v>川船通信</v>
      </c>
      <c r="C1821" t="str">
        <f>"カワブネ　ツウシン"</f>
        <v>カワブネ　ツウシン</v>
      </c>
      <c r="D1821" t="str">
        <f>"湯浅 照弘"</f>
        <v>湯浅 照弘</v>
      </c>
      <c r="E1821" t="str">
        <f>"ユアサ テルヒロ"</f>
        <v>ユアサ テルヒロ</v>
      </c>
      <c r="F1821" t="str">
        <f>"岡山"</f>
        <v>岡山</v>
      </c>
      <c r="G1821" t="str">
        <f>"不定期刊"</f>
        <v>不定期刊</v>
      </c>
      <c r="H1821" t="str">
        <f>"2002222294091"</f>
        <v>2002222294091</v>
      </c>
      <c r="I1821" t="str">
        <f>HYPERLINK("#", "https://opac.libnet.pref.okayama.jp/licsxp-opac/WOpacMsgNewListToTifTilDetailAction.do?tilcod=2002222294091")</f>
        <v>https://opac.libnet.pref.okayama.jp/licsxp-opac/WOpacMsgNewListToTifTilDetailAction.do?tilcod=2002222294091</v>
      </c>
    </row>
    <row r="1822" spans="1:9" x14ac:dyDescent="0.4">
      <c r="A1822" t="str">
        <f>"かわら版たいはく"</f>
        <v>かわら版たいはく</v>
      </c>
      <c r="B1822" s="1" t="str">
        <f t="shared" si="103"/>
        <v>かわら版たいはく</v>
      </c>
      <c r="C1822" t="str">
        <f>"カワラバン　タイハク"</f>
        <v>カワラバン　タイハク</v>
      </c>
      <c r="D1822" t="str">
        <f>"近藤博文"</f>
        <v>近藤博文</v>
      </c>
      <c r="E1822" t="str">
        <f>"コンドウヒロフミ"</f>
        <v>コンドウヒロフミ</v>
      </c>
      <c r="F1822" t="str">
        <f>"岡山"</f>
        <v>岡山</v>
      </c>
      <c r="G1822" t="str">
        <f>"頻度不明"</f>
        <v>頻度不明</v>
      </c>
      <c r="H1822" t="str">
        <f>"2002222281464"</f>
        <v>2002222281464</v>
      </c>
      <c r="I1822" t="str">
        <f>HYPERLINK("#", "https://opac.libnet.pref.okayama.jp/licsxp-opac/WOpacMsgNewListToTifTilDetailAction.do?tilcod=2002222281464")</f>
        <v>https://opac.libnet.pref.okayama.jp/licsxp-opac/WOpacMsgNewListToTifTilDetailAction.do?tilcod=2002222281464</v>
      </c>
    </row>
    <row r="1823" spans="1:9" x14ac:dyDescent="0.4">
      <c r="A1823" t="str">
        <f>"KAWAREL(カワレル)；Lifestyle Magazine for Woman"</f>
        <v>KAWAREL(カワレル)；Lifestyle Magazine for Woman</v>
      </c>
      <c r="B1823" s="1" t="str">
        <f t="shared" si="103"/>
        <v>KAWAREL(カワレル)；Lifestyle Magazine for Woman</v>
      </c>
      <c r="C1823" t="str">
        <f>"カワレル＊ライフスタイル マガジン フォー ウーマン"</f>
        <v>カワレル＊ライフスタイル マガジン フォー ウーマン</v>
      </c>
      <c r="D1823" t="str">
        <f>"ＣｒｏＣｏｍ"</f>
        <v>ＣｒｏＣｏｍ</v>
      </c>
      <c r="E1823" t="str">
        <f>"クロコム"</f>
        <v>クロコム</v>
      </c>
      <c r="F1823" t="str">
        <f>"岡山"</f>
        <v>岡山</v>
      </c>
      <c r="G1823" t="str">
        <f>"季刊"</f>
        <v>季刊</v>
      </c>
      <c r="H1823" t="str">
        <f>"2002222325346"</f>
        <v>2002222325346</v>
      </c>
      <c r="I1823" t="str">
        <f>HYPERLINK("#", "https://opac.libnet.pref.okayama.jp/licsxp-opac/WOpacMsgNewListToTifTilDetailAction.do?tilcod=2002222325346")</f>
        <v>https://opac.libnet.pref.okayama.jp/licsxp-opac/WOpacMsgNewListToTifTilDetailAction.do?tilcod=2002222325346</v>
      </c>
    </row>
    <row r="1824" spans="1:9" x14ac:dyDescent="0.4">
      <c r="A1824" t="str">
        <f>"がんの悩み電話相談室　会誌"</f>
        <v>がんの悩み電話相談室　会誌</v>
      </c>
      <c r="B1824" s="1" t="str">
        <f t="shared" si="103"/>
        <v>がんの悩み電話相談室　会誌</v>
      </c>
      <c r="C1824" t="str">
        <f>"ガン　ノ　ナヤミ　デンワ　ソウダン　シツ　カイシ"</f>
        <v>ガン　ノ　ナヤミ　デンワ　ソウダン　シツ　カイシ</v>
      </c>
      <c r="D1824" t="str">
        <f>"がんの悩み電話相談室事務局"</f>
        <v>がんの悩み電話相談室事務局</v>
      </c>
      <c r="E1824" t="str">
        <f>"ガンノナヤミデンワソウダンシツジムキョク"</f>
        <v>ガンノナヤミデンワソウダンシツジムキョク</v>
      </c>
      <c r="F1824" t="str">
        <f>"岡山"</f>
        <v>岡山</v>
      </c>
      <c r="G1824" t="str">
        <f>"年刊"</f>
        <v>年刊</v>
      </c>
      <c r="H1824" t="str">
        <f>"2002222300448"</f>
        <v>2002222300448</v>
      </c>
      <c r="I1824" t="str">
        <f>HYPERLINK("#", "https://opac.libnet.pref.okayama.jp/licsxp-opac/WOpacMsgNewListToTifTilDetailAction.do?tilcod=2002222300448")</f>
        <v>https://opac.libnet.pref.okayama.jp/licsxp-opac/WOpacMsgNewListToTifTilDetailAction.do?tilcod=2002222300448</v>
      </c>
    </row>
    <row r="1825" spans="1:9" x14ac:dyDescent="0.4">
      <c r="A1825" t="str">
        <f>"汗愛誌；搖籃"</f>
        <v>汗愛誌；搖籃</v>
      </c>
      <c r="B1825" s="1" t="str">
        <f t="shared" si="103"/>
        <v>汗愛誌；搖籃</v>
      </c>
      <c r="C1825" t="str">
        <f>"カンアイ　シ＊ユリカゴ"</f>
        <v>カンアイ　シ＊ユリカゴ</v>
      </c>
      <c r="D1825" t="str">
        <f>"修養団岡山県聨合会"</f>
        <v>修養団岡山県聨合会</v>
      </c>
      <c r="E1825" t="str">
        <f>"シュウヨウダンオカヤマケンレンゴウカイ"</f>
        <v>シュウヨウダンオカヤマケンレンゴウカイ</v>
      </c>
      <c r="F1825" t="str">
        <f>"早島町（都窪郡）"</f>
        <v>早島町（都窪郡）</v>
      </c>
      <c r="G1825" t="str">
        <f>"季刊"</f>
        <v>季刊</v>
      </c>
      <c r="H1825" t="str">
        <f>"2002222282693"</f>
        <v>2002222282693</v>
      </c>
      <c r="I1825" t="str">
        <f>HYPERLINK("#", "https://opac.libnet.pref.okayama.jp/licsxp-opac/WOpacMsgNewListToTifTilDetailAction.do?tilcod=2002222282693")</f>
        <v>https://opac.libnet.pref.okayama.jp/licsxp-opac/WOpacMsgNewListToTifTilDetailAction.do?tilcod=2002222282693</v>
      </c>
    </row>
    <row r="1826" spans="1:9" x14ac:dyDescent="0.4">
      <c r="A1826" t="str">
        <f>"環衛料飲おかやま"</f>
        <v>環衛料飲おかやま</v>
      </c>
      <c r="B1826" s="1" t="str">
        <f t="shared" si="103"/>
        <v>環衛料飲おかやま</v>
      </c>
      <c r="C1826" t="str">
        <f>"カンエイリョウイン　オカヤマ"</f>
        <v>カンエイリョウイン　オカヤマ</v>
      </c>
      <c r="D1826" t="str">
        <f>"岡山県飲食業環境衛生同業組合"</f>
        <v>岡山県飲食業環境衛生同業組合</v>
      </c>
      <c r="E1826" t="str">
        <f>"オカヤマケンインショクギョウカンキョウエイセイドウギョウクミアイ"</f>
        <v>オカヤマケンインショクギョウカンキョウエイセイドウギョウクミアイ</v>
      </c>
      <c r="F1826" t="str">
        <f>"岡山"</f>
        <v>岡山</v>
      </c>
      <c r="G1826" t="str">
        <f>"月刊"</f>
        <v>月刊</v>
      </c>
      <c r="H1826" t="str">
        <f>"2002222300857"</f>
        <v>2002222300857</v>
      </c>
      <c r="I1826" t="str">
        <f>HYPERLINK("#", "https://opac.libnet.pref.okayama.jp/licsxp-opac/WOpacMsgNewListToTifTilDetailAction.do?tilcod=2002222300857")</f>
        <v>https://opac.libnet.pref.okayama.jp/licsxp-opac/WOpacMsgNewListToTifTilDetailAction.do?tilcod=2002222300857</v>
      </c>
    </row>
    <row r="1827" spans="1:9" x14ac:dyDescent="0.4">
      <c r="A1827" t="str">
        <f>"かんかん石；岡山野尻湖友の会機関誌"</f>
        <v>かんかん石；岡山野尻湖友の会機関誌</v>
      </c>
      <c r="B1827" s="1" t="str">
        <f t="shared" si="103"/>
        <v>かんかん石；岡山野尻湖友の会機関誌</v>
      </c>
      <c r="C1827" t="str">
        <f>"カンカンイシ＊オカヤマ ノジリコ トモ ノ カイ キカンシ"</f>
        <v>カンカンイシ＊オカヤマ ノジリコ トモ ノ カイ キカンシ</v>
      </c>
      <c r="D1827" t="str">
        <f>"岡山野尻湖友の会"</f>
        <v>岡山野尻湖友の会</v>
      </c>
      <c r="E1827" t="str">
        <f>"オカヤマ ノジリコ  トモ ノ カイ"</f>
        <v>オカヤマ ノジリコ  トモ ノ カイ</v>
      </c>
      <c r="F1827" t="str">
        <f>"岡山"</f>
        <v>岡山</v>
      </c>
      <c r="G1827" t="str">
        <f>"頻度不明"</f>
        <v>頻度不明</v>
      </c>
      <c r="H1827" t="str">
        <f>"2002222317186"</f>
        <v>2002222317186</v>
      </c>
      <c r="I1827" t="str">
        <f>HYPERLINK("#", "https://opac.libnet.pref.okayama.jp/licsxp-opac/WOpacMsgNewListToTifTilDetailAction.do?tilcod=2002222317186")</f>
        <v>https://opac.libnet.pref.okayama.jp/licsxp-opac/WOpacMsgNewListToTifTilDetailAction.do?tilcod=2002222317186</v>
      </c>
    </row>
    <row r="1828" spans="1:9" x14ac:dyDescent="0.4">
      <c r="A1828" t="str">
        <f>"歓喜"</f>
        <v>歓喜</v>
      </c>
      <c r="B1828" s="1" t="str">
        <f t="shared" si="103"/>
        <v>歓喜</v>
      </c>
      <c r="C1828" t="str">
        <f>"カンキ"</f>
        <v>カンキ</v>
      </c>
      <c r="D1828" t="str">
        <f>"岡山県立三門学園"</f>
        <v>岡山県立三門学園</v>
      </c>
      <c r="E1828" t="str">
        <f>"オカヤマケンリツミカドガクエン"</f>
        <v>オカヤマケンリツミカドガクエン</v>
      </c>
      <c r="F1828" t="str">
        <f>""</f>
        <v/>
      </c>
      <c r="G1828" t="str">
        <f>"頻度不明"</f>
        <v>頻度不明</v>
      </c>
      <c r="H1828" t="str">
        <f>"2002222282703"</f>
        <v>2002222282703</v>
      </c>
      <c r="I1828" t="str">
        <f>HYPERLINK("#", "https://opac.libnet.pref.okayama.jp/licsxp-opac/WOpacMsgNewListToTifTilDetailAction.do?tilcod=2002222282703")</f>
        <v>https://opac.libnet.pref.okayama.jp/licsxp-opac/WOpacMsgNewListToTifTilDetailAction.do?tilcod=2002222282703</v>
      </c>
    </row>
    <row r="1829" spans="1:9" x14ac:dyDescent="0.4">
      <c r="A1829" t="str">
        <f>"環境教育地域支援研究会会報"</f>
        <v>環境教育地域支援研究会会報</v>
      </c>
      <c r="B1829" s="1" t="str">
        <f t="shared" si="103"/>
        <v>環境教育地域支援研究会会報</v>
      </c>
      <c r="C1829" t="str">
        <f>"カンキョウ キョウイク チイキ シエン ケンキュウカイ カイホウ"</f>
        <v>カンキョウ キョウイク チイキ シエン ケンキュウカイ カイホウ</v>
      </c>
      <c r="D1829" t="str">
        <f>"岡山理科大学環境教育地域支援研究会"</f>
        <v>岡山理科大学環境教育地域支援研究会</v>
      </c>
      <c r="E1829" t="str">
        <f>"オカヤマ リカ ダイガク カンキョウ キョウイク チイキ シエン ケンキュウカイ"</f>
        <v>オカヤマ リカ ダイガク カンキョウ キョウイク チイキ シエン ケンキュウカイ</v>
      </c>
      <c r="F1829" t="str">
        <f t="shared" ref="F1829:F1834" si="105">"岡山"</f>
        <v>岡山</v>
      </c>
      <c r="G1829" t="str">
        <f>"年刊"</f>
        <v>年刊</v>
      </c>
      <c r="H1829" t="str">
        <f>"2002222336977"</f>
        <v>2002222336977</v>
      </c>
      <c r="I1829" t="str">
        <f>HYPERLINK("#", "https://opac.libnet.pref.okayama.jp/licsxp-opac/WOpacMsgNewListToTifTilDetailAction.do?tilcod=2002222336977")</f>
        <v>https://opac.libnet.pref.okayama.jp/licsxp-opac/WOpacMsgNewListToTifTilDetailAction.do?tilcod=2002222336977</v>
      </c>
    </row>
    <row r="1830" spans="1:9" x14ac:dyDescent="0.4">
      <c r="A1830" t="str">
        <f>"環境時報"</f>
        <v>環境時報</v>
      </c>
      <c r="B1830" s="1" t="str">
        <f t="shared" si="103"/>
        <v>環境時報</v>
      </c>
      <c r="C1830" t="str">
        <f>"カンキョウ　ジホウ"</f>
        <v>カンキョウ　ジホウ</v>
      </c>
      <c r="D1830" t="str">
        <f>"岡山県環境保全事業団"</f>
        <v>岡山県環境保全事業団</v>
      </c>
      <c r="E1830" t="str">
        <f>"オカヤマケン カンキョウ ホゼン ジギョウダン"</f>
        <v>オカヤマケン カンキョウ ホゼン ジギョウダン</v>
      </c>
      <c r="F1830" t="str">
        <f t="shared" si="105"/>
        <v>岡山</v>
      </c>
      <c r="G1830" t="str">
        <f>"月刊"</f>
        <v>月刊</v>
      </c>
      <c r="H1830" t="str">
        <f>"2002222292381"</f>
        <v>2002222292381</v>
      </c>
      <c r="I1830" t="str">
        <f>HYPERLINK("#", "https://opac.libnet.pref.okayama.jp/licsxp-opac/WOpacMsgNewListToTifTilDetailAction.do?tilcod=2002222292381")</f>
        <v>https://opac.libnet.pref.okayama.jp/licsxp-opac/WOpacMsgNewListToTifTilDetailAction.do?tilcod=2002222292381</v>
      </c>
    </row>
    <row r="1831" spans="1:9" x14ac:dyDescent="0.4">
      <c r="A1831" t="str">
        <f>"環境制御"</f>
        <v>環境制御</v>
      </c>
      <c r="B1831" s="1" t="str">
        <f t="shared" si="103"/>
        <v>環境制御</v>
      </c>
      <c r="C1831" t="str">
        <f>"カンキョウ　セイギョ"</f>
        <v>カンキョウ　セイギョ</v>
      </c>
      <c r="D1831" t="str">
        <f>"岡山大学保健環境センター環境安全部門"</f>
        <v>岡山大学保健環境センター環境安全部門</v>
      </c>
      <c r="E1831" t="str">
        <f>"オカヤマダイガクホケンカンキョウセンターカンキョウアンゼンブモン"</f>
        <v>オカヤマダイガクホケンカンキョウセンターカンキョウアンゼンブモン</v>
      </c>
      <c r="F1831" t="str">
        <f t="shared" si="105"/>
        <v>岡山</v>
      </c>
      <c r="G1831" t="str">
        <f>"年刊"</f>
        <v>年刊</v>
      </c>
      <c r="H1831" t="str">
        <f>"2002222302404"</f>
        <v>2002222302404</v>
      </c>
      <c r="I1831" t="str">
        <f>HYPERLINK("#", "https://opac.libnet.pref.okayama.jp/licsxp-opac/WOpacMsgNewListToTifTilDetailAction.do?tilcod=2002222302404")</f>
        <v>https://opac.libnet.pref.okayama.jp/licsxp-opac/WOpacMsgNewListToTifTilDetailAction.do?tilcod=2002222302404</v>
      </c>
    </row>
    <row r="1832" spans="1:9" x14ac:dyDescent="0.4">
      <c r="A1832" t="str">
        <f>"環境の広場"</f>
        <v>環境の広場</v>
      </c>
      <c r="B1832" s="1" t="str">
        <f t="shared" si="103"/>
        <v>環境の広場</v>
      </c>
      <c r="C1832" t="str">
        <f>"カンキョウ　ノ　ヒロバ"</f>
        <v>カンキョウ　ノ　ヒロバ</v>
      </c>
      <c r="D1832" t="str">
        <f>"岡山県環境衛生協会"</f>
        <v>岡山県環境衛生協会</v>
      </c>
      <c r="E1832" t="str">
        <f>"オカヤマケン カンキョウ エイセイ キョウカイ"</f>
        <v>オカヤマケン カンキョウ エイセイ キョウカイ</v>
      </c>
      <c r="F1832" t="str">
        <f t="shared" si="105"/>
        <v>岡山</v>
      </c>
      <c r="G1832" t="str">
        <f>"不定期刊"</f>
        <v>不定期刊</v>
      </c>
      <c r="H1832" t="str">
        <f>"2002222300858"</f>
        <v>2002222300858</v>
      </c>
      <c r="I1832" t="str">
        <f>HYPERLINK("#", "https://opac.libnet.pref.okayama.jp/licsxp-opac/WOpacMsgNewListToTifTilDetailAction.do?tilcod=2002222300858")</f>
        <v>https://opac.libnet.pref.okayama.jp/licsxp-opac/WOpacMsgNewListToTifTilDetailAction.do?tilcod=2002222300858</v>
      </c>
    </row>
    <row r="1833" spans="1:9" x14ac:dyDescent="0.4">
      <c r="A1833" t="str">
        <f>"環境のひろば"</f>
        <v>環境のひろば</v>
      </c>
      <c r="B1833" s="1" t="str">
        <f t="shared" si="103"/>
        <v>環境のひろば</v>
      </c>
      <c r="C1833" t="str">
        <f>"カンキョウ　ノ　ヒロバ"</f>
        <v>カンキョウ　ノ　ヒロバ</v>
      </c>
      <c r="D1833" t="str">
        <f>"岡山県環境衛生協会"</f>
        <v>岡山県環境衛生協会</v>
      </c>
      <c r="E1833" t="str">
        <f>"オカヤマケン カンキョウ エイセイ キョウカイ"</f>
        <v>オカヤマケン カンキョウ エイセイ キョウカイ</v>
      </c>
      <c r="F1833" t="str">
        <f t="shared" si="105"/>
        <v>岡山</v>
      </c>
      <c r="G1833" t="str">
        <f>"年２回刊"</f>
        <v>年２回刊</v>
      </c>
      <c r="H1833" t="str">
        <f>"2002222302326"</f>
        <v>2002222302326</v>
      </c>
      <c r="I1833" t="str">
        <f>HYPERLINK("#", "https://opac.libnet.pref.okayama.jp/licsxp-opac/WOpacMsgNewListToTifTilDetailAction.do?tilcod=2002222302326")</f>
        <v>https://opac.libnet.pref.okayama.jp/licsxp-opac/WOpacMsgNewListToTifTilDetailAction.do?tilcod=2002222302326</v>
      </c>
    </row>
    <row r="1834" spans="1:9" x14ac:dyDescent="0.4">
      <c r="A1834" t="str">
        <f>"環境；みんなではじめる岡山のエコマガジン"</f>
        <v>環境；みんなではじめる岡山のエコマガジン</v>
      </c>
      <c r="B1834" s="1" t="str">
        <f t="shared" si="103"/>
        <v>環境；みんなではじめる岡山のエコマガジン</v>
      </c>
      <c r="C1834" t="str">
        <f>"カンキョウ＊ミンナ デ ハジメル オカヤマ ノ エコ マガジン"</f>
        <v>カンキョウ＊ミンナ デ ハジメル オカヤマ ノ エコ マガジン</v>
      </c>
      <c r="D1834" t="str">
        <f>"岡山県環境保全事業団"</f>
        <v>岡山県環境保全事業団</v>
      </c>
      <c r="E1834" t="str">
        <f>"オカヤマケン カンキョウ ホゼン ジギョウダン"</f>
        <v>オカヤマケン カンキョウ ホゼン ジギョウダン</v>
      </c>
      <c r="F1834" t="str">
        <f t="shared" si="105"/>
        <v>岡山</v>
      </c>
      <c r="G1834" t="str">
        <f>"季刊"</f>
        <v>季刊</v>
      </c>
      <c r="H1834" t="str">
        <f>"2002222282411"</f>
        <v>2002222282411</v>
      </c>
      <c r="I1834" t="str">
        <f>HYPERLINK("#", "https://opac.libnet.pref.okayama.jp/licsxp-opac/WOpacMsgNewListToTifTilDetailAction.do?tilcod=2002222282411")</f>
        <v>https://opac.libnet.pref.okayama.jp/licsxp-opac/WOpacMsgNewListToTifTilDetailAction.do?tilcod=2002222282411</v>
      </c>
    </row>
    <row r="1835" spans="1:9" x14ac:dyDescent="0.4">
      <c r="A1835" t="str">
        <f>"冠句往来"</f>
        <v>冠句往来</v>
      </c>
      <c r="B1835" s="1" t="str">
        <f t="shared" si="103"/>
        <v>冠句往来</v>
      </c>
      <c r="C1835" t="str">
        <f>"カンク　オウライ"</f>
        <v>カンク　オウライ</v>
      </c>
      <c r="D1835" t="str">
        <f>"冠句往来社"</f>
        <v>冠句往来社</v>
      </c>
      <c r="E1835" t="str">
        <f>"カンクオウライシャ"</f>
        <v>カンクオウライシャ</v>
      </c>
      <c r="F1835" t="str">
        <f>""</f>
        <v/>
      </c>
      <c r="G1835" t="str">
        <f>"月刊"</f>
        <v>月刊</v>
      </c>
      <c r="H1835" t="str">
        <f>"2002222282713"</f>
        <v>2002222282713</v>
      </c>
      <c r="I1835" t="str">
        <f>HYPERLINK("#", "https://opac.libnet.pref.okayama.jp/licsxp-opac/WOpacMsgNewListToTifTilDetailAction.do?tilcod=2002222282713")</f>
        <v>https://opac.libnet.pref.okayama.jp/licsxp-opac/WOpacMsgNewListToTifTilDetailAction.do?tilcod=2002222282713</v>
      </c>
    </row>
    <row r="1836" spans="1:9" x14ac:dyDescent="0.4">
      <c r="A1836" t="str">
        <f>"冠句おかやま"</f>
        <v>冠句おかやま</v>
      </c>
      <c r="B1836" s="1" t="str">
        <f t="shared" si="103"/>
        <v>冠句おかやま</v>
      </c>
      <c r="C1836" t="str">
        <f>"カンク　オカヤマ"</f>
        <v>カンク　オカヤマ</v>
      </c>
      <c r="D1836" t="str">
        <f>"岡山冠句会"</f>
        <v>岡山冠句会</v>
      </c>
      <c r="E1836" t="str">
        <f>"オカヤマカンクカイ"</f>
        <v>オカヤマカンクカイ</v>
      </c>
      <c r="F1836" t="str">
        <f>""</f>
        <v/>
      </c>
      <c r="G1836" t="str">
        <f>"月刊"</f>
        <v>月刊</v>
      </c>
      <c r="H1836" t="str">
        <f>"2002222282723"</f>
        <v>2002222282723</v>
      </c>
      <c r="I1836" t="str">
        <f>HYPERLINK("#", "https://opac.libnet.pref.okayama.jp/licsxp-opac/WOpacMsgNewListToTifTilDetailAction.do?tilcod=2002222282723")</f>
        <v>https://opac.libnet.pref.okayama.jp/licsxp-opac/WOpacMsgNewListToTifTilDetailAction.do?tilcod=2002222282723</v>
      </c>
    </row>
    <row r="1837" spans="1:9" x14ac:dyDescent="0.4">
      <c r="A1837" t="str">
        <f>"冠句山脈"</f>
        <v>冠句山脈</v>
      </c>
      <c r="B1837" s="1" t="str">
        <f t="shared" si="103"/>
        <v>冠句山脈</v>
      </c>
      <c r="C1837" t="str">
        <f>"カンク　サンミャク"</f>
        <v>カンク　サンミャク</v>
      </c>
      <c r="D1837" t="str">
        <f>"冠句山脈社"</f>
        <v>冠句山脈社</v>
      </c>
      <c r="E1837" t="str">
        <f>"カンクサンミャクシャ"</f>
        <v>カンクサンミャクシャ</v>
      </c>
      <c r="F1837" t="str">
        <f>""</f>
        <v/>
      </c>
      <c r="G1837" t="str">
        <f>"頻度不明"</f>
        <v>頻度不明</v>
      </c>
      <c r="H1837" t="str">
        <f>"2002222282743"</f>
        <v>2002222282743</v>
      </c>
      <c r="I1837" t="str">
        <f>HYPERLINK("#", "https://opac.libnet.pref.okayama.jp/licsxp-opac/WOpacMsgNewListToTifTilDetailAction.do?tilcod=2002222282743")</f>
        <v>https://opac.libnet.pref.okayama.jp/licsxp-opac/WOpacMsgNewListToTifTilDetailAction.do?tilcod=2002222282743</v>
      </c>
    </row>
    <row r="1838" spans="1:9" x14ac:dyDescent="0.4">
      <c r="A1838" t="str">
        <f>"冠句春秋"</f>
        <v>冠句春秋</v>
      </c>
      <c r="B1838" s="1" t="str">
        <f t="shared" si="103"/>
        <v>冠句春秋</v>
      </c>
      <c r="C1838" t="str">
        <f>"カンク シュンジュウ"</f>
        <v>カンク シュンジュウ</v>
      </c>
      <c r="D1838" t="str">
        <f>"冠句春秋社"</f>
        <v>冠句春秋社</v>
      </c>
      <c r="E1838" t="str">
        <f>"カンク シュンジュウシャ"</f>
        <v>カンク シュンジュウシャ</v>
      </c>
      <c r="F1838" t="str">
        <f>"岡山"</f>
        <v>岡山</v>
      </c>
      <c r="G1838" t="str">
        <f>"月刊"</f>
        <v>月刊</v>
      </c>
      <c r="H1838" t="str">
        <f>"2002222307273"</f>
        <v>2002222307273</v>
      </c>
      <c r="I1838" t="str">
        <f>HYPERLINK("#", "https://opac.libnet.pref.okayama.jp/licsxp-opac/WOpacMsgNewListToTifTilDetailAction.do?tilcod=2002222307273")</f>
        <v>https://opac.libnet.pref.okayama.jp/licsxp-opac/WOpacMsgNewListToTifTilDetailAction.do?tilcod=2002222307273</v>
      </c>
    </row>
    <row r="1839" spans="1:9" x14ac:dyDescent="0.4">
      <c r="A1839" t="str">
        <f>"冠句放送"</f>
        <v>冠句放送</v>
      </c>
      <c r="B1839" s="1" t="str">
        <f t="shared" si="103"/>
        <v>冠句放送</v>
      </c>
      <c r="C1839" t="str">
        <f>"カンク ホウソウ"</f>
        <v>カンク ホウソウ</v>
      </c>
      <c r="D1839" t="str">
        <f>"岡山放送吟社"</f>
        <v>岡山放送吟社</v>
      </c>
      <c r="E1839" t="str">
        <f>"オカヤマ ホウソウ ギンシャ"</f>
        <v>オカヤマ ホウソウ ギンシャ</v>
      </c>
      <c r="F1839" t="str">
        <f>"岡山"</f>
        <v>岡山</v>
      </c>
      <c r="G1839" t="str">
        <f>"頻度不明"</f>
        <v>頻度不明</v>
      </c>
      <c r="H1839" t="str">
        <f>"2002222307127"</f>
        <v>2002222307127</v>
      </c>
      <c r="I1839" t="str">
        <f>HYPERLINK("#", "https://opac.libnet.pref.okayama.jp/licsxp-opac/WOpacMsgNewListToTifTilDetailAction.do?tilcod=2002222307127")</f>
        <v>https://opac.libnet.pref.okayama.jp/licsxp-opac/WOpacMsgNewListToTifTilDetailAction.do?tilcod=2002222307127</v>
      </c>
    </row>
    <row r="1840" spans="1:9" x14ac:dyDescent="0.4">
      <c r="A1840" t="str">
        <f>"冠句集青寿"</f>
        <v>冠句集青寿</v>
      </c>
      <c r="B1840" s="1" t="str">
        <f t="shared" si="103"/>
        <v>冠句集青寿</v>
      </c>
      <c r="C1840" t="str">
        <f>"カンクシュウ　セイジュ"</f>
        <v>カンクシュウ　セイジュ</v>
      </c>
      <c r="D1840" t="str">
        <f>"青野老人クラブ青寿会"</f>
        <v>青野老人クラブ青寿会</v>
      </c>
      <c r="E1840" t="str">
        <f>"アオノロウジンクラブセイジュカイ"</f>
        <v>アオノロウジンクラブセイジュカイ</v>
      </c>
      <c r="F1840" t="str">
        <f>"井原"</f>
        <v>井原</v>
      </c>
      <c r="G1840" t="str">
        <f>"月刊"</f>
        <v>月刊</v>
      </c>
      <c r="H1840" t="str">
        <f>"2002222280491"</f>
        <v>2002222280491</v>
      </c>
      <c r="I1840" t="str">
        <f>HYPERLINK("#", "https://opac.libnet.pref.okayama.jp/licsxp-opac/WOpacMsgNewListToTifTilDetailAction.do?tilcod=2002222280491")</f>
        <v>https://opac.libnet.pref.okayama.jp/licsxp-opac/WOpacMsgNewListToTifTilDetailAction.do?tilcod=2002222280491</v>
      </c>
    </row>
    <row r="1841" spans="1:9" x14ac:dyDescent="0.4">
      <c r="A1841" t="str">
        <f>"冠句塔"</f>
        <v>冠句塔</v>
      </c>
      <c r="B1841" s="1" t="str">
        <f t="shared" si="103"/>
        <v>冠句塔</v>
      </c>
      <c r="C1841" t="str">
        <f>"カンクトウ"</f>
        <v>カンクトウ</v>
      </c>
      <c r="D1841" t="str">
        <f>"岡山県冠句研究会"</f>
        <v>岡山県冠句研究会</v>
      </c>
      <c r="E1841" t="str">
        <f>"オカヤマケンカンクケンキュウカイ"</f>
        <v>オカヤマケンカンクケンキュウカイ</v>
      </c>
      <c r="F1841" t="str">
        <f>""</f>
        <v/>
      </c>
      <c r="G1841" t="str">
        <f>"頻度不明"</f>
        <v>頻度不明</v>
      </c>
      <c r="H1841" t="str">
        <f>"2002222282753"</f>
        <v>2002222282753</v>
      </c>
      <c r="I1841" t="str">
        <f>HYPERLINK("#", "https://opac.libnet.pref.okayama.jp/licsxp-opac/WOpacMsgNewListToTifTilDetailAction.do?tilcod=2002222282753")</f>
        <v>https://opac.libnet.pref.okayama.jp/licsxp-opac/WOpacMsgNewListToTifTilDetailAction.do?tilcod=2002222282753</v>
      </c>
    </row>
    <row r="1842" spans="1:9" x14ac:dyDescent="0.4">
      <c r="A1842" t="str">
        <f>"冠句芳流"</f>
        <v>冠句芳流</v>
      </c>
      <c r="B1842" s="1" t="str">
        <f t="shared" si="103"/>
        <v>冠句芳流</v>
      </c>
      <c r="C1842" t="str">
        <f>"カンクホウリュウ"</f>
        <v>カンクホウリュウ</v>
      </c>
      <c r="D1842" t="str">
        <f>"冠句芳流編集所"</f>
        <v>冠句芳流編集所</v>
      </c>
      <c r="E1842" t="str">
        <f>"カンクホウリュウヘンシュウショ"</f>
        <v>カンクホウリュウヘンシュウショ</v>
      </c>
      <c r="F1842" t="str">
        <f>""</f>
        <v/>
      </c>
      <c r="G1842" t="str">
        <f>"月刊"</f>
        <v>月刊</v>
      </c>
      <c r="H1842" t="str">
        <f>"2002222282763"</f>
        <v>2002222282763</v>
      </c>
      <c r="I1842" t="str">
        <f>HYPERLINK("#", "https://opac.libnet.pref.okayama.jp/licsxp-opac/WOpacMsgNewListToTifTilDetailAction.do?tilcod=2002222282763")</f>
        <v>https://opac.libnet.pref.okayama.jp/licsxp-opac/WOpacMsgNewListToTifTilDetailAction.do?tilcod=2002222282763</v>
      </c>
    </row>
    <row r="1843" spans="1:9" x14ac:dyDescent="0.4">
      <c r="A1843" t="str">
        <f>"かんげき"</f>
        <v>かんげき</v>
      </c>
      <c r="B1843" s="1" t="str">
        <f t="shared" si="103"/>
        <v>かんげき</v>
      </c>
      <c r="C1843" t="str">
        <f>"カンゲキ"</f>
        <v>カンゲキ</v>
      </c>
      <c r="D1843" t="str">
        <f>"倉敷市民劇場"</f>
        <v>倉敷市民劇場</v>
      </c>
      <c r="E1843" t="str">
        <f>"クラシキシミンゲキジョウ"</f>
        <v>クラシキシミンゲキジョウ</v>
      </c>
      <c r="F1843" t="str">
        <f>""</f>
        <v/>
      </c>
      <c r="G1843" t="str">
        <f>"頻度不明"</f>
        <v>頻度不明</v>
      </c>
      <c r="H1843" t="str">
        <f>"2002222282773"</f>
        <v>2002222282773</v>
      </c>
      <c r="I1843" t="str">
        <f>HYPERLINK("#", "https://opac.libnet.pref.okayama.jp/licsxp-opac/WOpacMsgNewListToTifTilDetailAction.do?tilcod=2002222282773")</f>
        <v>https://opac.libnet.pref.okayama.jp/licsxp-opac/WOpacMsgNewListToTifTilDetailAction.do?tilcod=2002222282773</v>
      </c>
    </row>
    <row r="1844" spans="1:9" x14ac:dyDescent="0.4">
      <c r="A1844" t="str">
        <f>"看護おかやま"</f>
        <v>看護おかやま</v>
      </c>
      <c r="B1844" s="1" t="str">
        <f t="shared" si="103"/>
        <v>看護おかやま</v>
      </c>
      <c r="C1844" t="str">
        <f>"カンゴ　オカヤマ"</f>
        <v>カンゴ　オカヤマ</v>
      </c>
      <c r="D1844" t="str">
        <f>"岡山県看護協会"</f>
        <v>岡山県看護協会</v>
      </c>
      <c r="E1844" t="str">
        <f>"オカヤマケン カンゴ キョウカイ"</f>
        <v>オカヤマケン カンゴ キョウカイ</v>
      </c>
      <c r="F1844" t="str">
        <f>""</f>
        <v/>
      </c>
      <c r="G1844" t="str">
        <f>"季刊"</f>
        <v>季刊</v>
      </c>
      <c r="H1844" t="str">
        <f>"2002222327286"</f>
        <v>2002222327286</v>
      </c>
      <c r="I1844" t="str">
        <f>HYPERLINK("#", "https://opac.libnet.pref.okayama.jp/licsxp-opac/WOpacMsgNewListToTifTilDetailAction.do?tilcod=2002222327286")</f>
        <v>https://opac.libnet.pref.okayama.jp/licsxp-opac/WOpacMsgNewListToTifTilDetailAction.do?tilcod=2002222327286</v>
      </c>
    </row>
    <row r="1845" spans="1:9" x14ac:dyDescent="0.4">
      <c r="A1845" t="str">
        <f>"看護研究"</f>
        <v>看護研究</v>
      </c>
      <c r="B1845" s="1" t="str">
        <f t="shared" si="103"/>
        <v>看護研究</v>
      </c>
      <c r="C1845" t="str">
        <f>"カンゴ　ケンキュウ"</f>
        <v>カンゴ　ケンキュウ</v>
      </c>
      <c r="D1845" t="str">
        <f>"新見公立短期大学看護学科"</f>
        <v>新見公立短期大学看護学科</v>
      </c>
      <c r="E1845" t="str">
        <f>"ニイミ コウリツ タンキ ダイガク カンゴ ガッカ"</f>
        <v>ニイミ コウリツ タンキ ダイガク カンゴ ガッカ</v>
      </c>
      <c r="F1845" t="str">
        <f>"新見"</f>
        <v>新見</v>
      </c>
      <c r="G1845" t="str">
        <f>"年刊"</f>
        <v>年刊</v>
      </c>
      <c r="H1845" t="str">
        <f>"2002222302429"</f>
        <v>2002222302429</v>
      </c>
      <c r="I1845" t="str">
        <f>HYPERLINK("#", "https://opac.libnet.pref.okayama.jp/licsxp-opac/WOpacMsgNewListToTifTilDetailAction.do?tilcod=2002222302429")</f>
        <v>https://opac.libnet.pref.okayama.jp/licsxp-opac/WOpacMsgNewListToTifTilDetailAction.do?tilcod=2002222302429</v>
      </c>
    </row>
    <row r="1846" spans="1:9" x14ac:dyDescent="0.4">
      <c r="A1846" t="str">
        <f>"看護研究集録"</f>
        <v>看護研究集録</v>
      </c>
      <c r="B1846" s="1" t="str">
        <f t="shared" si="103"/>
        <v>看護研究集録</v>
      </c>
      <c r="C1846" t="str">
        <f>"カンゴ　ケンキュウ　シュウロク"</f>
        <v>カンゴ　ケンキュウ　シュウロク</v>
      </c>
      <c r="D1846" t="str">
        <f>"岡山女子看護専門学校"</f>
        <v>岡山女子看護専門学校</v>
      </c>
      <c r="E1846" t="str">
        <f>"オカヤマジョシカンゴセンモンガッコウ"</f>
        <v>オカヤマジョシカンゴセンモンガッコウ</v>
      </c>
      <c r="F1846" t="str">
        <f>"〔岡山〕"</f>
        <v>〔岡山〕</v>
      </c>
      <c r="G1846" t="str">
        <f>"年刊"</f>
        <v>年刊</v>
      </c>
      <c r="H1846" t="str">
        <f>"2002222302081"</f>
        <v>2002222302081</v>
      </c>
      <c r="I1846" t="str">
        <f>HYPERLINK("#", "https://opac.libnet.pref.okayama.jp/licsxp-opac/WOpacMsgNewListToTifTilDetailAction.do?tilcod=2002222302081")</f>
        <v>https://opac.libnet.pref.okayama.jp/licsxp-opac/WOpacMsgNewListToTifTilDetailAction.do?tilcod=2002222302081</v>
      </c>
    </row>
    <row r="1847" spans="1:9" x14ac:dyDescent="0.4">
      <c r="A1847" t="str">
        <f>"観光おかやま"</f>
        <v>観光おかやま</v>
      </c>
      <c r="B1847" s="1" t="str">
        <f t="shared" si="103"/>
        <v>観光おかやま</v>
      </c>
      <c r="C1847" t="str">
        <f>"カンコウ　オカヤマ"</f>
        <v>カンコウ　オカヤマ</v>
      </c>
      <c r="D1847" t="str">
        <f>"岡山県観光連盟"</f>
        <v>岡山県観光連盟</v>
      </c>
      <c r="E1847" t="str">
        <f>"オカヤマケン カンコウ レンメイ"</f>
        <v>オカヤマケン カンコウ レンメイ</v>
      </c>
      <c r="F1847" t="str">
        <f>""</f>
        <v/>
      </c>
      <c r="G1847" t="str">
        <f>"頻度不明"</f>
        <v>頻度不明</v>
      </c>
      <c r="H1847" t="str">
        <f>"2002222282783"</f>
        <v>2002222282783</v>
      </c>
      <c r="I1847" t="str">
        <f>HYPERLINK("#", "https://opac.libnet.pref.okayama.jp/licsxp-opac/WOpacMsgNewListToTifTilDetailAction.do?tilcod=2002222282783")</f>
        <v>https://opac.libnet.pref.okayama.jp/licsxp-opac/WOpacMsgNewListToTifTilDetailAction.do?tilcod=2002222282783</v>
      </c>
    </row>
    <row r="1848" spans="1:9" x14ac:dyDescent="0.4">
      <c r="A1848" t="str">
        <f>"観光かも"</f>
        <v>観光かも</v>
      </c>
      <c r="B1848" s="1" t="str">
        <f t="shared" si="103"/>
        <v>観光かも</v>
      </c>
      <c r="C1848" t="str">
        <f>"カンコウ　カモ"</f>
        <v>カンコウ　カモ</v>
      </c>
      <c r="D1848" t="str">
        <f>"加茂町観光協会"</f>
        <v>加茂町観光協会</v>
      </c>
      <c r="E1848" t="str">
        <f>"カモチョウカンコウキョウカイ"</f>
        <v>カモチョウカンコウキョウカイ</v>
      </c>
      <c r="F1848" t="str">
        <f>"加茂町"</f>
        <v>加茂町</v>
      </c>
      <c r="G1848" t="str">
        <f>"不定期刊"</f>
        <v>不定期刊</v>
      </c>
      <c r="H1848" t="str">
        <f>"2002222292361"</f>
        <v>2002222292361</v>
      </c>
      <c r="I1848" t="str">
        <f>HYPERLINK("#", "https://opac.libnet.pref.okayama.jp/licsxp-opac/WOpacMsgNewListToTifTilDetailAction.do?tilcod=2002222292361")</f>
        <v>https://opac.libnet.pref.okayama.jp/licsxp-opac/WOpacMsgNewListToTifTilDetailAction.do?tilcod=2002222292361</v>
      </c>
    </row>
    <row r="1849" spans="1:9" x14ac:dyDescent="0.4">
      <c r="A1849" t="str">
        <f>"観光くらしき"</f>
        <v>観光くらしき</v>
      </c>
      <c r="B1849" s="1" t="str">
        <f t="shared" si="103"/>
        <v>観光くらしき</v>
      </c>
      <c r="C1849" t="str">
        <f>"カンコウ クラシキ"</f>
        <v>カンコウ クラシキ</v>
      </c>
      <c r="D1849" t="str">
        <f>"倉敷観光コンベンションビューロー"</f>
        <v>倉敷観光コンベンションビューロー</v>
      </c>
      <c r="E1849" t="str">
        <f>"クラシキ カンコウ コンベンション ビューロー"</f>
        <v>クラシキ カンコウ コンベンション ビューロー</v>
      </c>
      <c r="F1849" t="str">
        <f>"倉敷"</f>
        <v>倉敷</v>
      </c>
      <c r="G1849" t="str">
        <f>"頻度不明"</f>
        <v>頻度不明</v>
      </c>
      <c r="H1849" t="str">
        <f>"2002222333369"</f>
        <v>2002222333369</v>
      </c>
      <c r="I1849" t="str">
        <f>HYPERLINK("#", "https://opac.libnet.pref.okayama.jp/licsxp-opac/WOpacMsgNewListToTifTilDetailAction.do?tilcod=2002222333369")</f>
        <v>https://opac.libnet.pref.okayama.jp/licsxp-opac/WOpacMsgNewListToTifTilDetailAction.do?tilcod=2002222333369</v>
      </c>
    </row>
    <row r="1850" spans="1:9" x14ac:dyDescent="0.4">
      <c r="A1850" t="str">
        <f>"かんこう下電"</f>
        <v>かんこう下電</v>
      </c>
      <c r="B1850" s="1" t="str">
        <f t="shared" si="103"/>
        <v>かんこう下電</v>
      </c>
      <c r="C1850" t="str">
        <f>"カンコウ　シモデン"</f>
        <v>カンコウ　シモデン</v>
      </c>
      <c r="D1850" t="str">
        <f>"児島市下電観光課"</f>
        <v>児島市下電観光課</v>
      </c>
      <c r="E1850" t="str">
        <f>"コジマシ シモデン カンコウカ"</f>
        <v>コジマシ シモデン カンコウカ</v>
      </c>
      <c r="F1850" t="str">
        <f>"児島"</f>
        <v>児島</v>
      </c>
      <c r="G1850" t="str">
        <f>"不定期刊"</f>
        <v>不定期刊</v>
      </c>
      <c r="H1850" t="str">
        <f>"2002222301163"</f>
        <v>2002222301163</v>
      </c>
      <c r="I1850" t="str">
        <f>HYPERLINK("#", "https://opac.libnet.pref.okayama.jp/licsxp-opac/WOpacMsgNewListToTifTilDetailAction.do?tilcod=2002222301163")</f>
        <v>https://opac.libnet.pref.okayama.jp/licsxp-opac/WOpacMsgNewListToTifTilDetailAction.do?tilcod=2002222301163</v>
      </c>
    </row>
    <row r="1851" spans="1:9" x14ac:dyDescent="0.4">
      <c r="A1851" t="str">
        <f>"〔関西学園高等学校郷土研究部〕報告書"</f>
        <v>〔関西学園高等学校郷土研究部〕報告書</v>
      </c>
      <c r="B1851" s="1" t="str">
        <f t="shared" si="103"/>
        <v>〔関西学園高等学校郷土研究部〕報告書</v>
      </c>
      <c r="C1851" t="str">
        <f>"カンサイ　ガクエン　コウトウ　ガッコウ　キョウド　ケンキュウ　ブ＊ホウコク　ショ"</f>
        <v>カンサイ　ガクエン　コウトウ　ガッコウ　キョウド　ケンキュウ　ブ＊ホウコク　ショ</v>
      </c>
      <c r="D1851" t="str">
        <f>""</f>
        <v/>
      </c>
      <c r="E1851" t="str">
        <f>""</f>
        <v/>
      </c>
      <c r="F1851" t="str">
        <f>""</f>
        <v/>
      </c>
      <c r="G1851" t="str">
        <f>"頻度不明"</f>
        <v>頻度不明</v>
      </c>
      <c r="H1851" t="str">
        <f>"2002222282833"</f>
        <v>2002222282833</v>
      </c>
      <c r="I1851" t="str">
        <f>HYPERLINK("#", "https://opac.libnet.pref.okayama.jp/licsxp-opac/WOpacMsgNewListToTifTilDetailAction.do?tilcod=2002222282833")</f>
        <v>https://opac.libnet.pref.okayama.jp/licsxp-opac/WOpacMsgNewListToTifTilDetailAction.do?tilcod=2002222282833</v>
      </c>
    </row>
    <row r="1852" spans="1:9" x14ac:dyDescent="0.4">
      <c r="A1852" t="str">
        <f>"関西時評"</f>
        <v>関西時評</v>
      </c>
      <c r="B1852" s="1" t="str">
        <f t="shared" si="103"/>
        <v>関西時評</v>
      </c>
      <c r="C1852" t="str">
        <f>"カンサイ　ジヒョウ"</f>
        <v>カンサイ　ジヒョウ</v>
      </c>
      <c r="D1852" t="str">
        <f>"関西時評社"</f>
        <v>関西時評社</v>
      </c>
      <c r="E1852" t="str">
        <f>"カンサイジヒョウシャ"</f>
        <v>カンサイジヒョウシャ</v>
      </c>
      <c r="F1852" t="str">
        <f>"岡山"</f>
        <v>岡山</v>
      </c>
      <c r="G1852" t="str">
        <f>"不定期刊"</f>
        <v>不定期刊</v>
      </c>
      <c r="H1852" t="str">
        <f>"2002222300859"</f>
        <v>2002222300859</v>
      </c>
      <c r="I1852" t="str">
        <f>HYPERLINK("#", "https://opac.libnet.pref.okayama.jp/licsxp-opac/WOpacMsgNewListToTifTilDetailAction.do?tilcod=2002222300859")</f>
        <v>https://opac.libnet.pref.okayama.jp/licsxp-opac/WOpacMsgNewListToTifTilDetailAction.do?tilcod=2002222300859</v>
      </c>
    </row>
    <row r="1853" spans="1:9" x14ac:dyDescent="0.4">
      <c r="A1853" t="str">
        <f>"関西書芸"</f>
        <v>関西書芸</v>
      </c>
      <c r="B1853" s="1" t="str">
        <f t="shared" si="103"/>
        <v>関西書芸</v>
      </c>
      <c r="C1853" t="str">
        <f>"カンサイ　ショゲイ"</f>
        <v>カンサイ　ショゲイ</v>
      </c>
      <c r="D1853" t="str">
        <f>"関西書芸院"</f>
        <v>関西書芸院</v>
      </c>
      <c r="E1853" t="str">
        <f>"カンサイショゲイイン"</f>
        <v>カンサイショゲイイン</v>
      </c>
      <c r="F1853" t="str">
        <f>""</f>
        <v/>
      </c>
      <c r="G1853" t="str">
        <f>"月刊"</f>
        <v>月刊</v>
      </c>
      <c r="H1853" t="str">
        <f>"2002222282793"</f>
        <v>2002222282793</v>
      </c>
      <c r="I1853" t="str">
        <f>HYPERLINK("#", "https://opac.libnet.pref.okayama.jp/licsxp-opac/WOpacMsgNewListToTifTilDetailAction.do?tilcod=2002222282793")</f>
        <v>https://opac.libnet.pref.okayama.jp/licsxp-opac/WOpacMsgNewListToTifTilDetailAction.do?tilcod=2002222282793</v>
      </c>
    </row>
    <row r="1854" spans="1:9" x14ac:dyDescent="0.4">
      <c r="A1854" t="str">
        <f>"かんしきおかやま"</f>
        <v>かんしきおかやま</v>
      </c>
      <c r="B1854" s="1" t="str">
        <f t="shared" si="103"/>
        <v>かんしきおかやま</v>
      </c>
      <c r="C1854" t="str">
        <f>"カンシキ オカヤマ"</f>
        <v>カンシキ オカヤマ</v>
      </c>
      <c r="D1854" t="str">
        <f>"岡山県警察本部鑑識課"</f>
        <v>岡山県警察本部鑑識課</v>
      </c>
      <c r="E1854" t="str">
        <f>"オカヤマケン ケイサツ ホンブ カンシキカ"</f>
        <v>オカヤマケン ケイサツ ホンブ カンシキカ</v>
      </c>
      <c r="F1854" t="str">
        <f>"[岡山]"</f>
        <v>[岡山]</v>
      </c>
      <c r="G1854" t="str">
        <f>"頻度不明"</f>
        <v>頻度不明</v>
      </c>
      <c r="H1854" t="str">
        <f>"2002222306723"</f>
        <v>2002222306723</v>
      </c>
      <c r="I1854" t="str">
        <f>HYPERLINK("#", "https://opac.libnet.pref.okayama.jp/licsxp-opac/WOpacMsgNewListToTifTilDetailAction.do?tilcod=2002222306723")</f>
        <v>https://opac.libnet.pref.okayama.jp/licsxp-opac/WOpacMsgNewListToTifTilDetailAction.do?tilcod=2002222306723</v>
      </c>
    </row>
    <row r="1855" spans="1:9" x14ac:dyDescent="0.4">
      <c r="A1855" t="str">
        <f>"関西高等学校学校案内"</f>
        <v>関西高等学校学校案内</v>
      </c>
      <c r="B1855" s="1" t="str">
        <f t="shared" si="103"/>
        <v>関西高等学校学校案内</v>
      </c>
      <c r="C1855" t="str">
        <f>"カンゼイ　コウトウ　ガッコウ　ガッコウ　アンナイ"</f>
        <v>カンゼイ　コウトウ　ガッコウ　ガッコウ　アンナイ</v>
      </c>
      <c r="D1855" t="str">
        <f>"関西高等学校"</f>
        <v>関西高等学校</v>
      </c>
      <c r="E1855" t="str">
        <f>"カンゼイ コウトウ ガッコウ"</f>
        <v>カンゼイ コウトウ ガッコウ</v>
      </c>
      <c r="F1855" t="str">
        <f>"岡山"</f>
        <v>岡山</v>
      </c>
      <c r="G1855" t="str">
        <f>"年刊"</f>
        <v>年刊</v>
      </c>
      <c r="H1855" t="str">
        <f>"2002222301205"</f>
        <v>2002222301205</v>
      </c>
      <c r="I1855" t="str">
        <f>HYPERLINK("#", "https://opac.libnet.pref.okayama.jp/licsxp-opac/WOpacMsgNewListToTifTilDetailAction.do?tilcod=2002222301205")</f>
        <v>https://opac.libnet.pref.okayama.jp/licsxp-opac/WOpacMsgNewListToTifTilDetailAction.do?tilcod=2002222301205</v>
      </c>
    </row>
    <row r="1856" spans="1:9" x14ac:dyDescent="0.4">
      <c r="A1856" t="str">
        <f>"関西高等学校学校要覧"</f>
        <v>関西高等学校学校要覧</v>
      </c>
      <c r="B1856" s="1" t="str">
        <f t="shared" si="103"/>
        <v>関西高等学校学校要覧</v>
      </c>
      <c r="C1856" t="str">
        <f>"カンゼイ　コウトウ　ガッコウ　ガッコウ　ヨウラン"</f>
        <v>カンゼイ　コウトウ　ガッコウ　ガッコウ　ヨウラン</v>
      </c>
      <c r="D1856" t="str">
        <f>"関西高等学校"</f>
        <v>関西高等学校</v>
      </c>
      <c r="E1856" t="str">
        <f>"カンゼイ コウトウ ガッコウ"</f>
        <v>カンゼイ コウトウ ガッコウ</v>
      </c>
      <c r="F1856" t="str">
        <f>"岡山"</f>
        <v>岡山</v>
      </c>
      <c r="G1856" t="str">
        <f>"年刊"</f>
        <v>年刊</v>
      </c>
      <c r="H1856" t="str">
        <f>"2002222300569"</f>
        <v>2002222300569</v>
      </c>
      <c r="I1856" t="str">
        <f>HYPERLINK("#", "https://opac.libnet.pref.okayama.jp/licsxp-opac/WOpacMsgNewListToTifTilDetailAction.do?tilcod=2002222300569")</f>
        <v>https://opac.libnet.pref.okayama.jp/licsxp-opac/WOpacMsgNewListToTifTilDetailAction.do?tilcod=2002222300569</v>
      </c>
    </row>
    <row r="1857" spans="1:9" x14ac:dyDescent="0.4">
      <c r="A1857" t="str">
        <f>"[関西高等学校JRC機関誌]　清流"</f>
        <v>[関西高等学校JRC機関誌]　清流</v>
      </c>
      <c r="B1857" s="1" t="str">
        <f t="shared" si="103"/>
        <v>[関西高等学校JRC機関誌]　清流</v>
      </c>
      <c r="C1857" t="str">
        <f>"カンゼイ コウトウ ガッコウ ジェイ アール シー キカンシ セイリュウ"</f>
        <v>カンゼイ コウトウ ガッコウ ジェイ アール シー キカンシ セイリュウ</v>
      </c>
      <c r="D1857" t="str">
        <f>"関西高等学校JRC（青少年赤十字団）"</f>
        <v>関西高等学校JRC（青少年赤十字団）</v>
      </c>
      <c r="E1857" t="str">
        <f>"カンゼイ コウトウ ガッコウ ジェイ アール シー セイショウネン セキジュウジダン"</f>
        <v>カンゼイ コウトウ ガッコウ ジェイ アール シー セイショウネン セキジュウジダン</v>
      </c>
      <c r="F1857" t="str">
        <f>""</f>
        <v/>
      </c>
      <c r="G1857" t="str">
        <f>"頻度不明"</f>
        <v>頻度不明</v>
      </c>
      <c r="H1857" t="str">
        <f>"2002222328462"</f>
        <v>2002222328462</v>
      </c>
      <c r="I1857" t="str">
        <f>HYPERLINK("#", "https://opac.libnet.pref.okayama.jp/licsxp-opac/WOpacMsgNewListToTifTilDetailAction.do?tilcod=2002222328462")</f>
        <v>https://opac.libnet.pref.okayama.jp/licsxp-opac/WOpacMsgNewListToTifTilDetailAction.do?tilcod=2002222328462</v>
      </c>
    </row>
    <row r="1858" spans="1:9" x14ac:dyDescent="0.4">
      <c r="A1858" t="str">
        <f>"〔関西高等学校〕図書館報"</f>
        <v>〔関西高等学校〕図書館報</v>
      </c>
      <c r="B1858" s="1" t="str">
        <f t="shared" si="103"/>
        <v>〔関西高等学校〕図書館報</v>
      </c>
      <c r="C1858" t="str">
        <f>"カンゼイ　コウトウ　ガッコウ＊トショカン　ポウ"</f>
        <v>カンゼイ　コウトウ　ガッコウ＊トショカン　ポウ</v>
      </c>
      <c r="D1858" t="str">
        <f>"関西高校図書館"</f>
        <v>関西高校図書館</v>
      </c>
      <c r="E1858" t="str">
        <f>"カンゼイコウコウトショカン"</f>
        <v>カンゼイコウコウトショカン</v>
      </c>
      <c r="F1858" t="str">
        <f>"岡山"</f>
        <v>岡山</v>
      </c>
      <c r="G1858" t="str">
        <f>"年刊"</f>
        <v>年刊</v>
      </c>
      <c r="H1858" t="str">
        <f>"2002222302025"</f>
        <v>2002222302025</v>
      </c>
      <c r="I1858" t="str">
        <f>HYPERLINK("#", "https://opac.libnet.pref.okayama.jp/licsxp-opac/WOpacMsgNewListToTifTilDetailAction.do?tilcod=2002222302025")</f>
        <v>https://opac.libnet.pref.okayama.jp/licsxp-opac/WOpacMsgNewListToTifTilDetailAction.do?tilcod=2002222302025</v>
      </c>
    </row>
    <row r="1859" spans="1:9" x14ac:dyDescent="0.4">
      <c r="A1859" t="str">
        <f>"[観生高等女学校]白菊"</f>
        <v>[観生高等女学校]白菊</v>
      </c>
      <c r="B1859" s="1" t="str">
        <f t="shared" si="103"/>
        <v>[観生高等女学校]白菊</v>
      </c>
      <c r="C1859" t="str">
        <f>"カンセイ コウトウ ジョガッコウ シラギク"</f>
        <v>カンセイ コウトウ ジョガッコウ シラギク</v>
      </c>
      <c r="D1859" t="str">
        <f>"観生高等女学校白菊会"</f>
        <v>観生高等女学校白菊会</v>
      </c>
      <c r="E1859" t="str">
        <f>"カンセイ コウトウ ジョガッコウ シラギクカイ"</f>
        <v>カンセイ コウトウ ジョガッコウ シラギクカイ</v>
      </c>
      <c r="F1859" t="str">
        <f>""</f>
        <v/>
      </c>
      <c r="G1859" t="str">
        <f>"頻度不明"</f>
        <v>頻度不明</v>
      </c>
      <c r="H1859" t="str">
        <f>"2002222287473"</f>
        <v>2002222287473</v>
      </c>
      <c r="I1859" t="str">
        <f>HYPERLINK("#", "https://opac.libnet.pref.okayama.jp/licsxp-opac/WOpacMsgNewListToTifTilDetailAction.do?tilcod=2002222287473")</f>
        <v>https://opac.libnet.pref.okayama.jp/licsxp-opac/WOpacMsgNewListToTifTilDetailAction.do?tilcod=2002222287473</v>
      </c>
    </row>
    <row r="1860" spans="1:9" x14ac:dyDescent="0.4">
      <c r="A1860" t="str">
        <f>"関西中学校丙申会会報"</f>
        <v>関西中学校丙申会会報</v>
      </c>
      <c r="B1860" s="1" t="str">
        <f t="shared" ref="B1860:B1923" si="106">HYPERLINK("#", A1860)</f>
        <v>関西中学校丙申会会報</v>
      </c>
      <c r="C1860" t="str">
        <f>"カンゼイ　チュウガッコウ　ヘイシンカイ　カイホウ"</f>
        <v>カンゼイ　チュウガッコウ　ヘイシンカイ　カイホウ</v>
      </c>
      <c r="D1860" t="str">
        <f>"関西中学校丙申会"</f>
        <v>関西中学校丙申会</v>
      </c>
      <c r="E1860" t="str">
        <f>"カンゼイ チュウガッコウ ヘイシンカイ"</f>
        <v>カンゼイ チュウガッコウ ヘイシンカイ</v>
      </c>
      <c r="F1860" t="str">
        <f>""</f>
        <v/>
      </c>
      <c r="G1860" t="str">
        <f>"年刊"</f>
        <v>年刊</v>
      </c>
      <c r="H1860" t="str">
        <f>"2002222282843"</f>
        <v>2002222282843</v>
      </c>
      <c r="I1860" t="str">
        <f>HYPERLINK("#", "https://opac.libnet.pref.okayama.jp/licsxp-opac/WOpacMsgNewListToTifTilDetailAction.do?tilcod=2002222282843")</f>
        <v>https://opac.libnet.pref.okayama.jp/licsxp-opac/WOpacMsgNewListToTifTilDetailAction.do?tilcod=2002222282843</v>
      </c>
    </row>
    <row r="1861" spans="1:9" x14ac:dyDescent="0.4">
      <c r="A1861" t="str">
        <f>"〔関西中学校丙申会〕美佳土；みかど；三門；ミカド"</f>
        <v>〔関西中学校丙申会〕美佳土；みかど；三門；ミカド</v>
      </c>
      <c r="B1861" s="1" t="str">
        <f t="shared" si="106"/>
        <v>〔関西中学校丙申会〕美佳土；みかど；三門；ミカド</v>
      </c>
      <c r="C1861" t="str">
        <f>"カンゼイ　チュウガッコウ　ヘイシンカイ＊ミカド"</f>
        <v>カンゼイ　チュウガッコウ　ヘイシンカイ＊ミカド</v>
      </c>
      <c r="D1861" t="str">
        <f>"関西中学校丙申会"</f>
        <v>関西中学校丙申会</v>
      </c>
      <c r="E1861" t="str">
        <f>"カンゼイ チュウガッコウ ヘイシンカイ"</f>
        <v>カンゼイ チュウガッコウ ヘイシンカイ</v>
      </c>
      <c r="F1861" t="str">
        <f>"岡山"</f>
        <v>岡山</v>
      </c>
      <c r="G1861" t="str">
        <f>"年刊"</f>
        <v>年刊</v>
      </c>
      <c r="H1861" t="str">
        <f>"2002222282823"</f>
        <v>2002222282823</v>
      </c>
      <c r="I1861" t="str">
        <f>HYPERLINK("#", "https://opac.libnet.pref.okayama.jp/licsxp-opac/WOpacMsgNewListToTifTilDetailAction.do?tilcod=2002222282823")</f>
        <v>https://opac.libnet.pref.okayama.jp/licsxp-opac/WOpacMsgNewListToTifTilDetailAction.do?tilcod=2002222282823</v>
      </c>
    </row>
    <row r="1862" spans="1:9" x14ac:dyDescent="0.4">
      <c r="A1862" t="str">
        <f>"〔関西中学校〕ミカド"</f>
        <v>〔関西中学校〕ミカド</v>
      </c>
      <c r="B1862" s="1" t="str">
        <f t="shared" si="106"/>
        <v>〔関西中学校〕ミカド</v>
      </c>
      <c r="C1862" t="str">
        <f>"カンゼイ　チュウガッコウ＊ミカド"</f>
        <v>カンゼイ　チュウガッコウ＊ミカド</v>
      </c>
      <c r="D1862" t="str">
        <f>"関西中学校丙申会"</f>
        <v>関西中学校丙申会</v>
      </c>
      <c r="E1862" t="str">
        <f>"カンゼイ チュウガッコウ ヘイシンカイ"</f>
        <v>カンゼイ チュウガッコウ ヘイシンカイ</v>
      </c>
      <c r="F1862" t="str">
        <f>""</f>
        <v/>
      </c>
      <c r="G1862" t="str">
        <f>"頻度不明"</f>
        <v>頻度不明</v>
      </c>
      <c r="H1862" t="str">
        <f>"2002222282813"</f>
        <v>2002222282813</v>
      </c>
      <c r="I1862" t="str">
        <f>HYPERLINK("#", "https://opac.libnet.pref.okayama.jp/licsxp-opac/WOpacMsgNewListToTifTilDetailAction.do?tilcod=2002222282813")</f>
        <v>https://opac.libnet.pref.okayama.jp/licsxp-opac/WOpacMsgNewListToTifTilDetailAction.do?tilcod=2002222282813</v>
      </c>
    </row>
    <row r="1863" spans="1:9" x14ac:dyDescent="0.4">
      <c r="A1863" t="str">
        <f>"〔関西高等学校〕みかど"</f>
        <v>〔関西高等学校〕みかど</v>
      </c>
      <c r="B1863" s="1" t="str">
        <f t="shared" si="106"/>
        <v>〔関西高等学校〕みかど</v>
      </c>
      <c r="C1863" t="str">
        <f>"カンゼイコウトウガッコウ＊ミカド"</f>
        <v>カンゼイコウトウガッコウ＊ミカド</v>
      </c>
      <c r="D1863" t="str">
        <f>"関西高等学校生徒会雑誌部"</f>
        <v>関西高等学校生徒会雑誌部</v>
      </c>
      <c r="E1863" t="str">
        <f>"カンゼイコウトウガッコウセイトカイザッシブ"</f>
        <v>カンゼイコウトウガッコウセイトカイザッシブ</v>
      </c>
      <c r="F1863" t="str">
        <f>"岡山"</f>
        <v>岡山</v>
      </c>
      <c r="G1863" t="str">
        <f>"年刊"</f>
        <v>年刊</v>
      </c>
      <c r="H1863" t="str">
        <f>"2002222282803"</f>
        <v>2002222282803</v>
      </c>
      <c r="I1863" t="str">
        <f>HYPERLINK("#", "https://opac.libnet.pref.okayama.jp/licsxp-opac/WOpacMsgNewListToTifTilDetailAction.do?tilcod=2002222282803")</f>
        <v>https://opac.libnet.pref.okayama.jp/licsxp-opac/WOpacMsgNewListToTifTilDetailAction.do?tilcod=2002222282803</v>
      </c>
    </row>
    <row r="1864" spans="1:9" x14ac:dyDescent="0.4">
      <c r="A1864" t="str">
        <f>"環太平洋大学研究紀要"</f>
        <v>環太平洋大学研究紀要</v>
      </c>
      <c r="B1864" s="1" t="str">
        <f t="shared" si="106"/>
        <v>環太平洋大学研究紀要</v>
      </c>
      <c r="C1864" t="str">
        <f>"カンタイヘイヨウ　ダイガク　ケンキュウ　キヨウ"</f>
        <v>カンタイヘイヨウ　ダイガク　ケンキュウ　キヨウ</v>
      </c>
      <c r="D1864" t="str">
        <f>"環太平洋大学"</f>
        <v>環太平洋大学</v>
      </c>
      <c r="E1864" t="str">
        <f>"カンタイヘイヨウ ダイガク"</f>
        <v>カンタイヘイヨウ ダイガク</v>
      </c>
      <c r="F1864" t="str">
        <f>"岡山"</f>
        <v>岡山</v>
      </c>
      <c r="G1864" t="str">
        <f>"年刊"</f>
        <v>年刊</v>
      </c>
      <c r="H1864" t="str">
        <f>"2002222301769"</f>
        <v>2002222301769</v>
      </c>
      <c r="I1864" t="str">
        <f>HYPERLINK("#", "https://opac.libnet.pref.okayama.jp/licsxp-opac/WOpacMsgNewListToTifTilDetailAction.do?tilcod=2002222301769")</f>
        <v>https://opac.libnet.pref.okayama.jp/licsxp-opac/WOpacMsgNewListToTifTilDetailAction.do?tilcod=2002222301769</v>
      </c>
    </row>
    <row r="1865" spans="1:9" x14ac:dyDescent="0.4">
      <c r="A1865" t="str">
        <f>"感動情報おかやま"</f>
        <v>感動情報おかやま</v>
      </c>
      <c r="B1865" s="1" t="str">
        <f t="shared" si="106"/>
        <v>感動情報おかやま</v>
      </c>
      <c r="C1865" t="str">
        <f>"カンドウ　ジョウホウ　オカヤマ"</f>
        <v>カンドウ　ジョウホウ　オカヤマ</v>
      </c>
      <c r="D1865" t="str">
        <f>"岡山県知事室広聴広報課"</f>
        <v>岡山県知事室広聴広報課</v>
      </c>
      <c r="E1865" t="str">
        <f>"オカヤマケン チジシツ コウチョウ コウホウカ"</f>
        <v>オカヤマケン チジシツ コウチョウ コウホウカ</v>
      </c>
      <c r="F1865" t="str">
        <f>"岡山"</f>
        <v>岡山</v>
      </c>
      <c r="G1865" t="str">
        <f>"月刊"</f>
        <v>月刊</v>
      </c>
      <c r="H1865" t="str">
        <f>"2002222301912"</f>
        <v>2002222301912</v>
      </c>
      <c r="I1865" t="str">
        <f>HYPERLINK("#", "https://opac.libnet.pref.okayama.jp/licsxp-opac/WOpacMsgNewListToTifTilDetailAction.do?tilcod=2002222301912")</f>
        <v>https://opac.libnet.pref.okayama.jp/licsxp-opac/WOpacMsgNewListToTifTilDetailAction.do?tilcod=2002222301912</v>
      </c>
    </row>
    <row r="1866" spans="1:9" x14ac:dyDescent="0.4">
      <c r="A1866" t="str">
        <f>"?乃"</f>
        <v>?乃</v>
      </c>
      <c r="B1866" s="1" t="str">
        <f t="shared" si="106"/>
        <v>?乃</v>
      </c>
      <c r="C1866" t="str">
        <f>"カンノ"</f>
        <v>カンノ</v>
      </c>
      <c r="D1866" t="str">
        <f>"三陵波璃詩社"</f>
        <v>三陵波璃詩社</v>
      </c>
      <c r="E1866" t="str">
        <f>"サンリョウ ハリシ シャ"</f>
        <v>サンリョウ ハリシ シャ</v>
      </c>
      <c r="F1866" t="str">
        <f>"邑久郡"</f>
        <v>邑久郡</v>
      </c>
      <c r="G1866" t="str">
        <f>"月刊"</f>
        <v>月刊</v>
      </c>
      <c r="H1866" t="str">
        <f>"2002222309766"</f>
        <v>2002222309766</v>
      </c>
      <c r="I1866" t="str">
        <f>HYPERLINK("#", "https://opac.libnet.pref.okayama.jp/licsxp-opac/WOpacMsgNewListToTifTilDetailAction.do?tilcod=2002222309766")</f>
        <v>https://opac.libnet.pref.okayama.jp/licsxp-opac/WOpacMsgNewListToTifTilDetailAction.do?tilcod=2002222309766</v>
      </c>
    </row>
    <row r="1867" spans="1:9" x14ac:dyDescent="0.4">
      <c r="A1867" t="str">
        <f>"観音だより"</f>
        <v>観音だより</v>
      </c>
      <c r="B1867" s="1" t="str">
        <f t="shared" si="106"/>
        <v>観音だより</v>
      </c>
      <c r="C1867" t="str">
        <f>"カンノン ダヨリ"</f>
        <v>カンノン ダヨリ</v>
      </c>
      <c r="D1867" t="str">
        <f>"観音会広報委員会"</f>
        <v>観音会広報委員会</v>
      </c>
      <c r="E1867" t="str">
        <f>"カンノンカイ コウホウ　イインカイ"</f>
        <v>カンノンカイ コウホウ　イインカイ</v>
      </c>
      <c r="F1867" t="str">
        <f>"岡山"</f>
        <v>岡山</v>
      </c>
      <c r="G1867" t="str">
        <f>"頻度不明"</f>
        <v>頻度不明</v>
      </c>
      <c r="H1867" t="str">
        <f>"2002222334051"</f>
        <v>2002222334051</v>
      </c>
      <c r="I1867" t="str">
        <f>HYPERLINK("#", "https://opac.libnet.pref.okayama.jp/licsxp-opac/WOpacMsgNewListToTifTilDetailAction.do?tilcod=2002222334051")</f>
        <v>https://opac.libnet.pref.okayama.jp/licsxp-opac/WOpacMsgNewListToTifTilDetailAction.do?tilcod=2002222334051</v>
      </c>
    </row>
    <row r="1868" spans="1:9" x14ac:dyDescent="0.4">
      <c r="A1868" t="str">
        <f>"環保センターだより"</f>
        <v>環保センターだより</v>
      </c>
      <c r="B1868" s="1" t="str">
        <f t="shared" si="106"/>
        <v>環保センターだより</v>
      </c>
      <c r="C1868" t="str">
        <f>"カンポ　センター　ダヨリ"</f>
        <v>カンポ　センター　ダヨリ</v>
      </c>
      <c r="D1868" t="str">
        <f>"岡山県環境保健センター"</f>
        <v>岡山県環境保健センター</v>
      </c>
      <c r="E1868" t="str">
        <f>"オカヤマケン カンキョウ ホケン センター"</f>
        <v>オカヤマケン カンキョウ ホケン センター</v>
      </c>
      <c r="F1868" t="str">
        <f>"岡山"</f>
        <v>岡山</v>
      </c>
      <c r="G1868" t="str">
        <f>"年２回刊"</f>
        <v>年２回刊</v>
      </c>
      <c r="H1868" t="str">
        <f>"2002222301101"</f>
        <v>2002222301101</v>
      </c>
      <c r="I1868" t="str">
        <f>HYPERLINK("#", "https://opac.libnet.pref.okayama.jp/licsxp-opac/WOpacMsgNewListToTifTilDetailAction.do?tilcod=2002222301101")</f>
        <v>https://opac.libnet.pref.okayama.jp/licsxp-opac/WOpacMsgNewListToTifTilDetailAction.do?tilcod=2002222301101</v>
      </c>
    </row>
    <row r="1869" spans="1:9" x14ac:dyDescent="0.4">
      <c r="A1869" t="str">
        <f>"緩和医療"</f>
        <v>緩和医療</v>
      </c>
      <c r="B1869" s="1" t="str">
        <f t="shared" si="106"/>
        <v>緩和医療</v>
      </c>
      <c r="C1869" t="str">
        <f>"カンワ　イリョウ"</f>
        <v>カンワ　イリョウ</v>
      </c>
      <c r="D1869" t="str">
        <f>"緩和医療研究会"</f>
        <v>緩和医療研究会</v>
      </c>
      <c r="E1869" t="str">
        <f>"カンワイリョウケンキュウカイ"</f>
        <v>カンワイリョウケンキュウカイ</v>
      </c>
      <c r="F1869" t="str">
        <f>"岡山"</f>
        <v>岡山</v>
      </c>
      <c r="G1869" t="str">
        <f>"年刊"</f>
        <v>年刊</v>
      </c>
      <c r="H1869" t="str">
        <f>"2002222284591"</f>
        <v>2002222284591</v>
      </c>
      <c r="I1869" t="str">
        <f>HYPERLINK("#", "https://opac.libnet.pref.okayama.jp/licsxp-opac/WOpacMsgNewListToTifTilDetailAction.do?tilcod=2002222284591")</f>
        <v>https://opac.libnet.pref.okayama.jp/licsxp-opac/WOpacMsgNewListToTifTilDetailAction.do?tilcod=2002222284591</v>
      </c>
    </row>
    <row r="1870" spans="1:9" x14ac:dyDescent="0.4">
      <c r="A1870" t="str">
        <f>"器 QUI"</f>
        <v>器 QUI</v>
      </c>
      <c r="B1870" s="1" t="str">
        <f t="shared" si="106"/>
        <v>器 QUI</v>
      </c>
      <c r="C1870" t="str">
        <f>"キ  "</f>
        <v xml:space="preserve">キ  </v>
      </c>
      <c r="D1870" t="str">
        <f>"くにさだ きみ"</f>
        <v>くにさだ きみ</v>
      </c>
      <c r="E1870" t="str">
        <f>"クニサダ キミ"</f>
        <v>クニサダ キミ</v>
      </c>
      <c r="F1870" t="str">
        <f>"総社"</f>
        <v>総社</v>
      </c>
      <c r="G1870" t="str">
        <f>"頻度不明"</f>
        <v>頻度不明</v>
      </c>
      <c r="H1870" t="str">
        <f>"2002222319872"</f>
        <v>2002222319872</v>
      </c>
      <c r="I1870" t="str">
        <f>HYPERLINK("#", "https://opac.libnet.pref.okayama.jp/licsxp-opac/WOpacMsgNewListToTifTilDetailAction.do?tilcod=2002222319872")</f>
        <v>https://opac.libnet.pref.okayama.jp/licsxp-opac/WOpacMsgNewListToTifTilDetailAction.do?tilcod=2002222319872</v>
      </c>
    </row>
    <row r="1871" spans="1:9" x14ac:dyDescent="0.4">
      <c r="A1871" t="str">
        <f>"樹と草"</f>
        <v>樹と草</v>
      </c>
      <c r="B1871" s="1" t="str">
        <f t="shared" si="106"/>
        <v>樹と草</v>
      </c>
      <c r="C1871" t="str">
        <f>"キ　ト　クサ"</f>
        <v>キ　ト　クサ</v>
      </c>
      <c r="D1871" t="str">
        <f>"岡山樹と草の会"</f>
        <v>岡山樹と草の会</v>
      </c>
      <c r="E1871" t="str">
        <f>"オカヤマキトクサノカイ"</f>
        <v>オカヤマキトクサノカイ</v>
      </c>
      <c r="F1871" t="str">
        <f>""</f>
        <v/>
      </c>
      <c r="G1871" t="str">
        <f>"頻度不明"</f>
        <v>頻度不明</v>
      </c>
      <c r="H1871" t="str">
        <f>"2002222289301"</f>
        <v>2002222289301</v>
      </c>
      <c r="I1871" t="str">
        <f>HYPERLINK("#", "https://opac.libnet.pref.okayama.jp/licsxp-opac/WOpacMsgNewListToTifTilDetailAction.do?tilcod=2002222289301")</f>
        <v>https://opac.libnet.pref.okayama.jp/licsxp-opac/WOpacMsgNewListToTifTilDetailAction.do?tilcod=2002222289301</v>
      </c>
    </row>
    <row r="1872" spans="1:9" x14ac:dyDescent="0.4">
      <c r="A1872" t="str">
        <f>"季刊岡山文庫"</f>
        <v>季刊岡山文庫</v>
      </c>
      <c r="B1872" s="1" t="str">
        <f t="shared" si="106"/>
        <v>季刊岡山文庫</v>
      </c>
      <c r="C1872" t="str">
        <f>"キカン オカヤマ ブンコ"</f>
        <v>キカン オカヤマ ブンコ</v>
      </c>
      <c r="D1872" t="str">
        <f>"日本文教出版"</f>
        <v>日本文教出版</v>
      </c>
      <c r="E1872" t="str">
        <f>"ニホン ブンキョウ シュッパン"</f>
        <v>ニホン ブンキョウ シュッパン</v>
      </c>
      <c r="F1872" t="str">
        <f>""</f>
        <v/>
      </c>
      <c r="G1872" t="str">
        <f>"年刊"</f>
        <v>年刊</v>
      </c>
      <c r="H1872" t="str">
        <f>"2002222289241"</f>
        <v>2002222289241</v>
      </c>
      <c r="I1872" t="str">
        <f>HYPERLINK("#", "https://opac.libnet.pref.okayama.jp/licsxp-opac/WOpacMsgNewListToTifTilDetailAction.do?tilcod=2002222289241")</f>
        <v>https://opac.libnet.pref.okayama.jp/licsxp-opac/WOpacMsgNewListToTifTilDetailAction.do?tilcod=2002222289241</v>
      </c>
    </row>
    <row r="1873" spans="1:9" x14ac:dyDescent="0.4">
      <c r="A1873" t="str">
        <f>"季刊下電"</f>
        <v>季刊下電</v>
      </c>
      <c r="B1873" s="1" t="str">
        <f t="shared" si="106"/>
        <v>季刊下電</v>
      </c>
      <c r="C1873" t="str">
        <f>"キカン　シモデン"</f>
        <v>キカン　シモデン</v>
      </c>
      <c r="D1873" t="str">
        <f>"児島市下電観光課"</f>
        <v>児島市下電観光課</v>
      </c>
      <c r="E1873" t="str">
        <f>"コジマシ シモデン カンコウカ"</f>
        <v>コジマシ シモデン カンコウカ</v>
      </c>
      <c r="F1873" t="str">
        <f>"児島"</f>
        <v>児島</v>
      </c>
      <c r="G1873" t="str">
        <f>"季刊"</f>
        <v>季刊</v>
      </c>
      <c r="H1873" t="str">
        <f>"2002222287063"</f>
        <v>2002222287063</v>
      </c>
      <c r="I1873" t="str">
        <f>HYPERLINK("#", "https://opac.libnet.pref.okayama.jp/licsxp-opac/WOpacMsgNewListToTifTilDetailAction.do?tilcod=2002222287063")</f>
        <v>https://opac.libnet.pref.okayama.jp/licsxp-opac/WOpacMsgNewListToTifTilDetailAction.do?tilcod=2002222287063</v>
      </c>
    </row>
    <row r="1874" spans="1:9" x14ac:dyDescent="0.4">
      <c r="A1874" t="str">
        <f>"菊水塔会誌；宇垣纒提督菊水塔会々誌"</f>
        <v>菊水塔会誌；宇垣纒提督菊水塔会々誌</v>
      </c>
      <c r="B1874" s="1" t="str">
        <f t="shared" si="106"/>
        <v>菊水塔会誌；宇垣纒提督菊水塔会々誌</v>
      </c>
      <c r="C1874" t="str">
        <f>"キクスイトウ カイシ＊ウガキ マトメ テイトク キクスイトウカイ カイシ"</f>
        <v>キクスイトウ カイシ＊ウガキ マトメ テイトク キクスイトウカイ カイシ</v>
      </c>
      <c r="D1874" t="str">
        <f>"宇垣纒菊水塔会"</f>
        <v>宇垣纒菊水塔会</v>
      </c>
      <c r="E1874" t="str">
        <f>"ウガキ マトメ キクスイトウカイ"</f>
        <v>ウガキ マトメ キクスイトウカイ</v>
      </c>
      <c r="F1874" t="str">
        <f>"岡山"</f>
        <v>岡山</v>
      </c>
      <c r="G1874" t="str">
        <f>"頻度不明"</f>
        <v>頻度不明</v>
      </c>
      <c r="H1874" t="str">
        <f>"2002222344072"</f>
        <v>2002222344072</v>
      </c>
      <c r="I1874" t="str">
        <f>HYPERLINK("#", "https://opac.libnet.pref.okayama.jp/licsxp-opac/WOpacMsgNewListToTifTilDetailAction.do?tilcod=2002222344072")</f>
        <v>https://opac.libnet.pref.okayama.jp/licsxp-opac/WOpacMsgNewListToTifTilDetailAction.do?tilcod=2002222344072</v>
      </c>
    </row>
    <row r="1875" spans="1:9" x14ac:dyDescent="0.4">
      <c r="A1875" t="str">
        <f>"技術情報"</f>
        <v>技術情報</v>
      </c>
      <c r="B1875" s="1" t="str">
        <f t="shared" si="106"/>
        <v>技術情報</v>
      </c>
      <c r="C1875" t="str">
        <f>"ギジュツ　ジョウホウ"</f>
        <v>ギジュツ　ジョウホウ</v>
      </c>
      <c r="D1875" t="str">
        <f>"岡山県農林水産技術連絡会議"</f>
        <v>岡山県農林水産技術連絡会議</v>
      </c>
      <c r="E1875" t="str">
        <f>"オカヤマケン ノウリン スイサン ギジュツ レンラク カイギ"</f>
        <v>オカヤマケン ノウリン スイサン ギジュツ レンラク カイギ</v>
      </c>
      <c r="F1875" t="str">
        <f>""</f>
        <v/>
      </c>
      <c r="G1875" t="str">
        <f>"頻度不明"</f>
        <v>頻度不明</v>
      </c>
      <c r="H1875" t="str">
        <f>"2002222289251"</f>
        <v>2002222289251</v>
      </c>
      <c r="I1875" t="str">
        <f>HYPERLINK("#", "https://opac.libnet.pref.okayama.jp/licsxp-opac/WOpacMsgNewListToTifTilDetailAction.do?tilcod=2002222289251")</f>
        <v>https://opac.libnet.pref.okayama.jp/licsxp-opac/WOpacMsgNewListToTifTilDetailAction.do?tilcod=2002222289251</v>
      </c>
    </row>
    <row r="1876" spans="1:9" x14ac:dyDescent="0.4">
      <c r="A1876" t="str">
        <f>"技術情報；岡山県工業技術センター"</f>
        <v>技術情報；岡山県工業技術センター</v>
      </c>
      <c r="B1876" s="1" t="str">
        <f t="shared" si="106"/>
        <v>技術情報；岡山県工業技術センター</v>
      </c>
      <c r="C1876" t="str">
        <f>"ギジュツ ジョウホウ＊オカヤマケン コウギョウ ギジュツ センター"</f>
        <v>ギジュツ ジョウホウ＊オカヤマケン コウギョウ ギジュツ センター</v>
      </c>
      <c r="D1876" t="str">
        <f>"岡山県工業技術センター"</f>
        <v>岡山県工業技術センター</v>
      </c>
      <c r="E1876" t="str">
        <f>"オカヤマケン コウギョウ ギジュツ センター"</f>
        <v>オカヤマケン コウギョウ ギジュツ センター</v>
      </c>
      <c r="F1876" t="str">
        <f>"岡山"</f>
        <v>岡山</v>
      </c>
      <c r="G1876" t="str">
        <f>"隔月刊"</f>
        <v>隔月刊</v>
      </c>
      <c r="H1876" t="str">
        <f>"2002222292371"</f>
        <v>2002222292371</v>
      </c>
      <c r="I1876" t="str">
        <f>HYPERLINK("#", "https://opac.libnet.pref.okayama.jp/licsxp-opac/WOpacMsgNewListToTifTilDetailAction.do?tilcod=2002222292371")</f>
        <v>https://opac.libnet.pref.okayama.jp/licsxp-opac/WOpacMsgNewListToTifTilDetailAction.do?tilcod=2002222292371</v>
      </c>
    </row>
    <row r="1877" spans="1:9" x14ac:dyDescent="0.4">
      <c r="A1877" t="str">
        <f>"技術のかけはし"</f>
        <v>技術のかけはし</v>
      </c>
      <c r="B1877" s="1" t="str">
        <f t="shared" si="106"/>
        <v>技術のかけはし</v>
      </c>
      <c r="C1877" t="str">
        <f>"ギジュツ　ノ　カケハシ"</f>
        <v>ギジュツ　ノ　カケハシ</v>
      </c>
      <c r="D1877" t="str">
        <f>"岡山県農林部営農振興課"</f>
        <v>岡山県農林部営農振興課</v>
      </c>
      <c r="E1877" t="str">
        <f>"オカヤマケンノウリンブエイノウシンコウカ"</f>
        <v>オカヤマケンノウリンブエイノウシンコウカ</v>
      </c>
      <c r="F1877" t="str">
        <f>""</f>
        <v/>
      </c>
      <c r="G1877" t="str">
        <f>"頻度不明"</f>
        <v>頻度不明</v>
      </c>
      <c r="H1877" t="str">
        <f>"2002222289261"</f>
        <v>2002222289261</v>
      </c>
      <c r="I1877" t="str">
        <f>HYPERLINK("#", "https://opac.libnet.pref.okayama.jp/licsxp-opac/WOpacMsgNewListToTifTilDetailAction.do?tilcod=2002222289261")</f>
        <v>https://opac.libnet.pref.okayama.jp/licsxp-opac/WOpacMsgNewListToTifTilDetailAction.do?tilcod=2002222289261</v>
      </c>
    </row>
    <row r="1878" spans="1:9" x14ac:dyDescent="0.4">
      <c r="A1878" t="str">
        <f>"起承転結；岡山県漢詩研究会金烏吟社会報"</f>
        <v>起承転結；岡山県漢詩研究会金烏吟社会報</v>
      </c>
      <c r="B1878" s="1" t="str">
        <f t="shared" si="106"/>
        <v>起承転結；岡山県漢詩研究会金烏吟社会報</v>
      </c>
      <c r="C1878" t="str">
        <f>"キショウ　テンケツ＊オカヤマケン　カンシ　ケンキュウカイ　キンウギンシャ　カイホウ"</f>
        <v>キショウ　テンケツ＊オカヤマケン　カンシ　ケンキュウカイ　キンウギンシャ　カイホウ</v>
      </c>
      <c r="D1878" t="str">
        <f>"岡山県漢詩研究会金烏吟社"</f>
        <v>岡山県漢詩研究会金烏吟社</v>
      </c>
      <c r="E1878" t="str">
        <f>"オカヤマケンカンシケンキュウカイキンウギンシャ"</f>
        <v>オカヤマケンカンシケンキュウカイキンウギンシャ</v>
      </c>
      <c r="F1878" t="str">
        <f>""</f>
        <v/>
      </c>
      <c r="G1878" t="str">
        <f>"頻度不明"</f>
        <v>頻度不明</v>
      </c>
      <c r="H1878" t="str">
        <f>"2002222289271"</f>
        <v>2002222289271</v>
      </c>
      <c r="I1878" t="str">
        <f>HYPERLINK("#", "https://opac.libnet.pref.okayama.jp/licsxp-opac/WOpacMsgNewListToTifTilDetailAction.do?tilcod=2002222289271")</f>
        <v>https://opac.libnet.pref.okayama.jp/licsxp-opac/WOpacMsgNewListToTifTilDetailAction.do?tilcod=2002222289271</v>
      </c>
    </row>
    <row r="1879" spans="1:9" x14ac:dyDescent="0.4">
      <c r="A1879" t="str">
        <f>"Ｋｉｓｓ；表町こだわり情報誌"</f>
        <v>Ｋｉｓｓ；表町こだわり情報誌</v>
      </c>
      <c r="B1879" s="1" t="str">
        <f t="shared" si="106"/>
        <v>Ｋｉｓｓ；表町こだわり情報誌</v>
      </c>
      <c r="C1879" t="str">
        <f>"キス＊オモテチョウ　コダワリ　ジョウホウシ"</f>
        <v>キス＊オモテチョウ　コダワリ　ジョウホウシ</v>
      </c>
      <c r="D1879" t="str">
        <f>"クリエイティブ岡山"</f>
        <v>クリエイティブ岡山</v>
      </c>
      <c r="E1879" t="str">
        <f>"クリエイティブオカヤマ"</f>
        <v>クリエイティブオカヤマ</v>
      </c>
      <c r="F1879" t="str">
        <f>""</f>
        <v/>
      </c>
      <c r="G1879" t="str">
        <f>"頻度不明"</f>
        <v>頻度不明</v>
      </c>
      <c r="H1879" t="str">
        <f>"2002222289291"</f>
        <v>2002222289291</v>
      </c>
      <c r="I1879" t="str">
        <f>HYPERLINK("#", "https://opac.libnet.pref.okayama.jp/licsxp-opac/WOpacMsgNewListToTifTilDetailAction.do?tilcod=2002222289291")</f>
        <v>https://opac.libnet.pref.okayama.jp/licsxp-opac/WOpacMsgNewListToTifTilDetailAction.do?tilcod=2002222289291</v>
      </c>
    </row>
    <row r="1880" spans="1:9" x14ac:dyDescent="0.4">
      <c r="A1880" t="str">
        <f>"Ｋｉｓｓ；月刊ソース臨時増刊"</f>
        <v>Ｋｉｓｓ；月刊ソース臨時増刊</v>
      </c>
      <c r="B1880" s="1" t="str">
        <f t="shared" si="106"/>
        <v>Ｋｉｓｓ；月刊ソース臨時増刊</v>
      </c>
      <c r="C1880" t="str">
        <f>"キス＊ゲッカン　ソース　リンジ　ゾウカン"</f>
        <v>キス＊ゲッカン　ソース　リンジ　ゾウカン</v>
      </c>
      <c r="D1880" t="str">
        <f>"エイブルハウス"</f>
        <v>エイブルハウス</v>
      </c>
      <c r="E1880" t="str">
        <f>"エイブルハウス"</f>
        <v>エイブルハウス</v>
      </c>
      <c r="F1880" t="str">
        <f>""</f>
        <v/>
      </c>
      <c r="G1880" t="str">
        <f>"頻度不明"</f>
        <v>頻度不明</v>
      </c>
      <c r="H1880" t="str">
        <f>"2002222289281"</f>
        <v>2002222289281</v>
      </c>
      <c r="I1880" t="str">
        <f>HYPERLINK("#", "https://opac.libnet.pref.okayama.jp/licsxp-opac/WOpacMsgNewListToTifTilDetailAction.do?tilcod=2002222289281")</f>
        <v>https://opac.libnet.pref.okayama.jp/licsxp-opac/WOpacMsgNewListToTifTilDetailAction.do?tilcod=2002222289281</v>
      </c>
    </row>
    <row r="1881" spans="1:9" x14ac:dyDescent="0.4">
      <c r="A1881" t="str">
        <f>"きずな"</f>
        <v>きずな</v>
      </c>
      <c r="B1881" s="1" t="str">
        <f t="shared" si="106"/>
        <v>きずな</v>
      </c>
      <c r="C1881" t="str">
        <f>"キズナ"</f>
        <v>キズナ</v>
      </c>
      <c r="D1881" t="str">
        <f>"錦地域環境保全組合"</f>
        <v>錦地域環境保全組合</v>
      </c>
      <c r="E1881" t="str">
        <f>"ニシキ チイキ カンキョウ ホゼン クミアイ"</f>
        <v>ニシキ チイキ カンキョウ ホゼン クミアイ</v>
      </c>
      <c r="F1881" t="str">
        <f>"岡山"</f>
        <v>岡山</v>
      </c>
      <c r="G1881" t="str">
        <f>"頻度不明"</f>
        <v>頻度不明</v>
      </c>
      <c r="H1881" t="str">
        <f>"2002222340931"</f>
        <v>2002222340931</v>
      </c>
      <c r="I1881" t="str">
        <f>HYPERLINK("#", "https://opac.libnet.pref.okayama.jp/licsxp-opac/WOpacMsgNewListToTifTilDetailAction.do?tilcod=2002222340931")</f>
        <v>https://opac.libnet.pref.okayama.jp/licsxp-opac/WOpacMsgNewListToTifTilDetailAction.do?tilcod=2002222340931</v>
      </c>
    </row>
    <row r="1882" spans="1:9" x14ac:dyDescent="0.4">
      <c r="A1882" t="str">
        <f>"きずな；Ｅ-まちづくり・絆の会情報誌"</f>
        <v>きずな；Ｅ-まちづくり・絆の会情報誌</v>
      </c>
      <c r="B1882" s="1" t="str">
        <f t="shared" si="106"/>
        <v>きずな；Ｅ-まちづくり・絆の会情報誌</v>
      </c>
      <c r="C1882" t="str">
        <f>"キズナ　イー　マチズクリ　キズナ　ノ　カイ　ジョウホウシ"</f>
        <v>キズナ　イー　マチズクリ　キズナ　ノ　カイ　ジョウホウシ</v>
      </c>
      <c r="D1882" t="str">
        <f>"Ｅ-まちづくり・絆の会事務局"</f>
        <v>Ｅ-まちづくり・絆の会事務局</v>
      </c>
      <c r="E1882" t="str">
        <f>"イーマチズクリキズナノカイジムキョク"</f>
        <v>イーマチズクリキズナノカイジムキョク</v>
      </c>
      <c r="F1882" t="str">
        <f>"岡山"</f>
        <v>岡山</v>
      </c>
      <c r="G1882" t="str">
        <f>"不定期刊"</f>
        <v>不定期刊</v>
      </c>
      <c r="H1882" t="str">
        <f>"2002222285941"</f>
        <v>2002222285941</v>
      </c>
      <c r="I1882" t="str">
        <f>HYPERLINK("#", "https://opac.libnet.pref.okayama.jp/licsxp-opac/WOpacMsgNewListToTifTilDetailAction.do?tilcod=2002222285941")</f>
        <v>https://opac.libnet.pref.okayama.jp/licsxp-opac/WOpacMsgNewListToTifTilDetailAction.do?tilcod=2002222285941</v>
      </c>
    </row>
    <row r="1883" spans="1:9" x14ac:dyDescent="0.4">
      <c r="A1883" t="str">
        <f>"きずな；同人誌"</f>
        <v>きずな；同人誌</v>
      </c>
      <c r="B1883" s="1" t="str">
        <f t="shared" si="106"/>
        <v>きずな；同人誌</v>
      </c>
      <c r="C1883" t="str">
        <f>"キズナ＊ドウジンシ"</f>
        <v>キズナ＊ドウジンシ</v>
      </c>
      <c r="D1883" t="str">
        <f>"瀬戸内ペンクラブ"</f>
        <v>瀬戸内ペンクラブ</v>
      </c>
      <c r="E1883" t="str">
        <f>"セトウチペンクラブ"</f>
        <v>セトウチペンクラブ</v>
      </c>
      <c r="F1883" t="str">
        <f>"岡山"</f>
        <v>岡山</v>
      </c>
      <c r="G1883" t="str">
        <f>"不定期刊"</f>
        <v>不定期刊</v>
      </c>
      <c r="H1883" t="str">
        <f>"2002222311989"</f>
        <v>2002222311989</v>
      </c>
      <c r="I1883" t="str">
        <f>HYPERLINK("#", "https://opac.libnet.pref.okayama.jp/licsxp-opac/WOpacMsgNewListToTifTilDetailAction.do?tilcod=2002222311989")</f>
        <v>https://opac.libnet.pref.okayama.jp/licsxp-opac/WOpacMsgNewListToTifTilDetailAction.do?tilcod=2002222311989</v>
      </c>
    </row>
    <row r="1884" spans="1:9" x14ac:dyDescent="0.4">
      <c r="A1884" t="str">
        <f>"きたこうみんかん；岡山市立北公民館だより"</f>
        <v>きたこうみんかん；岡山市立北公民館だより</v>
      </c>
      <c r="B1884" s="1" t="str">
        <f t="shared" si="106"/>
        <v>きたこうみんかん；岡山市立北公民館だより</v>
      </c>
      <c r="C1884" t="str">
        <f>"キタ コウミンカン＊オカヤマシリツ キタ コウミンカン ダヨリ"</f>
        <v>キタ コウミンカン＊オカヤマシリツ キタ コウミンカン ダヨリ</v>
      </c>
      <c r="D1884" t="str">
        <f>"岡山市立北公民館"</f>
        <v>岡山市立北公民館</v>
      </c>
      <c r="E1884" t="str">
        <f>"オカヤマシリツ キタ コウミンカン"</f>
        <v>オカヤマシリツ キタ コウミンカン</v>
      </c>
      <c r="F1884" t="str">
        <f>"岡山"</f>
        <v>岡山</v>
      </c>
      <c r="G1884" t="str">
        <f>"月刊"</f>
        <v>月刊</v>
      </c>
      <c r="H1884" t="str">
        <f>"2002222341372"</f>
        <v>2002222341372</v>
      </c>
      <c r="I1884" t="str">
        <f>HYPERLINK("#", "https://opac.libnet.pref.okayama.jp/licsxp-opac/WOpacMsgNewListToTifTilDetailAction.do?tilcod=2002222341372")</f>
        <v>https://opac.libnet.pref.okayama.jp/licsxp-opac/WOpacMsgNewListToTifTilDetailAction.do?tilcod=2002222341372</v>
      </c>
    </row>
    <row r="1885" spans="1:9" x14ac:dyDescent="0.4">
      <c r="A1885" t="str">
        <f>"北の四島へ！；岡山県北方領土返還要求運動県民会議ニュースレター"</f>
        <v>北の四島へ！；岡山県北方領土返還要求運動県民会議ニュースレター</v>
      </c>
      <c r="B1885" s="1" t="str">
        <f t="shared" si="106"/>
        <v>北の四島へ！；岡山県北方領土返還要求運動県民会議ニュースレター</v>
      </c>
      <c r="C1885" t="str">
        <f>"キタ ノ シマ エ＊オカヤマケン ホッポウ リョウド ヘンカン ヨウキュウ ウンドウ ケンミン カイギ ニュースレター"</f>
        <v>キタ ノ シマ エ＊オカヤマケン ホッポウ リョウド ヘンカン ヨウキュウ ウンドウ ケンミン カイギ ニュースレター</v>
      </c>
      <c r="D1885" t="str">
        <f>"岡山県北方領土返還要求運動県民会議"</f>
        <v>岡山県北方領土返還要求運動県民会議</v>
      </c>
      <c r="E1885" t="str">
        <f>"オカヤマケン ホッポウ リョウド ヘンカン ヨウキュウ ウンドウ ケンミン カイギ "</f>
        <v xml:space="preserve">オカヤマケン ホッポウ リョウド ヘンカン ヨウキュウ ウンドウ ケンミン カイギ </v>
      </c>
      <c r="F1885" t="str">
        <f>"岡山"</f>
        <v>岡山</v>
      </c>
      <c r="G1885" t="str">
        <f>"頻度不明"</f>
        <v>頻度不明</v>
      </c>
      <c r="H1885" t="str">
        <f>"2002222344050"</f>
        <v>2002222344050</v>
      </c>
      <c r="I1885" t="str">
        <f>HYPERLINK("#", "https://opac.libnet.pref.okayama.jp/licsxp-opac/WOpacMsgNewListToTifTilDetailAction.do?tilcod=2002222344050")</f>
        <v>https://opac.libnet.pref.okayama.jp/licsxp-opac/WOpacMsgNewListToTifTilDetailAction.do?tilcod=2002222344050</v>
      </c>
    </row>
    <row r="1886" spans="1:9" x14ac:dyDescent="0.4">
      <c r="A1886" t="str">
        <f>"[北和気小学校]北小PTA新聞"</f>
        <v>[北和気小学校]北小PTA新聞</v>
      </c>
      <c r="B1886" s="1" t="str">
        <f t="shared" si="106"/>
        <v>[北和気小学校]北小PTA新聞</v>
      </c>
      <c r="C1886" t="str">
        <f>"キタ ワケ ショウガッコウ キタショウ ピーティーエー シンブン"</f>
        <v>キタ ワケ ショウガッコウ キタショウ ピーティーエー シンブン</v>
      </c>
      <c r="D1886" t="str">
        <f>"柵原町立北和気小学校PTA"</f>
        <v>柵原町立北和気小学校PTA</v>
      </c>
      <c r="E1886" t="str">
        <f>"ヤナハラチョウリツ キタ ワケ ショウガッコウ"</f>
        <v>ヤナハラチョウリツ キタ ワケ ショウガッコウ</v>
      </c>
      <c r="F1886" t="str">
        <f>"柵原町(久米郡)"</f>
        <v>柵原町(久米郡)</v>
      </c>
      <c r="G1886" t="str">
        <f>"頻度不明"</f>
        <v>頻度不明</v>
      </c>
      <c r="H1886" t="str">
        <f>"2002222334566"</f>
        <v>2002222334566</v>
      </c>
      <c r="I1886" t="str">
        <f>HYPERLINK("#", "https://opac.libnet.pref.okayama.jp/licsxp-opac/WOpacMsgNewListToTifTilDetailAction.do?tilcod=2002222334566")</f>
        <v>https://opac.libnet.pref.okayama.jp/licsxp-opac/WOpacMsgNewListToTifTilDetailAction.do?tilcod=2002222334566</v>
      </c>
    </row>
    <row r="1887" spans="1:9" x14ac:dyDescent="0.4">
      <c r="A1887" t="str">
        <f>"北長瀬の風；岡山市立市民病院だより"</f>
        <v>北長瀬の風；岡山市立市民病院だより</v>
      </c>
      <c r="B1887" s="1" t="str">
        <f t="shared" si="106"/>
        <v>北長瀬の風；岡山市立市民病院だより</v>
      </c>
      <c r="C1887" t="str">
        <f>"キタナガセ ノ カゼ＊オカヤマ シリツ シミン ビョウイン ダヨリ"</f>
        <v>キタナガセ ノ カゼ＊オカヤマ シリツ シミン ビョウイン ダヨリ</v>
      </c>
      <c r="D1887" t="str">
        <f>"岡山市立総合医療センター岡山市立市民病院"</f>
        <v>岡山市立総合医療センター岡山市立市民病院</v>
      </c>
      <c r="E1887" t="str">
        <f>"オカヤマシリツ ソウゴウ イリョウ センター オカヤマシリツ シミン ビョウイン"</f>
        <v>オカヤマシリツ ソウゴウ イリョウ センター オカヤマシリツ シミン ビョウイン</v>
      </c>
      <c r="F1887" t="str">
        <f>"岡山"</f>
        <v>岡山</v>
      </c>
      <c r="G1887" t="str">
        <f>"年３回刊"</f>
        <v>年３回刊</v>
      </c>
      <c r="H1887" t="str">
        <f>"2002222321867"</f>
        <v>2002222321867</v>
      </c>
      <c r="I1887" t="str">
        <f>HYPERLINK("#", "https://opac.libnet.pref.okayama.jp/licsxp-opac/WOpacMsgNewListToTifTilDetailAction.do?tilcod=2002222321867")</f>
        <v>https://opac.libnet.pref.okayama.jp/licsxp-opac/WOpacMsgNewListToTifTilDetailAction.do?tilcod=2002222321867</v>
      </c>
    </row>
    <row r="1888" spans="1:9" x14ac:dyDescent="0.4">
      <c r="A1888" t="str">
        <f>"Kids Do 岡山県南版；幼児の知育を応援する全国初の学習フリーペーパー"</f>
        <v>Kids Do 岡山県南版；幼児の知育を応援する全国初の学習フリーペーパー</v>
      </c>
      <c r="B1888" s="1" t="str">
        <f t="shared" si="106"/>
        <v>Kids Do 岡山県南版；幼児の知育を応援する全国初の学習フリーペーパー</v>
      </c>
      <c r="C1888" t="str">
        <f>"キッズ ドゥ オカヤマケンナンバン＊ヨウジ ノ チイク オ オウエン スル ゼンコク ハツ ノ ガクシュウ フリーペーパー"</f>
        <v>キッズ ドゥ オカヤマケンナンバン＊ヨウジ ノ チイク オ オウエン スル ゼンコク ハツ ノ ガクシュウ フリーペーパー</v>
      </c>
      <c r="D1888" t="str">
        <f>"玉島活版所"</f>
        <v>玉島活版所</v>
      </c>
      <c r="E1888" t="str">
        <f>"タマシマ カッパンジョ"</f>
        <v>タマシマ カッパンジョ</v>
      </c>
      <c r="F1888" t="str">
        <f>"倉敷"</f>
        <v>倉敷</v>
      </c>
      <c r="G1888" t="str">
        <f>"隔月刊"</f>
        <v>隔月刊</v>
      </c>
      <c r="H1888" t="str">
        <f>"2002222324786"</f>
        <v>2002222324786</v>
      </c>
      <c r="I1888" t="str">
        <f>HYPERLINK("#", "https://opac.libnet.pref.okayama.jp/licsxp-opac/WOpacMsgNewListToTifTilDetailAction.do?tilcod=2002222324786")</f>
        <v>https://opac.libnet.pref.okayama.jp/licsxp-opac/WOpacMsgNewListToTifTilDetailAction.do?tilcod=2002222324786</v>
      </c>
    </row>
    <row r="1889" spans="1:9" x14ac:dyDescent="0.4">
      <c r="A1889" t="str">
        <f>"狐ばな〔ノートルダム清心女子大学〕"</f>
        <v>狐ばな〔ノートルダム清心女子大学〕</v>
      </c>
      <c r="B1889" s="1" t="str">
        <f t="shared" si="106"/>
        <v>狐ばな〔ノートルダム清心女子大学〕</v>
      </c>
      <c r="C1889" t="str">
        <f>"キツネ　バナ　ノートルダム　セイシン　ジョシ　ダイガク"</f>
        <v>キツネ　バナ　ノートルダム　セイシン　ジョシ　ダイガク</v>
      </c>
      <c r="D1889" t="str">
        <f>"ノートルダム清心女子大学文芸研究会"</f>
        <v>ノートルダム清心女子大学文芸研究会</v>
      </c>
      <c r="E1889" t="str">
        <f>"ノートルダムセイシンジョシダイガクブンゲイケンキュウカイ"</f>
        <v>ノートルダムセイシンジョシダイガクブンゲイケンキュウカイ</v>
      </c>
      <c r="F1889" t="str">
        <f>""</f>
        <v/>
      </c>
      <c r="G1889" t="str">
        <f>"頻度不明"</f>
        <v>頻度不明</v>
      </c>
      <c r="H1889" t="str">
        <f>"2002222285953"</f>
        <v>2002222285953</v>
      </c>
      <c r="I1889" t="str">
        <f>HYPERLINK("#", "https://opac.libnet.pref.okayama.jp/licsxp-opac/WOpacMsgNewListToTifTilDetailAction.do?tilcod=2002222285953")</f>
        <v>https://opac.libnet.pref.okayama.jp/licsxp-opac/WOpacMsgNewListToTifTilDetailAction.do?tilcod=2002222285953</v>
      </c>
    </row>
    <row r="1890" spans="1:9" x14ac:dyDescent="0.4">
      <c r="A1890" t="str">
        <f>"技能おかやま"</f>
        <v>技能おかやま</v>
      </c>
      <c r="B1890" s="1" t="str">
        <f t="shared" si="106"/>
        <v>技能おかやま</v>
      </c>
      <c r="C1890" t="str">
        <f>"ギノウ　オカヤマ"</f>
        <v>ギノウ　オカヤマ</v>
      </c>
      <c r="D1890" t="str">
        <f>"岡山県職業能力開発協会"</f>
        <v>岡山県職業能力開発協会</v>
      </c>
      <c r="E1890" t="str">
        <f>"オカヤマケン ショクギョウ ノウリョク カイハツ キョウカイ"</f>
        <v>オカヤマケン ショクギョウ ノウリョク カイハツ キョウカイ</v>
      </c>
      <c r="F1890" t="str">
        <f>""</f>
        <v/>
      </c>
      <c r="G1890" t="str">
        <f>"頻度不明"</f>
        <v>頻度不明</v>
      </c>
      <c r="H1890" t="str">
        <f>"2002222289311"</f>
        <v>2002222289311</v>
      </c>
      <c r="I1890" t="str">
        <f>HYPERLINK("#", "https://opac.libnet.pref.okayama.jp/licsxp-opac/WOpacMsgNewListToTifTilDetailAction.do?tilcod=2002222289311")</f>
        <v>https://opac.libnet.pref.okayama.jp/licsxp-opac/WOpacMsgNewListToTifTilDetailAction.do?tilcod=2002222289311</v>
      </c>
    </row>
    <row r="1891" spans="1:9" x14ac:dyDescent="0.4">
      <c r="A1891" t="str">
        <f>"黄薔薇"</f>
        <v>黄薔薇</v>
      </c>
      <c r="B1891" s="1" t="str">
        <f t="shared" si="106"/>
        <v>黄薔薇</v>
      </c>
      <c r="C1891" t="str">
        <f>"キバラ"</f>
        <v>キバラ</v>
      </c>
      <c r="D1891" t="str">
        <f>"「黄薔薇」編集部"</f>
        <v>「黄薔薇」編集部</v>
      </c>
      <c r="E1891" t="str">
        <f>"キバラ　ヘンシュウブ"</f>
        <v>キバラ　ヘンシュウブ</v>
      </c>
      <c r="F1891" t="str">
        <f>"倉敷"</f>
        <v>倉敷</v>
      </c>
      <c r="G1891" t="str">
        <f>"年３回刊"</f>
        <v>年３回刊</v>
      </c>
      <c r="H1891" t="str">
        <f>"2002222291221"</f>
        <v>2002222291221</v>
      </c>
      <c r="I1891" t="str">
        <f>HYPERLINK("#", "https://opac.libnet.pref.okayama.jp/licsxp-opac/WOpacMsgNewListToTifTilDetailAction.do?tilcod=2002222291221")</f>
        <v>https://opac.libnet.pref.okayama.jp/licsxp-opac/WOpacMsgNewListToTifTilDetailAction.do?tilcod=2002222291221</v>
      </c>
    </row>
    <row r="1892" spans="1:9" x14ac:dyDescent="0.4">
      <c r="A1892" t="str">
        <f>"きび"</f>
        <v>きび</v>
      </c>
      <c r="B1892" s="1" t="str">
        <f t="shared" si="106"/>
        <v>きび</v>
      </c>
      <c r="C1892" t="str">
        <f t="shared" ref="C1892:C1899" si="107">"キビ"</f>
        <v>キビ</v>
      </c>
      <c r="D1892" t="str">
        <f>"狭霧会"</f>
        <v>狭霧会</v>
      </c>
      <c r="E1892" t="str">
        <f>"サギリカイ"</f>
        <v>サギリカイ</v>
      </c>
      <c r="F1892" t="str">
        <f>""</f>
        <v/>
      </c>
      <c r="G1892" t="str">
        <f>"月刊"</f>
        <v>月刊</v>
      </c>
      <c r="H1892" t="str">
        <f>"2002222281044"</f>
        <v>2002222281044</v>
      </c>
      <c r="I1892" t="str">
        <f>HYPERLINK("#", "https://opac.libnet.pref.okayama.jp/licsxp-opac/WOpacMsgNewListToTifTilDetailAction.do?tilcod=2002222281044")</f>
        <v>https://opac.libnet.pref.okayama.jp/licsxp-opac/WOpacMsgNewListToTifTilDetailAction.do?tilcod=2002222281044</v>
      </c>
    </row>
    <row r="1893" spans="1:9" x14ac:dyDescent="0.4">
      <c r="A1893" t="str">
        <f>"吉備"</f>
        <v>吉備</v>
      </c>
      <c r="B1893" s="1" t="str">
        <f t="shared" si="106"/>
        <v>吉備</v>
      </c>
      <c r="C1893" t="str">
        <f t="shared" si="107"/>
        <v>キビ</v>
      </c>
      <c r="D1893" t="str">
        <f>"中山高等小学校校友会"</f>
        <v>中山高等小学校校友会</v>
      </c>
      <c r="E1893" t="str">
        <f>"チュウザン コウトウ ショウガッコウ コウユウカイ"</f>
        <v>チュウザン コウトウ ショウガッコウ コウユウカイ</v>
      </c>
      <c r="F1893" t="str">
        <f>""</f>
        <v/>
      </c>
      <c r="G1893" t="str">
        <f>"頻度不明"</f>
        <v>頻度不明</v>
      </c>
      <c r="H1893" t="str">
        <f>"2002222289321"</f>
        <v>2002222289321</v>
      </c>
      <c r="I1893" t="str">
        <f>HYPERLINK("#", "https://opac.libnet.pref.okayama.jp/licsxp-opac/WOpacMsgNewListToTifTilDetailAction.do?tilcod=2002222289321")</f>
        <v>https://opac.libnet.pref.okayama.jp/licsxp-opac/WOpacMsgNewListToTifTilDetailAction.do?tilcod=2002222289321</v>
      </c>
    </row>
    <row r="1894" spans="1:9" x14ac:dyDescent="0.4">
      <c r="A1894" t="str">
        <f>"黍"</f>
        <v>黍</v>
      </c>
      <c r="B1894" s="1" t="str">
        <f t="shared" si="106"/>
        <v>黍</v>
      </c>
      <c r="C1894" t="str">
        <f t="shared" si="107"/>
        <v>キビ</v>
      </c>
      <c r="D1894" t="str">
        <f>"黍誌社"</f>
        <v>黍誌社</v>
      </c>
      <c r="E1894" t="str">
        <f>"キビシシャ"</f>
        <v>キビシシャ</v>
      </c>
      <c r="F1894" t="str">
        <f>"岡山"</f>
        <v>岡山</v>
      </c>
      <c r="G1894" t="str">
        <f>"月刊"</f>
        <v>月刊</v>
      </c>
      <c r="H1894" t="str">
        <f>"2002222301416"</f>
        <v>2002222301416</v>
      </c>
      <c r="I1894" t="str">
        <f>HYPERLINK("#", "https://opac.libnet.pref.okayama.jp/licsxp-opac/WOpacMsgNewListToTifTilDetailAction.do?tilcod=2002222301416")</f>
        <v>https://opac.libnet.pref.okayama.jp/licsxp-opac/WOpacMsgNewListToTifTilDetailAction.do?tilcod=2002222301416</v>
      </c>
    </row>
    <row r="1895" spans="1:9" x14ac:dyDescent="0.4">
      <c r="A1895" t="str">
        <f>"きび"</f>
        <v>きび</v>
      </c>
      <c r="B1895" s="1" t="str">
        <f t="shared" si="106"/>
        <v>きび</v>
      </c>
      <c r="C1895" t="str">
        <f t="shared" si="107"/>
        <v>キビ</v>
      </c>
      <c r="D1895" t="str">
        <f>"倉敷税務団体協議会"</f>
        <v>倉敷税務団体協議会</v>
      </c>
      <c r="E1895" t="str">
        <f>"クラシキ ゼイム ダンタイ キョウギカイ"</f>
        <v>クラシキ ゼイム ダンタイ キョウギカイ</v>
      </c>
      <c r="F1895" t="str">
        <f>"倉敷"</f>
        <v>倉敷</v>
      </c>
      <c r="G1895" t="str">
        <f>"年刊"</f>
        <v>年刊</v>
      </c>
      <c r="H1895" t="str">
        <f>"2002222317947"</f>
        <v>2002222317947</v>
      </c>
      <c r="I1895" t="str">
        <f>HYPERLINK("#", "https://opac.libnet.pref.okayama.jp/licsxp-opac/WOpacMsgNewListToTifTilDetailAction.do?tilcod=2002222317947")</f>
        <v>https://opac.libnet.pref.okayama.jp/licsxp-opac/WOpacMsgNewListToTifTilDetailAction.do?tilcod=2002222317947</v>
      </c>
    </row>
    <row r="1896" spans="1:9" x14ac:dyDescent="0.4">
      <c r="A1896" t="str">
        <f>"きび"</f>
        <v>きび</v>
      </c>
      <c r="B1896" s="1" t="str">
        <f t="shared" si="106"/>
        <v>きび</v>
      </c>
      <c r="C1896" t="str">
        <f t="shared" si="107"/>
        <v>キビ</v>
      </c>
      <c r="D1896" t="str">
        <f>"岡山大学考古学研究部"</f>
        <v>岡山大学考古学研究部</v>
      </c>
      <c r="E1896" t="str">
        <f>"オカヤマ　ダイガク　コウコガク　ケンキュウブ"</f>
        <v>オカヤマ　ダイガク　コウコガク　ケンキュウブ</v>
      </c>
      <c r="F1896" t="str">
        <f>"岡山"</f>
        <v>岡山</v>
      </c>
      <c r="G1896" t="str">
        <f>"年刊"</f>
        <v>年刊</v>
      </c>
      <c r="H1896" t="str">
        <f>"2002222318086"</f>
        <v>2002222318086</v>
      </c>
      <c r="I1896" t="str">
        <f>HYPERLINK("#", "https://opac.libnet.pref.okayama.jp/licsxp-opac/WOpacMsgNewListToTifTilDetailAction.do?tilcod=2002222318086")</f>
        <v>https://opac.libnet.pref.okayama.jp/licsxp-opac/WOpacMsgNewListToTifTilDetailAction.do?tilcod=2002222318086</v>
      </c>
    </row>
    <row r="1897" spans="1:9" x14ac:dyDescent="0.4">
      <c r="A1897" t="str">
        <f>"きび"</f>
        <v>きび</v>
      </c>
      <c r="B1897" s="1" t="str">
        <f t="shared" si="106"/>
        <v>きび</v>
      </c>
      <c r="C1897" t="str">
        <f t="shared" si="107"/>
        <v>キビ</v>
      </c>
      <c r="D1897" t="str">
        <f>"吉備高等学校社会科研究部"</f>
        <v>吉備高等学校社会科研究部</v>
      </c>
      <c r="E1897" t="str">
        <f>"キビ コウトウ ガッコウ シャカイカ ケンキュウブ"</f>
        <v>キビ コウトウ ガッコウ シャカイカ ケンキュウブ</v>
      </c>
      <c r="F1897" t="str">
        <f>"[岡山]"</f>
        <v>[岡山]</v>
      </c>
      <c r="G1897" t="str">
        <f>"頻度不明"</f>
        <v>頻度不明</v>
      </c>
      <c r="H1897" t="str">
        <f>"2002222337086"</f>
        <v>2002222337086</v>
      </c>
      <c r="I1897" t="str">
        <f>HYPERLINK("#", "https://opac.libnet.pref.okayama.jp/licsxp-opac/WOpacMsgNewListToTifTilDetailAction.do?tilcod=2002222337086")</f>
        <v>https://opac.libnet.pref.okayama.jp/licsxp-opac/WOpacMsgNewListToTifTilDetailAction.do?tilcod=2002222337086</v>
      </c>
    </row>
    <row r="1898" spans="1:9" x14ac:dyDescent="0.4">
      <c r="A1898" t="str">
        <f>"吉備"</f>
        <v>吉備</v>
      </c>
      <c r="B1898" s="1" t="str">
        <f t="shared" si="106"/>
        <v>吉備</v>
      </c>
      <c r="C1898" t="str">
        <f t="shared" si="107"/>
        <v>キビ</v>
      </c>
      <c r="D1898" t="str">
        <f>"丸加製版"</f>
        <v>丸加製版</v>
      </c>
      <c r="E1898" t="str">
        <f>"マルカ セイハン"</f>
        <v>マルカ セイハン</v>
      </c>
      <c r="F1898" t="str">
        <f>""</f>
        <v/>
      </c>
      <c r="G1898" t="str">
        <f>"頻度不明"</f>
        <v>頻度不明</v>
      </c>
      <c r="H1898" t="str">
        <f>"2002222331428"</f>
        <v>2002222331428</v>
      </c>
      <c r="I1898" t="str">
        <f>HYPERLINK("#", "https://opac.libnet.pref.okayama.jp/licsxp-opac/WOpacMsgNewListToTifTilDetailAction.do?tilcod=2002222331428")</f>
        <v>https://opac.libnet.pref.okayama.jp/licsxp-opac/WOpacMsgNewListToTifTilDetailAction.do?tilcod=2002222331428</v>
      </c>
    </row>
    <row r="1899" spans="1:9" x14ac:dyDescent="0.4">
      <c r="A1899" t="str">
        <f>"きび"</f>
        <v>きび</v>
      </c>
      <c r="B1899" s="1" t="str">
        <f t="shared" si="106"/>
        <v>きび</v>
      </c>
      <c r="C1899" t="str">
        <f t="shared" si="107"/>
        <v>キビ</v>
      </c>
      <c r="D1899" t="str">
        <f>"岡山県教員組合"</f>
        <v>岡山県教員組合</v>
      </c>
      <c r="E1899" t="str">
        <f>"オカヤマケン キョウイン クミアイ"</f>
        <v>オカヤマケン キョウイン クミアイ</v>
      </c>
      <c r="F1899" t="str">
        <f>""</f>
        <v/>
      </c>
      <c r="G1899" t="str">
        <f>"頻度不明"</f>
        <v>頻度不明</v>
      </c>
      <c r="H1899" t="str">
        <f>"2002222289331"</f>
        <v>2002222289331</v>
      </c>
      <c r="I1899" t="str">
        <f>HYPERLINK("#", "https://opac.libnet.pref.okayama.jp/licsxp-opac/WOpacMsgNewListToTifTilDetailAction.do?tilcod=2002222289331")</f>
        <v>https://opac.libnet.pref.okayama.jp/licsxp-opac/WOpacMsgNewListToTifTilDetailAction.do?tilcod=2002222289331</v>
      </c>
    </row>
    <row r="1900" spans="1:9" x14ac:dyDescent="0.4">
      <c r="A1900" t="str">
        <f>"吉備学界"</f>
        <v>吉備学界</v>
      </c>
      <c r="B1900" s="1" t="str">
        <f t="shared" si="106"/>
        <v>吉備学界</v>
      </c>
      <c r="C1900" t="str">
        <f>"キビ　ガッカイ"</f>
        <v>キビ　ガッカイ</v>
      </c>
      <c r="D1900" t="str">
        <f>"吉備学会"</f>
        <v>吉備学会</v>
      </c>
      <c r="E1900" t="str">
        <f>"キビガッカイ"</f>
        <v>キビガッカイ</v>
      </c>
      <c r="F1900" t="str">
        <f>""</f>
        <v/>
      </c>
      <c r="G1900" t="str">
        <f>"頻度不明"</f>
        <v>頻度不明</v>
      </c>
      <c r="H1900" t="str">
        <f>"2002222289341"</f>
        <v>2002222289341</v>
      </c>
      <c r="I1900" t="str">
        <f>HYPERLINK("#", "https://opac.libnet.pref.okayama.jp/licsxp-opac/WOpacMsgNewListToTifTilDetailAction.do?tilcod=2002222289341")</f>
        <v>https://opac.libnet.pref.okayama.jp/licsxp-opac/WOpacMsgNewListToTifTilDetailAction.do?tilcod=2002222289341</v>
      </c>
    </row>
    <row r="1901" spans="1:9" x14ac:dyDescent="0.4">
      <c r="A1901" t="str">
        <f>"吉備学区連合町内会かわら版"</f>
        <v>吉備学区連合町内会かわら版</v>
      </c>
      <c r="B1901" s="1" t="str">
        <f t="shared" si="106"/>
        <v>吉備学区連合町内会かわら版</v>
      </c>
      <c r="C1901" t="str">
        <f>"キビ　ガック　レンゴウ　チョウナイカイ　カワラバン"</f>
        <v>キビ　ガック　レンゴウ　チョウナイカイ　カワラバン</v>
      </c>
      <c r="D1901" t="str">
        <f>"岡山市吉備学区連合町内会"</f>
        <v>岡山市吉備学区連合町内会</v>
      </c>
      <c r="E1901" t="str">
        <f>"オカヤマシ キビガック レンゴウチョウナイカイ"</f>
        <v>オカヤマシ キビガック レンゴウチョウナイカイ</v>
      </c>
      <c r="F1901" t="str">
        <f>"岡山"</f>
        <v>岡山</v>
      </c>
      <c r="G1901" t="str">
        <f>"年刊"</f>
        <v>年刊</v>
      </c>
      <c r="H1901" t="str">
        <f>"2002222329447"</f>
        <v>2002222329447</v>
      </c>
      <c r="I1901" t="str">
        <f>HYPERLINK("#", "https://opac.libnet.pref.okayama.jp/licsxp-opac/WOpacMsgNewListToTifTilDetailAction.do?tilcod=2002222329447")</f>
        <v>https://opac.libnet.pref.okayama.jp/licsxp-opac/WOpacMsgNewListToTifTilDetailAction.do?tilcod=2002222329447</v>
      </c>
    </row>
    <row r="1902" spans="1:9" x14ac:dyDescent="0.4">
      <c r="A1902" t="str">
        <f>"吉備歌謡"</f>
        <v>吉備歌謡</v>
      </c>
      <c r="B1902" s="1" t="str">
        <f t="shared" si="106"/>
        <v>吉備歌謡</v>
      </c>
      <c r="C1902" t="str">
        <f>"キビ　カヨウ"</f>
        <v>キビ　カヨウ</v>
      </c>
      <c r="D1902" t="str">
        <f>"岡山民謡童謡協会"</f>
        <v>岡山民謡童謡協会</v>
      </c>
      <c r="E1902" t="str">
        <f>"オカヤマミンヨウドウヨウキョウカイ"</f>
        <v>オカヤマミンヨウドウヨウキョウカイ</v>
      </c>
      <c r="F1902" t="str">
        <f>""</f>
        <v/>
      </c>
      <c r="G1902" t="str">
        <f>"頻度不明"</f>
        <v>頻度不明</v>
      </c>
      <c r="H1902" t="str">
        <f>"2002222289351"</f>
        <v>2002222289351</v>
      </c>
      <c r="I1902" t="str">
        <f>HYPERLINK("#", "https://opac.libnet.pref.okayama.jp/licsxp-opac/WOpacMsgNewListToTifTilDetailAction.do?tilcod=2002222289351")</f>
        <v>https://opac.libnet.pref.okayama.jp/licsxp-opac/WOpacMsgNewListToTifTilDetailAction.do?tilcod=2002222289351</v>
      </c>
    </row>
    <row r="1903" spans="1:9" x14ac:dyDescent="0.4">
      <c r="A1903" t="str">
        <f>"吉備郷土通信"</f>
        <v>吉備郷土通信</v>
      </c>
      <c r="B1903" s="1" t="str">
        <f t="shared" si="106"/>
        <v>吉備郷土通信</v>
      </c>
      <c r="C1903" t="str">
        <f>"キビ　キョウド　ツウシン"</f>
        <v>キビ　キョウド　ツウシン</v>
      </c>
      <c r="D1903" t="str">
        <f>"松林堂書店"</f>
        <v>松林堂書店</v>
      </c>
      <c r="E1903" t="str">
        <f>"ショウリンドウ ショテン"</f>
        <v>ショウリンドウ ショテン</v>
      </c>
      <c r="F1903" t="str">
        <f>"岡山"</f>
        <v>岡山</v>
      </c>
      <c r="G1903" t="str">
        <f>"頻度不明"</f>
        <v>頻度不明</v>
      </c>
      <c r="H1903" t="str">
        <f>"2002222289371"</f>
        <v>2002222289371</v>
      </c>
      <c r="I1903" t="str">
        <f>HYPERLINK("#", "https://opac.libnet.pref.okayama.jp/licsxp-opac/WOpacMsgNewListToTifTilDetailAction.do?tilcod=2002222289371")</f>
        <v>https://opac.libnet.pref.okayama.jp/licsxp-opac/WOpacMsgNewListToTifTilDetailAction.do?tilcod=2002222289371</v>
      </c>
    </row>
    <row r="1904" spans="1:9" x14ac:dyDescent="0.4">
      <c r="A1904" t="str">
        <f>"吉備郷土史学"</f>
        <v>吉備郷土史学</v>
      </c>
      <c r="B1904" s="1" t="str">
        <f t="shared" si="106"/>
        <v>吉備郷土史学</v>
      </c>
      <c r="C1904" t="str">
        <f>"キビ　キョウドシガク"</f>
        <v>キビ　キョウドシガク</v>
      </c>
      <c r="D1904" t="str">
        <f>"岡山県郷土史学会"</f>
        <v>岡山県郷土史学会</v>
      </c>
      <c r="E1904" t="str">
        <f>"オカヤマケン キョウドシ ガッカイ"</f>
        <v>オカヤマケン キョウドシ ガッカイ</v>
      </c>
      <c r="F1904" t="str">
        <f>""</f>
        <v/>
      </c>
      <c r="G1904" t="str">
        <f>"頻度不明"</f>
        <v>頻度不明</v>
      </c>
      <c r="H1904" t="str">
        <f>"2002222289361"</f>
        <v>2002222289361</v>
      </c>
      <c r="I1904" t="str">
        <f>HYPERLINK("#", "https://opac.libnet.pref.okayama.jp/licsxp-opac/WOpacMsgNewListToTifTilDetailAction.do?tilcod=2002222289361")</f>
        <v>https://opac.libnet.pref.okayama.jp/licsxp-opac/WOpacMsgNewListToTifTilDetailAction.do?tilcod=2002222289361</v>
      </c>
    </row>
    <row r="1905" spans="1:9" x14ac:dyDescent="0.4">
      <c r="A1905" t="s">
        <v>1</v>
      </c>
      <c r="B1905" s="1" t="str">
        <f t="shared" si="106"/>
        <v>="“きび考”"</v>
      </c>
      <c r="C1905" t="str">
        <f>"キビ　コウ"</f>
        <v>キビ　コウ</v>
      </c>
      <c r="D1905" t="str">
        <f>"先史古代研究会"</f>
        <v>先史古代研究会</v>
      </c>
      <c r="E1905" t="str">
        <f>"センシコダイケンキュウカイ"</f>
        <v>センシコダイケンキュウカイ</v>
      </c>
      <c r="F1905" t="str">
        <f>"岡山"</f>
        <v>岡山</v>
      </c>
      <c r="G1905" t="str">
        <f>"不定期刊"</f>
        <v>不定期刊</v>
      </c>
      <c r="H1905" t="str">
        <f>"2002222311188"</f>
        <v>2002222311188</v>
      </c>
      <c r="I1905" t="str">
        <f>HYPERLINK("#", "https://opac.libnet.pref.okayama.jp/licsxp-opac/WOpacMsgNewListToTifTilDetailAction.do?tilcod=2002222311188")</f>
        <v>https://opac.libnet.pref.okayama.jp/licsxp-opac/WOpacMsgNewListToTifTilDetailAction.do?tilcod=2002222311188</v>
      </c>
    </row>
    <row r="1906" spans="1:9" x14ac:dyDescent="0.4">
      <c r="A1906" t="str">
        <f>"吉備高原"</f>
        <v>吉備高原</v>
      </c>
      <c r="B1906" s="1" t="str">
        <f t="shared" si="106"/>
        <v>吉備高原</v>
      </c>
      <c r="C1906" t="str">
        <f>"キビ　コウゲン"</f>
        <v>キビ　コウゲン</v>
      </c>
      <c r="D1906" t="str">
        <f>"加茂川川柳社"</f>
        <v>加茂川川柳社</v>
      </c>
      <c r="E1906" t="str">
        <f>"カモガワセンリュウシャ"</f>
        <v>カモガワセンリュウシャ</v>
      </c>
      <c r="F1906" t="str">
        <f>"加茂川町（御津郡）"</f>
        <v>加茂川町（御津郡）</v>
      </c>
      <c r="G1906" t="str">
        <f>"季刊"</f>
        <v>季刊</v>
      </c>
      <c r="H1906" t="str">
        <f>"2002222291231"</f>
        <v>2002222291231</v>
      </c>
      <c r="I1906" t="str">
        <f>HYPERLINK("#", "https://opac.libnet.pref.okayama.jp/licsxp-opac/WOpacMsgNewListToTifTilDetailAction.do?tilcod=2002222291231")</f>
        <v>https://opac.libnet.pref.okayama.jp/licsxp-opac/WOpacMsgNewListToTifTilDetailAction.do?tilcod=2002222291231</v>
      </c>
    </row>
    <row r="1907" spans="1:9" x14ac:dyDescent="0.4">
      <c r="A1907" t="str">
        <f>"吉備高原学園高等学校学校だより"</f>
        <v>吉備高原学園高等学校学校だより</v>
      </c>
      <c r="B1907" s="1" t="str">
        <f t="shared" si="106"/>
        <v>吉備高原学園高等学校学校だより</v>
      </c>
      <c r="C1907" t="str">
        <f>"キビ　コウゲン　ガクエン　コウトウ　ガッコウ　ガッコウ　ダヨリ"</f>
        <v>キビ　コウゲン　ガクエン　コウトウ　ガッコウ　ガッコウ　ダヨリ</v>
      </c>
      <c r="D1907" t="str">
        <f>"吉備高原学園高等学校"</f>
        <v>吉備高原学園高等学校</v>
      </c>
      <c r="E1907" t="str">
        <f>"キビコウゲンガクエンコウトウガッコウ"</f>
        <v>キビコウゲンガクエンコウトウガッコウ</v>
      </c>
      <c r="F1907" t="str">
        <f>"吉備中央町（加賀郡）"</f>
        <v>吉備中央町（加賀郡）</v>
      </c>
      <c r="G1907" t="str">
        <f>"頻度不明"</f>
        <v>頻度不明</v>
      </c>
      <c r="H1907" t="str">
        <f>"2002222301821"</f>
        <v>2002222301821</v>
      </c>
      <c r="I1907" t="str">
        <f>HYPERLINK("#", "https://opac.libnet.pref.okayama.jp/licsxp-opac/WOpacMsgNewListToTifTilDetailAction.do?tilcod=2002222301821")</f>
        <v>https://opac.libnet.pref.okayama.jp/licsxp-opac/WOpacMsgNewListToTifTilDetailAction.do?tilcod=2002222301821</v>
      </c>
    </row>
    <row r="1908" spans="1:9" x14ac:dyDescent="0.4">
      <c r="A1908" t="str">
        <f>"〔吉備高原学園高等学校〕わかまつ"</f>
        <v>〔吉備高原学園高等学校〕わかまつ</v>
      </c>
      <c r="B1908" s="1" t="str">
        <f t="shared" si="106"/>
        <v>〔吉備高原学園高等学校〕わかまつ</v>
      </c>
      <c r="C1908" t="str">
        <f>"キビ　コウゲン　ガクエン　コウトウ　ガッコウ＊ワカマツ"</f>
        <v>キビ　コウゲン　ガクエン　コウトウ　ガッコウ＊ワカマツ</v>
      </c>
      <c r="D1908" t="str">
        <f>"吉備高原学園高等学校"</f>
        <v>吉備高原学園高等学校</v>
      </c>
      <c r="E1908" t="str">
        <f>"キビコウゲンガクエンコウトウガッコウ"</f>
        <v>キビコウゲンガクエンコウトウガッコウ</v>
      </c>
      <c r="F1908" t="str">
        <f>"加茂川町（御津郡）"</f>
        <v>加茂川町（御津郡）</v>
      </c>
      <c r="G1908" t="str">
        <f>"不定期刊"</f>
        <v>不定期刊</v>
      </c>
      <c r="H1908" t="str">
        <f>"2002222283141"</f>
        <v>2002222283141</v>
      </c>
      <c r="I1908" t="str">
        <f>HYPERLINK("#", "https://opac.libnet.pref.okayama.jp/licsxp-opac/WOpacMsgNewListToTifTilDetailAction.do?tilcod=2002222283141")</f>
        <v>https://opac.libnet.pref.okayama.jp/licsxp-opac/WOpacMsgNewListToTifTilDetailAction.do?tilcod=2002222283141</v>
      </c>
    </row>
    <row r="1909" spans="1:9" x14ac:dyDescent="0.4">
      <c r="A1909" t="str">
        <f>"吉備高原中央地域合併協議会だより"</f>
        <v>吉備高原中央地域合併協議会だより</v>
      </c>
      <c r="B1909" s="1" t="str">
        <f t="shared" si="106"/>
        <v>吉備高原中央地域合併協議会だより</v>
      </c>
      <c r="C1909" t="str">
        <f>"キビ　コウゲン　チュウオウ　チイキ　ガッペイ　キョウギカイ　ダヨリ"</f>
        <v>キビ　コウゲン　チュウオウ　チイキ　ガッペイ　キョウギカイ　ダヨリ</v>
      </c>
      <c r="D1909" t="str">
        <f>"吉備高原中央地域合併協議会事務局"</f>
        <v>吉備高原中央地域合併協議会事務局</v>
      </c>
      <c r="E1909" t="str">
        <f>"キビコウゲンチュウオウチイキガッペイキョウギカイジムキョク"</f>
        <v>キビコウゲンチュウオウチイキガッペイキョウギカイジムキョク</v>
      </c>
      <c r="F1909" t="str">
        <f>"賀陽町（上房郡）"</f>
        <v>賀陽町（上房郡）</v>
      </c>
      <c r="G1909" t="str">
        <f>"頻度不明"</f>
        <v>頻度不明</v>
      </c>
      <c r="H1909" t="str">
        <f>"2002222285531"</f>
        <v>2002222285531</v>
      </c>
      <c r="I1909" t="str">
        <f>HYPERLINK("#", "https://opac.libnet.pref.okayama.jp/licsxp-opac/WOpacMsgNewListToTifTilDetailAction.do?tilcod=2002222285531")</f>
        <v>https://opac.libnet.pref.okayama.jp/licsxp-opac/WOpacMsgNewListToTifTilDetailAction.do?tilcod=2002222285531</v>
      </c>
    </row>
    <row r="1910" spans="1:9" x14ac:dyDescent="0.4">
      <c r="A1910" t="str">
        <f>"吉備考古"</f>
        <v>吉備考古</v>
      </c>
      <c r="B1910" s="1" t="str">
        <f t="shared" si="106"/>
        <v>吉備考古</v>
      </c>
      <c r="C1910" t="str">
        <f>"キビ　コウコ"</f>
        <v>キビ　コウコ</v>
      </c>
      <c r="D1910" t="str">
        <f>"吉備考古学会"</f>
        <v>吉備考古学会</v>
      </c>
      <c r="E1910" t="str">
        <f>"キビコウコガッカイ"</f>
        <v>キビコウコガッカイ</v>
      </c>
      <c r="F1910" t="str">
        <f>""</f>
        <v/>
      </c>
      <c r="G1910" t="str">
        <f>"季刊"</f>
        <v>季刊</v>
      </c>
      <c r="H1910" t="str">
        <f>"2002222289401"</f>
        <v>2002222289401</v>
      </c>
      <c r="I1910" t="str">
        <f>HYPERLINK("#", "https://opac.libnet.pref.okayama.jp/licsxp-opac/WOpacMsgNewListToTifTilDetailAction.do?tilcod=2002222289401")</f>
        <v>https://opac.libnet.pref.okayama.jp/licsxp-opac/WOpacMsgNewListToTifTilDetailAction.do?tilcod=2002222289401</v>
      </c>
    </row>
    <row r="1911" spans="1:9" x14ac:dyDescent="0.4">
      <c r="A1911" t="str">
        <f>"吉備考古"</f>
        <v>吉備考古</v>
      </c>
      <c r="B1911" s="1" t="str">
        <f t="shared" si="106"/>
        <v>吉備考古</v>
      </c>
      <c r="C1911" t="str">
        <f>"キビ　コウコ"</f>
        <v>キビ　コウコ</v>
      </c>
      <c r="D1911" t="str">
        <f>"吉備考古会"</f>
        <v>吉備考古会</v>
      </c>
      <c r="E1911" t="str">
        <f>"キビ コウコカイ"</f>
        <v>キビ コウコカイ</v>
      </c>
      <c r="F1911" t="str">
        <f>""</f>
        <v/>
      </c>
      <c r="G1911" t="str">
        <f>"季刊"</f>
        <v>季刊</v>
      </c>
      <c r="H1911" t="str">
        <f>"2002222289391"</f>
        <v>2002222289391</v>
      </c>
      <c r="I1911" t="str">
        <f>HYPERLINK("#", "https://opac.libnet.pref.okayama.jp/licsxp-opac/WOpacMsgNewListToTifTilDetailAction.do?tilcod=2002222289391")</f>
        <v>https://opac.libnet.pref.okayama.jp/licsxp-opac/WOpacMsgNewListToTifTilDetailAction.do?tilcod=2002222289391</v>
      </c>
    </row>
    <row r="1912" spans="1:9" x14ac:dyDescent="0.4">
      <c r="A1912" t="str">
        <f>"[吉備高等学校]学校の概要"</f>
        <v>[吉備高等学校]学校の概要</v>
      </c>
      <c r="B1912" s="1" t="str">
        <f t="shared" si="106"/>
        <v>[吉備高等学校]学校の概要</v>
      </c>
      <c r="C1912" t="str">
        <f>"キビ コウトウ ガッコウ ガッコウ ノ ガイヨウ"</f>
        <v>キビ コウトウ ガッコウ ガッコウ ノ ガイヨウ</v>
      </c>
      <c r="D1912" t="str">
        <f>"吉備高等学校"</f>
        <v>吉備高等学校</v>
      </c>
      <c r="E1912" t="str">
        <f>"キビ コウトウ ガッコウ"</f>
        <v>キビ コウトウ ガッコウ</v>
      </c>
      <c r="F1912" t="str">
        <f>"岡山"</f>
        <v>岡山</v>
      </c>
      <c r="G1912" t="str">
        <f t="shared" ref="G1912:G1922" si="108">"年刊"</f>
        <v>年刊</v>
      </c>
      <c r="H1912" t="str">
        <f>"2002222336671"</f>
        <v>2002222336671</v>
      </c>
      <c r="I1912" t="str">
        <f>HYPERLINK("#", "https://opac.libnet.pref.okayama.jp/licsxp-opac/WOpacMsgNewListToTifTilDetailAction.do?tilcod=2002222336671")</f>
        <v>https://opac.libnet.pref.okayama.jp/licsxp-opac/WOpacMsgNewListToTifTilDetailAction.do?tilcod=2002222336671</v>
      </c>
    </row>
    <row r="1913" spans="1:9" x14ac:dyDescent="0.4">
      <c r="A1913" t="str">
        <f>"[吉備高等学校]学校要覧"</f>
        <v>[吉備高等学校]学校要覧</v>
      </c>
      <c r="B1913" s="1" t="str">
        <f t="shared" si="106"/>
        <v>[吉備高等学校]学校要覧</v>
      </c>
      <c r="C1913" t="str">
        <f>"キビ コウトウ ガッコウ ガッコウ ヨウラン"</f>
        <v>キビ コウトウ ガッコウ ガッコウ ヨウラン</v>
      </c>
      <c r="D1913" t="str">
        <f>"吉備高等学校"</f>
        <v>吉備高等学校</v>
      </c>
      <c r="E1913" t="str">
        <f>"キビ コウトウ ガッコウ"</f>
        <v>キビ コウトウ ガッコウ</v>
      </c>
      <c r="F1913" t="str">
        <f>"岡山"</f>
        <v>岡山</v>
      </c>
      <c r="G1913" t="str">
        <f t="shared" si="108"/>
        <v>年刊</v>
      </c>
      <c r="H1913" t="str">
        <f>"2002222336670"</f>
        <v>2002222336670</v>
      </c>
      <c r="I1913" t="str">
        <f>HYPERLINK("#", "https://opac.libnet.pref.okayama.jp/licsxp-opac/WOpacMsgNewListToTifTilDetailAction.do?tilcod=2002222336670")</f>
        <v>https://opac.libnet.pref.okayama.jp/licsxp-opac/WOpacMsgNewListToTifTilDetailAction.do?tilcod=2002222336670</v>
      </c>
    </row>
    <row r="1914" spans="1:9" x14ac:dyDescent="0.4">
      <c r="A1914" t="str">
        <f>"吉備国際大学社会福祉学部研究紀要"</f>
        <v>吉備国際大学社会福祉学部研究紀要</v>
      </c>
      <c r="B1914" s="1" t="str">
        <f t="shared" si="106"/>
        <v>吉備国際大学社会福祉学部研究紀要</v>
      </c>
      <c r="C1914" t="str">
        <f>"キビ　コクサイ　シャカイ　フクシ　ガクブ　ケンキュウ　キヨウ"</f>
        <v>キビ　コクサイ　シャカイ　フクシ　ガクブ　ケンキュウ　キヨウ</v>
      </c>
      <c r="D1914" t="str">
        <f t="shared" ref="D1914:D1922" si="109">"吉備国際大学"</f>
        <v>吉備国際大学</v>
      </c>
      <c r="E1914" t="str">
        <f t="shared" ref="E1914:E1922" si="110">"キビコクサイダイガク"</f>
        <v>キビコクサイダイガク</v>
      </c>
      <c r="F1914" t="str">
        <f t="shared" ref="F1914:F1925" si="111">"高梁"</f>
        <v>高梁</v>
      </c>
      <c r="G1914" t="str">
        <f t="shared" si="108"/>
        <v>年刊</v>
      </c>
      <c r="H1914" t="str">
        <f>"2002222287753"</f>
        <v>2002222287753</v>
      </c>
      <c r="I1914" t="str">
        <f>HYPERLINK("#", "https://opac.libnet.pref.okayama.jp/licsxp-opac/WOpacMsgNewListToTifTilDetailAction.do?tilcod=2002222287753")</f>
        <v>https://opac.libnet.pref.okayama.jp/licsxp-opac/WOpacMsgNewListToTifTilDetailAction.do?tilcod=2002222287753</v>
      </c>
    </row>
    <row r="1915" spans="1:9" x14ac:dyDescent="0.4">
      <c r="A1915" t="str">
        <f>"吉備国際大学研究紀要"</f>
        <v>吉備国際大学研究紀要</v>
      </c>
      <c r="B1915" s="1" t="str">
        <f t="shared" si="106"/>
        <v>吉備国際大学研究紀要</v>
      </c>
      <c r="C1915" t="str">
        <f>"キビ　コクサイ　ダイガク　ケンキュウ　キヨウ"</f>
        <v>キビ　コクサイ　ダイガク　ケンキュウ　キヨウ</v>
      </c>
      <c r="D1915" t="str">
        <f t="shared" si="109"/>
        <v>吉備国際大学</v>
      </c>
      <c r="E1915" t="str">
        <f t="shared" si="110"/>
        <v>キビコクサイダイガク</v>
      </c>
      <c r="F1915" t="str">
        <f t="shared" si="111"/>
        <v>高梁</v>
      </c>
      <c r="G1915" t="str">
        <f t="shared" si="108"/>
        <v>年刊</v>
      </c>
      <c r="H1915" t="str">
        <f>"2002222288583"</f>
        <v>2002222288583</v>
      </c>
      <c r="I1915" t="str">
        <f>HYPERLINK("#", "https://opac.libnet.pref.okayama.jp/licsxp-opac/WOpacMsgNewListToTifTilDetailAction.do?tilcod=2002222288583")</f>
        <v>https://opac.libnet.pref.okayama.jp/licsxp-opac/WOpacMsgNewListToTifTilDetailAction.do?tilcod=2002222288583</v>
      </c>
    </row>
    <row r="1916" spans="1:9" x14ac:dyDescent="0.4">
      <c r="A1916" t="str">
        <f>"吉備国際大学研究紀要　（国際環境経営学部）"</f>
        <v>吉備国際大学研究紀要　（国際環境経営学部）</v>
      </c>
      <c r="B1916" s="1" t="str">
        <f t="shared" si="106"/>
        <v>吉備国際大学研究紀要　（国際環境経営学部）</v>
      </c>
      <c r="C1916" t="str">
        <f>"キビ　コクサイ　ダイガク　ケンキュウ　キヨウ　コクサイ　カンキョウ　ケイエイ　ガクブ"</f>
        <v>キビ　コクサイ　ダイガク　ケンキュウ　キヨウ　コクサイ　カンキョウ　ケイエイ　ガクブ</v>
      </c>
      <c r="D1916" t="str">
        <f t="shared" si="109"/>
        <v>吉備国際大学</v>
      </c>
      <c r="E1916" t="str">
        <f t="shared" si="110"/>
        <v>キビコクサイダイガク</v>
      </c>
      <c r="F1916" t="str">
        <f t="shared" si="111"/>
        <v>高梁</v>
      </c>
      <c r="G1916" t="str">
        <f t="shared" si="108"/>
        <v>年刊</v>
      </c>
      <c r="H1916" t="str">
        <f>"2002222302261"</f>
        <v>2002222302261</v>
      </c>
      <c r="I1916" t="str">
        <f>HYPERLINK("#", "https://opac.libnet.pref.okayama.jp/licsxp-opac/WOpacMsgNewListToTifTilDetailAction.do?tilcod=2002222302261")</f>
        <v>https://opac.libnet.pref.okayama.jp/licsxp-opac/WOpacMsgNewListToTifTilDetailAction.do?tilcod=2002222302261</v>
      </c>
    </row>
    <row r="1917" spans="1:9" x14ac:dyDescent="0.4">
      <c r="A1917" t="str">
        <f>"吉備国際大学研究紀要　（社会学部）"</f>
        <v>吉備国際大学研究紀要　（社会学部）</v>
      </c>
      <c r="B1917" s="1" t="str">
        <f t="shared" si="106"/>
        <v>吉備国際大学研究紀要　（社会学部）</v>
      </c>
      <c r="C1917" t="str">
        <f>"キビ　コクサイ　ダイガク　ケンキュウ　キヨウ　シャカイ　ガクブ"</f>
        <v>キビ　コクサイ　ダイガク　ケンキュウ　キヨウ　シャカイ　ガクブ</v>
      </c>
      <c r="D1917" t="str">
        <f t="shared" si="109"/>
        <v>吉備国際大学</v>
      </c>
      <c r="E1917" t="str">
        <f t="shared" si="110"/>
        <v>キビコクサイダイガク</v>
      </c>
      <c r="F1917" t="str">
        <f t="shared" si="111"/>
        <v>高梁</v>
      </c>
      <c r="G1917" t="str">
        <f t="shared" si="108"/>
        <v>年刊</v>
      </c>
      <c r="H1917" t="str">
        <f>"2002222302259"</f>
        <v>2002222302259</v>
      </c>
      <c r="I1917" t="str">
        <f>HYPERLINK("#", "https://opac.libnet.pref.okayama.jp/licsxp-opac/WOpacMsgNewListToTifTilDetailAction.do?tilcod=2002222302259")</f>
        <v>https://opac.libnet.pref.okayama.jp/licsxp-opac/WOpacMsgNewListToTifTilDetailAction.do?tilcod=2002222302259</v>
      </c>
    </row>
    <row r="1918" spans="1:9" x14ac:dyDescent="0.4">
      <c r="A1918" t="str">
        <f>"吉備国際大学研究紀要　（社会福祉学部）"</f>
        <v>吉備国際大学研究紀要　（社会福祉学部）</v>
      </c>
      <c r="B1918" s="1" t="str">
        <f t="shared" si="106"/>
        <v>吉備国際大学研究紀要　（社会福祉学部）</v>
      </c>
      <c r="C1918" t="str">
        <f>"キビ　コクサイ　ダイガク　ケンキュウ　キヨウ　シャカイ　フクシ　ガクブ"</f>
        <v>キビ　コクサイ　ダイガク　ケンキュウ　キヨウ　シャカイ　フクシ　ガクブ</v>
      </c>
      <c r="D1918" t="str">
        <f t="shared" si="109"/>
        <v>吉備国際大学</v>
      </c>
      <c r="E1918" t="str">
        <f t="shared" si="110"/>
        <v>キビコクサイダイガク</v>
      </c>
      <c r="F1918" t="str">
        <f t="shared" si="111"/>
        <v>高梁</v>
      </c>
      <c r="G1918" t="str">
        <f t="shared" si="108"/>
        <v>年刊</v>
      </c>
      <c r="H1918" t="str">
        <f>"2002222302260"</f>
        <v>2002222302260</v>
      </c>
      <c r="I1918" t="str">
        <f>HYPERLINK("#", "https://opac.libnet.pref.okayama.jp/licsxp-opac/WOpacMsgNewListToTifTilDetailAction.do?tilcod=2002222302260")</f>
        <v>https://opac.libnet.pref.okayama.jp/licsxp-opac/WOpacMsgNewListToTifTilDetailAction.do?tilcod=2002222302260</v>
      </c>
    </row>
    <row r="1919" spans="1:9" x14ac:dyDescent="0.4">
      <c r="A1919" t="str">
        <f>"吉備国際大学研究紀要　（人文・社会科学系　医療・自然科学系）"</f>
        <v>吉備国際大学研究紀要　（人文・社会科学系　医療・自然科学系）</v>
      </c>
      <c r="B1919" s="1" t="str">
        <f t="shared" si="106"/>
        <v>吉備国際大学研究紀要　（人文・社会科学系　医療・自然科学系）</v>
      </c>
      <c r="C1919" t="str">
        <f>"キビ　コクサイ　ダイガク　ケンキュウ　キヨウ　ジンブン　シャカイカガクケイ　イリョウ　シゼンカガクケイ"</f>
        <v>キビ　コクサイ　ダイガク　ケンキュウ　キヨウ　ジンブン　シャカイカガクケイ　イリョウ　シゼンカガクケイ</v>
      </c>
      <c r="D1919" t="str">
        <f t="shared" si="109"/>
        <v>吉備国際大学</v>
      </c>
      <c r="E1919" t="str">
        <f t="shared" si="110"/>
        <v>キビコクサイダイガク</v>
      </c>
      <c r="F1919" t="str">
        <f t="shared" si="111"/>
        <v>高梁</v>
      </c>
      <c r="G1919" t="str">
        <f t="shared" si="108"/>
        <v>年刊</v>
      </c>
      <c r="H1919" t="str">
        <f>"2002222314586"</f>
        <v>2002222314586</v>
      </c>
      <c r="I1919" t="str">
        <f>HYPERLINK("#", "https://opac.libnet.pref.okayama.jp/licsxp-opac/WOpacMsgNewListToTifTilDetailAction.do?tilcod=2002222314586")</f>
        <v>https://opac.libnet.pref.okayama.jp/licsxp-opac/WOpacMsgNewListToTifTilDetailAction.do?tilcod=2002222314586</v>
      </c>
    </row>
    <row r="1920" spans="1:9" x14ac:dyDescent="0.4">
      <c r="A1920" t="str">
        <f>"吉備国際大学研究紀要　（保健科学部）"</f>
        <v>吉備国際大学研究紀要　（保健科学部）</v>
      </c>
      <c r="B1920" s="1" t="str">
        <f t="shared" si="106"/>
        <v>吉備国際大学研究紀要　（保健科学部）</v>
      </c>
      <c r="C1920" t="str">
        <f>"キビ　コクサイ　ダイガク　ケンキュウ　キヨウ　ホケン　カガク　ブ"</f>
        <v>キビ　コクサイ　ダイガク　ケンキュウ　キヨウ　ホケン　カガク　ブ</v>
      </c>
      <c r="D1920" t="str">
        <f t="shared" si="109"/>
        <v>吉備国際大学</v>
      </c>
      <c r="E1920" t="str">
        <f t="shared" si="110"/>
        <v>キビコクサイダイガク</v>
      </c>
      <c r="F1920" t="str">
        <f t="shared" si="111"/>
        <v>高梁</v>
      </c>
      <c r="G1920" t="str">
        <f t="shared" si="108"/>
        <v>年刊</v>
      </c>
      <c r="H1920" t="str">
        <f>"2002222302262"</f>
        <v>2002222302262</v>
      </c>
      <c r="I1920" t="str">
        <f>HYPERLINK("#", "https://opac.libnet.pref.okayama.jp/licsxp-opac/WOpacMsgNewListToTifTilDetailAction.do?tilcod=2002222302262")</f>
        <v>https://opac.libnet.pref.okayama.jp/licsxp-opac/WOpacMsgNewListToTifTilDetailAction.do?tilcod=2002222302262</v>
      </c>
    </row>
    <row r="1921" spans="1:9" x14ac:dyDescent="0.4">
      <c r="A1921" t="str">
        <f>"吉備国際大学社会学部研究紀要"</f>
        <v>吉備国際大学社会学部研究紀要</v>
      </c>
      <c r="B1921" s="1" t="str">
        <f t="shared" si="106"/>
        <v>吉備国際大学社会学部研究紀要</v>
      </c>
      <c r="C1921" t="str">
        <f>"キビ　コクサイ　ダイガク　シャカイ　ガクブ　ケンキュウ　キヨウ"</f>
        <v>キビ　コクサイ　ダイガク　シャカイ　ガクブ　ケンキュウ　キヨウ</v>
      </c>
      <c r="D1921" t="str">
        <f t="shared" si="109"/>
        <v>吉備国際大学</v>
      </c>
      <c r="E1921" t="str">
        <f t="shared" si="110"/>
        <v>キビコクサイダイガク</v>
      </c>
      <c r="F1921" t="str">
        <f t="shared" si="111"/>
        <v>高梁</v>
      </c>
      <c r="G1921" t="str">
        <f t="shared" si="108"/>
        <v>年刊</v>
      </c>
      <c r="H1921" t="str">
        <f>"2002222294491"</f>
        <v>2002222294491</v>
      </c>
      <c r="I1921" t="str">
        <f>HYPERLINK("#", "https://opac.libnet.pref.okayama.jp/licsxp-opac/WOpacMsgNewListToTifTilDetailAction.do?tilcod=2002222294491")</f>
        <v>https://opac.libnet.pref.okayama.jp/licsxp-opac/WOpacMsgNewListToTifTilDetailAction.do?tilcod=2002222294491</v>
      </c>
    </row>
    <row r="1922" spans="1:9" x14ac:dyDescent="0.4">
      <c r="A1922" t="str">
        <f>"吉備国際大学政策マネジメント学部研究紀要"</f>
        <v>吉備国際大学政策マネジメント学部研究紀要</v>
      </c>
      <c r="B1922" s="1" t="str">
        <f t="shared" si="106"/>
        <v>吉備国際大学政策マネジメント学部研究紀要</v>
      </c>
      <c r="C1922" t="str">
        <f>"キビ　コクサイ　ダイガク　セイサク　マネジメント　ガクブ　ケンキュウ　キヨウ"</f>
        <v>キビ　コクサイ　ダイガク　セイサク　マネジメント　ガクブ　ケンキュウ　キヨウ</v>
      </c>
      <c r="D1922" t="str">
        <f t="shared" si="109"/>
        <v>吉備国際大学</v>
      </c>
      <c r="E1922" t="str">
        <f t="shared" si="110"/>
        <v>キビコクサイダイガク</v>
      </c>
      <c r="F1922" t="str">
        <f t="shared" si="111"/>
        <v>高梁</v>
      </c>
      <c r="G1922" t="str">
        <f t="shared" si="108"/>
        <v>年刊</v>
      </c>
      <c r="H1922" t="str">
        <f>"2002222300435"</f>
        <v>2002222300435</v>
      </c>
      <c r="I1922" t="str">
        <f>HYPERLINK("#", "https://opac.libnet.pref.okayama.jp/licsxp-opac/WOpacMsgNewListToTifTilDetailAction.do?tilcod=2002222300435")</f>
        <v>https://opac.libnet.pref.okayama.jp/licsxp-opac/WOpacMsgNewListToTifTilDetailAction.do?tilcod=2002222300435</v>
      </c>
    </row>
    <row r="1923" spans="1:9" x14ac:dyDescent="0.4">
      <c r="A1923" t="str">
        <f>"吉備国際大学大学院社会学研究科論叢"</f>
        <v>吉備国際大学大学院社会学研究科論叢</v>
      </c>
      <c r="B1923" s="1" t="str">
        <f t="shared" si="106"/>
        <v>吉備国際大学大学院社会学研究科論叢</v>
      </c>
      <c r="C1923" t="str">
        <f>"キビ　コクサイ　ダイガク　ダイガクイン　シャカイガク　ケンキュウカ　ロンソウ"</f>
        <v>キビ　コクサイ　ダイガク　ダイガクイン　シャカイガク　ケンキュウカ　ロンソウ</v>
      </c>
      <c r="D1923" t="str">
        <f>"吉備国際大学大学院"</f>
        <v>吉備国際大学大学院</v>
      </c>
      <c r="E1923" t="str">
        <f>"キビコクサイダイガクダイガクイン"</f>
        <v>キビコクサイダイガクダイガクイン</v>
      </c>
      <c r="F1923" t="str">
        <f t="shared" si="111"/>
        <v>高梁</v>
      </c>
      <c r="G1923" t="str">
        <f>"頻度不明"</f>
        <v>頻度不明</v>
      </c>
      <c r="H1923" t="str">
        <f>"2002222281224"</f>
        <v>2002222281224</v>
      </c>
      <c r="I1923" t="str">
        <f>HYPERLINK("#", "https://opac.libnet.pref.okayama.jp/licsxp-opac/WOpacMsgNewListToTifTilDetailAction.do?tilcod=2002222281224")</f>
        <v>https://opac.libnet.pref.okayama.jp/licsxp-opac/WOpacMsgNewListToTifTilDetailAction.do?tilcod=2002222281224</v>
      </c>
    </row>
    <row r="1924" spans="1:9" x14ac:dyDescent="0.4">
      <c r="A1924" t="str">
        <f>"吉備国際大学保健科学部研究紀要"</f>
        <v>吉備国際大学保健科学部研究紀要</v>
      </c>
      <c r="B1924" s="1" t="str">
        <f t="shared" ref="B1924:B1987" si="112">HYPERLINK("#", A1924)</f>
        <v>吉備国際大学保健科学部研究紀要</v>
      </c>
      <c r="C1924" t="str">
        <f>"キビ　コクサイ　ダイガク　ホケン　カガクブ　ケンキュウ　キヨウ"</f>
        <v>キビ　コクサイ　ダイガク　ホケン　カガクブ　ケンキュウ　キヨウ</v>
      </c>
      <c r="D1924" t="str">
        <f>"吉備国際大学"</f>
        <v>吉備国際大学</v>
      </c>
      <c r="E1924" t="str">
        <f>"キビコクサイダイガク"</f>
        <v>キビコクサイダイガク</v>
      </c>
      <c r="F1924" t="str">
        <f t="shared" si="111"/>
        <v>高梁</v>
      </c>
      <c r="G1924" t="str">
        <f>"年刊"</f>
        <v>年刊</v>
      </c>
      <c r="H1924" t="str">
        <f>"2002222287743"</f>
        <v>2002222287743</v>
      </c>
      <c r="I1924" t="str">
        <f>HYPERLINK("#", "https://opac.libnet.pref.okayama.jp/licsxp-opac/WOpacMsgNewListToTifTilDetailAction.do?tilcod=2002222287743")</f>
        <v>https://opac.libnet.pref.okayama.jp/licsxp-opac/WOpacMsgNewListToTifTilDetailAction.do?tilcod=2002222287743</v>
      </c>
    </row>
    <row r="1925" spans="1:9" x14ac:dyDescent="0.4">
      <c r="A1925" t="str">
        <f>"吉備国際大学保健福祉研究所研究紀要"</f>
        <v>吉備国際大学保健福祉研究所研究紀要</v>
      </c>
      <c r="B1925" s="1" t="str">
        <f t="shared" si="112"/>
        <v>吉備国際大学保健福祉研究所研究紀要</v>
      </c>
      <c r="C1925" t="str">
        <f>"キビ　コクサイ　ダイガク　ホケン　フクシ　ケンキュウジョ　ケンキュウ　キヨウ"</f>
        <v>キビ　コクサイ　ダイガク　ホケン　フクシ　ケンキュウジョ　ケンキュウ　キヨウ</v>
      </c>
      <c r="D1925" t="str">
        <f>"吉備国際大学保健福祉研究所"</f>
        <v>吉備国際大学保健福祉研究所</v>
      </c>
      <c r="E1925" t="str">
        <f>"キビコクサイダイガクホケンフクシケンキュウジョ"</f>
        <v>キビコクサイダイガクホケンフクシケンキュウジョ</v>
      </c>
      <c r="F1925" t="str">
        <f t="shared" si="111"/>
        <v>高梁</v>
      </c>
      <c r="G1925" t="str">
        <f>"年刊"</f>
        <v>年刊</v>
      </c>
      <c r="H1925" t="str">
        <f>"2002222300916"</f>
        <v>2002222300916</v>
      </c>
      <c r="I1925" t="str">
        <f>HYPERLINK("#", "https://opac.libnet.pref.okayama.jp/licsxp-opac/WOpacMsgNewListToTifTilDetailAction.do?tilcod=2002222300916")</f>
        <v>https://opac.libnet.pref.okayama.jp/licsxp-opac/WOpacMsgNewListToTifTilDetailAction.do?tilcod=2002222300916</v>
      </c>
    </row>
    <row r="1926" spans="1:9" x14ac:dyDescent="0.4">
      <c r="A1926" t="str">
        <f>"吉備古泉"</f>
        <v>吉備古泉</v>
      </c>
      <c r="B1926" s="1" t="str">
        <f t="shared" si="112"/>
        <v>吉備古泉</v>
      </c>
      <c r="C1926" t="str">
        <f>"キビ　コセン"</f>
        <v>キビ　コセン</v>
      </c>
      <c r="D1926" t="str">
        <f>"吉備古泉会"</f>
        <v>吉備古泉会</v>
      </c>
      <c r="E1926" t="str">
        <f>"キビコセンカイ"</f>
        <v>キビコセンカイ</v>
      </c>
      <c r="F1926" t="str">
        <f>""</f>
        <v/>
      </c>
      <c r="G1926" t="str">
        <f>"頻度不明"</f>
        <v>頻度不明</v>
      </c>
      <c r="H1926" t="str">
        <f>"2002222289431"</f>
        <v>2002222289431</v>
      </c>
      <c r="I1926" t="str">
        <f>HYPERLINK("#", "https://opac.libnet.pref.okayama.jp/licsxp-opac/WOpacMsgNewListToTifTilDetailAction.do?tilcod=2002222289431")</f>
        <v>https://opac.libnet.pref.okayama.jp/licsxp-opac/WOpacMsgNewListToTifTilDetailAction.do?tilcod=2002222289431</v>
      </c>
    </row>
    <row r="1927" spans="1:9" x14ac:dyDescent="0.4">
      <c r="A1927" t="str">
        <f>"黄薇古泉会誌"</f>
        <v>黄薇古泉会誌</v>
      </c>
      <c r="B1927" s="1" t="str">
        <f t="shared" si="112"/>
        <v>黄薇古泉会誌</v>
      </c>
      <c r="C1927" t="str">
        <f>"キビ　コセン　カイシ"</f>
        <v>キビ　コセン　カイシ</v>
      </c>
      <c r="D1927" t="str">
        <f>"黄薇古泉会"</f>
        <v>黄薇古泉会</v>
      </c>
      <c r="E1927" t="str">
        <f>"キビコセンカイ"</f>
        <v>キビコセンカイ</v>
      </c>
      <c r="F1927" t="str">
        <f>"宇野町（児島郡）"</f>
        <v>宇野町（児島郡）</v>
      </c>
      <c r="G1927" t="str">
        <f>"季刊"</f>
        <v>季刊</v>
      </c>
      <c r="H1927" t="str">
        <f>"2002222301355"</f>
        <v>2002222301355</v>
      </c>
      <c r="I1927" t="str">
        <f>HYPERLINK("#", "https://opac.libnet.pref.okayama.jp/licsxp-opac/WOpacMsgNewListToTifTilDetailAction.do?tilcod=2002222301355")</f>
        <v>https://opac.libnet.pref.okayama.jp/licsxp-opac/WOpacMsgNewListToTifTilDetailAction.do?tilcod=2002222301355</v>
      </c>
    </row>
    <row r="1928" spans="1:9" x14ac:dyDescent="0.4">
      <c r="A1928" t="str">
        <f>"吉備古泉会々誌"</f>
        <v>吉備古泉会々誌</v>
      </c>
      <c r="B1928" s="1" t="str">
        <f t="shared" si="112"/>
        <v>吉備古泉会々誌</v>
      </c>
      <c r="C1928" t="str">
        <f>"キビ　コセンカイ　カイシ"</f>
        <v>キビ　コセンカイ　カイシ</v>
      </c>
      <c r="D1928" t="str">
        <f>"吉備古泉会"</f>
        <v>吉備古泉会</v>
      </c>
      <c r="E1928" t="str">
        <f>"キビコセンカイ"</f>
        <v>キビコセンカイ</v>
      </c>
      <c r="F1928" t="str">
        <f>""</f>
        <v/>
      </c>
      <c r="G1928" t="str">
        <f>"頻度不明"</f>
        <v>頻度不明</v>
      </c>
      <c r="H1928" t="str">
        <f>"2002222289421"</f>
        <v>2002222289421</v>
      </c>
      <c r="I1928" t="str">
        <f>HYPERLINK("#", "https://opac.libnet.pref.okayama.jp/licsxp-opac/WOpacMsgNewListToTifTilDetailAction.do?tilcod=2002222289421")</f>
        <v>https://opac.libnet.pref.okayama.jp/licsxp-opac/WOpacMsgNewListToTifTilDetailAction.do?tilcod=2002222289421</v>
      </c>
    </row>
    <row r="1929" spans="1:9" x14ac:dyDescent="0.4">
      <c r="A1929" t="str">
        <f>"吉備史壇"</f>
        <v>吉備史壇</v>
      </c>
      <c r="B1929" s="1" t="str">
        <f t="shared" si="112"/>
        <v>吉備史壇</v>
      </c>
      <c r="C1929" t="str">
        <f>"キビ　シダン"</f>
        <v>キビ　シダン</v>
      </c>
      <c r="D1929" t="str">
        <f>"吉備文化研究会"</f>
        <v>吉備文化研究会</v>
      </c>
      <c r="E1929" t="str">
        <f>"キビ ブンカ ケンキュウカイ"</f>
        <v>キビ ブンカ ケンキュウカイ</v>
      </c>
      <c r="F1929" t="str">
        <f>""</f>
        <v/>
      </c>
      <c r="G1929" t="str">
        <f>"頻度不明"</f>
        <v>頻度不明</v>
      </c>
      <c r="H1929" t="str">
        <f>"2002222289441"</f>
        <v>2002222289441</v>
      </c>
      <c r="I1929" t="str">
        <f>HYPERLINK("#", "https://opac.libnet.pref.okayama.jp/licsxp-opac/WOpacMsgNewListToTifTilDetailAction.do?tilcod=2002222289441")</f>
        <v>https://opac.libnet.pref.okayama.jp/licsxp-opac/WOpacMsgNewListToTifTilDetailAction.do?tilcod=2002222289441</v>
      </c>
    </row>
    <row r="1930" spans="1:9" x14ac:dyDescent="0.4">
      <c r="A1930" t="str">
        <f>"吉備時報"</f>
        <v>吉備時報</v>
      </c>
      <c r="B1930" s="1" t="str">
        <f t="shared" si="112"/>
        <v>吉備時報</v>
      </c>
      <c r="C1930" t="str">
        <f>"キビ ジホウ"</f>
        <v>キビ ジホウ</v>
      </c>
      <c r="D1930" t="str">
        <f>"吉備時報社"</f>
        <v>吉備時報社</v>
      </c>
      <c r="E1930" t="str">
        <f>"キビ ジホウシャ"</f>
        <v>キビ ジホウシャ</v>
      </c>
      <c r="F1930" t="str">
        <f>"千年村(沼隈郡)　"</f>
        <v>千年村(沼隈郡)　</v>
      </c>
      <c r="G1930" t="str">
        <f>"月刊"</f>
        <v>月刊</v>
      </c>
      <c r="H1930" t="str">
        <f>"2002222310046"</f>
        <v>2002222310046</v>
      </c>
      <c r="I1930" t="str">
        <f>HYPERLINK("#", "https://opac.libnet.pref.okayama.jp/licsxp-opac/WOpacMsgNewListToTifTilDetailAction.do?tilcod=2002222310046")</f>
        <v>https://opac.libnet.pref.okayama.jp/licsxp-opac/WOpacMsgNewListToTifTilDetailAction.do?tilcod=2002222310046</v>
      </c>
    </row>
    <row r="1931" spans="1:9" x14ac:dyDescent="0.4">
      <c r="A1931" t="str">
        <f>"きび書道"</f>
        <v>きび書道</v>
      </c>
      <c r="B1931" s="1" t="str">
        <f t="shared" si="112"/>
        <v>きび書道</v>
      </c>
      <c r="C1931" t="str">
        <f>"キビ　ショドウ"</f>
        <v>キビ　ショドウ</v>
      </c>
      <c r="D1931" t="str">
        <f>"西文明堂"</f>
        <v>西文明堂</v>
      </c>
      <c r="E1931" t="str">
        <f>"ニシブンメイドウ"</f>
        <v>ニシブンメイドウ</v>
      </c>
      <c r="F1931" t="str">
        <f>"岡山"</f>
        <v>岡山</v>
      </c>
      <c r="G1931" t="str">
        <f>"月刊"</f>
        <v>月刊</v>
      </c>
      <c r="H1931" t="str">
        <f>"2002222301136"</f>
        <v>2002222301136</v>
      </c>
      <c r="I1931" t="str">
        <f>HYPERLINK("#", "https://opac.libnet.pref.okayama.jp/licsxp-opac/WOpacMsgNewListToTifTilDetailAction.do?tilcod=2002222301136")</f>
        <v>https://opac.libnet.pref.okayama.jp/licsxp-opac/WOpacMsgNewListToTifTilDetailAction.do?tilcod=2002222301136</v>
      </c>
    </row>
    <row r="1932" spans="1:9" x14ac:dyDescent="0.4">
      <c r="A1932" t="str">
        <f>"黄薇新聞"</f>
        <v>黄薇新聞</v>
      </c>
      <c r="B1932" s="1" t="str">
        <f t="shared" si="112"/>
        <v>黄薇新聞</v>
      </c>
      <c r="C1932" t="str">
        <f>"キビ　シンブン"</f>
        <v>キビ　シンブン</v>
      </c>
      <c r="D1932" t="str">
        <f>"黄薇新聞社"</f>
        <v>黄薇新聞社</v>
      </c>
      <c r="E1932" t="str">
        <f>"キビシンブンシャ"</f>
        <v>キビシンブンシャ</v>
      </c>
      <c r="F1932" t="str">
        <f>"岡山"</f>
        <v>岡山</v>
      </c>
      <c r="G1932" t="str">
        <f>"月刊"</f>
        <v>月刊</v>
      </c>
      <c r="H1932" t="str">
        <f>"2002222300860"</f>
        <v>2002222300860</v>
      </c>
      <c r="I1932" t="str">
        <f>HYPERLINK("#", "https://opac.libnet.pref.okayama.jp/licsxp-opac/WOpacMsgNewListToTifTilDetailAction.do?tilcod=2002222300860")</f>
        <v>https://opac.libnet.pref.okayama.jp/licsxp-opac/WOpacMsgNewListToTifTilDetailAction.do?tilcod=2002222300860</v>
      </c>
    </row>
    <row r="1933" spans="1:9" x14ac:dyDescent="0.4">
      <c r="A1933" t="str">
        <f>"黄薇青年"</f>
        <v>黄薇青年</v>
      </c>
      <c r="B1933" s="1" t="str">
        <f t="shared" si="112"/>
        <v>黄薇青年</v>
      </c>
      <c r="C1933" t="str">
        <f>"キビ　セイネン"</f>
        <v>キビ　セイネン</v>
      </c>
      <c r="D1933" t="str">
        <f>"黄薇青年社"</f>
        <v>黄薇青年社</v>
      </c>
      <c r="E1933" t="str">
        <f>"キビ セイネンシャ"</f>
        <v>キビ セイネンシャ</v>
      </c>
      <c r="F1933" t="str">
        <f>""</f>
        <v/>
      </c>
      <c r="G1933" t="str">
        <f>"頻度不明"</f>
        <v>頻度不明</v>
      </c>
      <c r="H1933" t="str">
        <f>"2002222289451"</f>
        <v>2002222289451</v>
      </c>
      <c r="I1933" t="str">
        <f>HYPERLINK("#", "https://opac.libnet.pref.okayama.jp/licsxp-opac/WOpacMsgNewListToTifTilDetailAction.do?tilcod=2002222289451")</f>
        <v>https://opac.libnet.pref.okayama.jp/licsxp-opac/WOpacMsgNewListToTifTilDetailAction.do?tilcod=2002222289451</v>
      </c>
    </row>
    <row r="1934" spans="1:9" x14ac:dyDescent="0.4">
      <c r="A1934" t="str">
        <f>"吉備地方文化研究"</f>
        <v>吉備地方文化研究</v>
      </c>
      <c r="B1934" s="1" t="str">
        <f t="shared" si="112"/>
        <v>吉備地方文化研究</v>
      </c>
      <c r="C1934" t="str">
        <f>"キビ　チホウ　ブンカ　ケンキュウ"</f>
        <v>キビ　チホウ　ブンカ　ケンキュウ</v>
      </c>
      <c r="D1934" t="str">
        <f>"就実大学吉備地方文化研究所"</f>
        <v>就実大学吉備地方文化研究所</v>
      </c>
      <c r="E1934" t="str">
        <f>"シュウジツ ダイガク キビ チホウ ブンカ ケンキュウジョ"</f>
        <v>シュウジツ ダイガク キビ チホウ ブンカ ケンキュウジョ</v>
      </c>
      <c r="F1934" t="str">
        <f>"岡山"</f>
        <v>岡山</v>
      </c>
      <c r="G1934" t="str">
        <f>"年刊"</f>
        <v>年刊</v>
      </c>
      <c r="H1934" t="str">
        <f>"2002222294551"</f>
        <v>2002222294551</v>
      </c>
      <c r="I1934" t="str">
        <f>HYPERLINK("#", "https://opac.libnet.pref.okayama.jp/licsxp-opac/WOpacMsgNewListToTifTilDetailAction.do?tilcod=2002222294551")</f>
        <v>https://opac.libnet.pref.okayama.jp/licsxp-opac/WOpacMsgNewListToTifTilDetailAction.do?tilcod=2002222294551</v>
      </c>
    </row>
    <row r="1935" spans="1:9" x14ac:dyDescent="0.4">
      <c r="A1935" t="str">
        <f>"吉備地方史"</f>
        <v>吉備地方史</v>
      </c>
      <c r="B1935" s="1" t="str">
        <f t="shared" si="112"/>
        <v>吉備地方史</v>
      </c>
      <c r="C1935" t="str">
        <f>"キビ　チホウシ"</f>
        <v>キビ　チホウシ</v>
      </c>
      <c r="D1935" t="str">
        <f>"吉備地方史研究会"</f>
        <v>吉備地方史研究会</v>
      </c>
      <c r="E1935" t="str">
        <f>"キビチホウシケンキュウカイ"</f>
        <v>キビチホウシケンキュウカイ</v>
      </c>
      <c r="F1935" t="str">
        <f>""</f>
        <v/>
      </c>
      <c r="G1935" t="str">
        <f>"頻度不明"</f>
        <v>頻度不明</v>
      </c>
      <c r="H1935" t="str">
        <f>"2002222289471"</f>
        <v>2002222289471</v>
      </c>
      <c r="I1935" t="str">
        <f>HYPERLINK("#", "https://opac.libnet.pref.okayama.jp/licsxp-opac/WOpacMsgNewListToTifTilDetailAction.do?tilcod=2002222289471")</f>
        <v>https://opac.libnet.pref.okayama.jp/licsxp-opac/WOpacMsgNewListToTifTilDetailAction.do?tilcod=2002222289471</v>
      </c>
    </row>
    <row r="1936" spans="1:9" x14ac:dyDescent="0.4">
      <c r="A1936" t="str">
        <f>"吉備地方史月報"</f>
        <v>吉備地方史月報</v>
      </c>
      <c r="B1936" s="1" t="str">
        <f t="shared" si="112"/>
        <v>吉備地方史月報</v>
      </c>
      <c r="C1936" t="str">
        <f>"キビ　チホウシ　ゲッポウ"</f>
        <v>キビ　チホウシ　ゲッポウ</v>
      </c>
      <c r="D1936" t="str">
        <f>"吉備地方史研究会"</f>
        <v>吉備地方史研究会</v>
      </c>
      <c r="E1936" t="str">
        <f>"キビチホウシケンキュウカイ"</f>
        <v>キビチホウシケンキュウカイ</v>
      </c>
      <c r="F1936" t="str">
        <f>""</f>
        <v/>
      </c>
      <c r="G1936" t="str">
        <f>"月刊"</f>
        <v>月刊</v>
      </c>
      <c r="H1936" t="str">
        <f>"2002222289461"</f>
        <v>2002222289461</v>
      </c>
      <c r="I1936" t="str">
        <f>HYPERLINK("#", "https://opac.libnet.pref.okayama.jp/licsxp-opac/WOpacMsgNewListToTifTilDetailAction.do?tilcod=2002222289461")</f>
        <v>https://opac.libnet.pref.okayama.jp/licsxp-opac/WOpacMsgNewListToTifTilDetailAction.do?tilcod=2002222289461</v>
      </c>
    </row>
    <row r="1937" spans="1:9" x14ac:dyDescent="0.4">
      <c r="A1937" t="str">
        <f>"吉備日日新聞"</f>
        <v>吉備日日新聞</v>
      </c>
      <c r="B1937" s="1" t="str">
        <f t="shared" si="112"/>
        <v>吉備日日新聞</v>
      </c>
      <c r="C1937" t="str">
        <f>"キビ　ニチニチ　シンブン"</f>
        <v>キビ　ニチニチ　シンブン</v>
      </c>
      <c r="D1937" t="str">
        <f>"向陽社仮事務所"</f>
        <v>向陽社仮事務所</v>
      </c>
      <c r="E1937" t="str">
        <f>"コウヨウシャカリジムショ"</f>
        <v>コウヨウシャカリジムショ</v>
      </c>
      <c r="F1937" t="str">
        <f>"岡山"</f>
        <v>岡山</v>
      </c>
      <c r="G1937" t="str">
        <f>"日刊"</f>
        <v>日刊</v>
      </c>
      <c r="H1937" t="str">
        <f>"2002222300988"</f>
        <v>2002222300988</v>
      </c>
      <c r="I1937" t="str">
        <f>HYPERLINK("#", "https://opac.libnet.pref.okayama.jp/licsxp-opac/WOpacMsgNewListToTifTilDetailAction.do?tilcod=2002222300988")</f>
        <v>https://opac.libnet.pref.okayama.jp/licsxp-opac/WOpacMsgNewListToTifTilDetailAction.do?tilcod=2002222300988</v>
      </c>
    </row>
    <row r="1938" spans="1:9" x14ac:dyDescent="0.4">
      <c r="A1938" t="str">
        <f>"きびの草花"</f>
        <v>きびの草花</v>
      </c>
      <c r="B1938" s="1" t="str">
        <f t="shared" si="112"/>
        <v>きびの草花</v>
      </c>
      <c r="C1938" t="str">
        <f>"キビ　ノ　クサバナ"</f>
        <v>キビ　ノ　クサバナ</v>
      </c>
      <c r="D1938" t="str">
        <f>"くらしき野草の会"</f>
        <v>くらしき野草の会</v>
      </c>
      <c r="E1938" t="str">
        <f>"クラシキヤソウノカイ"</f>
        <v>クラシキヤソウノカイ</v>
      </c>
      <c r="F1938" t="str">
        <f>"倉敷"</f>
        <v>倉敷</v>
      </c>
      <c r="G1938" t="str">
        <f>"年刊"</f>
        <v>年刊</v>
      </c>
      <c r="H1938" t="str">
        <f>"2002222289511"</f>
        <v>2002222289511</v>
      </c>
      <c r="I1938" t="str">
        <f>HYPERLINK("#", "https://opac.libnet.pref.okayama.jp/licsxp-opac/WOpacMsgNewListToTifTilDetailAction.do?tilcod=2002222289511")</f>
        <v>https://opac.libnet.pref.okayama.jp/licsxp-opac/WOpacMsgNewListToTifTilDetailAction.do?tilcod=2002222289511</v>
      </c>
    </row>
    <row r="1939" spans="1:9" x14ac:dyDescent="0.4">
      <c r="A1939" t="str">
        <f>"吉備の植物"</f>
        <v>吉備の植物</v>
      </c>
      <c r="B1939" s="1" t="str">
        <f t="shared" si="112"/>
        <v>吉備の植物</v>
      </c>
      <c r="C1939" t="str">
        <f>"キビ　ノ　ショクブツ"</f>
        <v>キビ　ノ　ショクブツ</v>
      </c>
      <c r="D1939" t="str">
        <f>"吉備の植物同好会"</f>
        <v>吉備の植物同好会</v>
      </c>
      <c r="E1939" t="str">
        <f>"キビノショクブツドウコウカイ"</f>
        <v>キビノショクブツドウコウカイ</v>
      </c>
      <c r="F1939" t="str">
        <f>""</f>
        <v/>
      </c>
      <c r="G1939" t="str">
        <f t="shared" ref="G1939:G1945" si="113">"頻度不明"</f>
        <v>頻度不明</v>
      </c>
      <c r="H1939" t="str">
        <f>"2002222287883"</f>
        <v>2002222287883</v>
      </c>
      <c r="I1939" t="str">
        <f>HYPERLINK("#", "https://opac.libnet.pref.okayama.jp/licsxp-opac/WOpacMsgNewListToTifTilDetailAction.do?tilcod=2002222287883")</f>
        <v>https://opac.libnet.pref.okayama.jp/licsxp-opac/WOpacMsgNewListToTifTilDetailAction.do?tilcod=2002222287883</v>
      </c>
    </row>
    <row r="1940" spans="1:9" x14ac:dyDescent="0.4">
      <c r="A1940" t="str">
        <f>"黄薇之友"</f>
        <v>黄薇之友</v>
      </c>
      <c r="B1940" s="1" t="str">
        <f t="shared" si="112"/>
        <v>黄薇之友</v>
      </c>
      <c r="C1940" t="str">
        <f>"キビ　ノ　トモ"</f>
        <v>キビ　ノ　トモ</v>
      </c>
      <c r="D1940" t="str">
        <f>"黄薇社"</f>
        <v>黄薇社</v>
      </c>
      <c r="E1940" t="str">
        <f>"キビシャ"</f>
        <v>キビシャ</v>
      </c>
      <c r="F1940" t="str">
        <f>""</f>
        <v/>
      </c>
      <c r="G1940" t="str">
        <f t="shared" si="113"/>
        <v>頻度不明</v>
      </c>
      <c r="H1940" t="str">
        <f>"2002222289521"</f>
        <v>2002222289521</v>
      </c>
      <c r="I1940" t="str">
        <f>HYPERLINK("#", "https://opac.libnet.pref.okayama.jp/licsxp-opac/WOpacMsgNewListToTifTilDetailAction.do?tilcod=2002222289521")</f>
        <v>https://opac.libnet.pref.okayama.jp/licsxp-opac/WOpacMsgNewListToTifTilDetailAction.do?tilcod=2002222289521</v>
      </c>
    </row>
    <row r="1941" spans="1:9" x14ac:dyDescent="0.4">
      <c r="A1941" t="str">
        <f>"黍のぬき穂"</f>
        <v>黍のぬき穂</v>
      </c>
      <c r="B1941" s="1" t="str">
        <f t="shared" si="112"/>
        <v>黍のぬき穂</v>
      </c>
      <c r="C1941" t="str">
        <f>"キビ　ノ　ヌキホ"</f>
        <v>キビ　ノ　ヌキホ</v>
      </c>
      <c r="D1941" t="str">
        <f>"吉備和歌会"</f>
        <v>吉備和歌会</v>
      </c>
      <c r="E1941" t="str">
        <f>"キビワカカイ"</f>
        <v>キビワカカイ</v>
      </c>
      <c r="F1941" t="str">
        <f>""</f>
        <v/>
      </c>
      <c r="G1941" t="str">
        <f t="shared" si="113"/>
        <v>頻度不明</v>
      </c>
      <c r="H1941" t="str">
        <f>"2002222289531"</f>
        <v>2002222289531</v>
      </c>
      <c r="I1941" t="str">
        <f>HYPERLINK("#", "https://opac.libnet.pref.okayama.jp/licsxp-opac/WOpacMsgNewListToTifTilDetailAction.do?tilcod=2002222289531")</f>
        <v>https://opac.libnet.pref.okayama.jp/licsxp-opac/WOpacMsgNewListToTifTilDetailAction.do?tilcod=2002222289531</v>
      </c>
    </row>
    <row r="1942" spans="1:9" x14ac:dyDescent="0.4">
      <c r="A1942" t="str">
        <f>"吉備の華"</f>
        <v>吉備の華</v>
      </c>
      <c r="B1942" s="1" t="str">
        <f t="shared" si="112"/>
        <v>吉備の華</v>
      </c>
      <c r="C1942" t="str">
        <f>"キビ ノ ハナ"</f>
        <v>キビ ノ ハナ</v>
      </c>
      <c r="D1942" t="str">
        <f>"吉備未生流家元華務所"</f>
        <v>吉備未生流家元華務所</v>
      </c>
      <c r="E1942" t="str">
        <f>"キビ ミショウリュウ イエモト カムショ"</f>
        <v>キビ ミショウリュウ イエモト カムショ</v>
      </c>
      <c r="F1942" t="str">
        <f>"岡山"</f>
        <v>岡山</v>
      </c>
      <c r="G1942" t="str">
        <f t="shared" si="113"/>
        <v>頻度不明</v>
      </c>
      <c r="H1942" t="str">
        <f>"2002222331429"</f>
        <v>2002222331429</v>
      </c>
      <c r="I1942" t="str">
        <f>HYPERLINK("#", "https://opac.libnet.pref.okayama.jp/licsxp-opac/WOpacMsgNewListToTifTilDetailAction.do?tilcod=2002222331429")</f>
        <v>https://opac.libnet.pref.okayama.jp/licsxp-opac/WOpacMsgNewListToTifTilDetailAction.do?tilcod=2002222331429</v>
      </c>
    </row>
    <row r="1943" spans="1:9" x14ac:dyDescent="0.4">
      <c r="A1943" t="str">
        <f>"吉備の文化財"</f>
        <v>吉備の文化財</v>
      </c>
      <c r="B1943" s="1" t="str">
        <f t="shared" si="112"/>
        <v>吉備の文化財</v>
      </c>
      <c r="C1943" t="str">
        <f>"キビ　ノ　ブンカザイ"</f>
        <v>キビ　ノ　ブンカザイ</v>
      </c>
      <c r="D1943" t="str">
        <f>"岡山県文化財保護協会"</f>
        <v>岡山県文化財保護協会</v>
      </c>
      <c r="E1943" t="str">
        <f>"オカヤマケン ブンカザイ ホゴ キョウカイ"</f>
        <v>オカヤマケン ブンカザイ ホゴ キョウカイ</v>
      </c>
      <c r="F1943" t="str">
        <f>""</f>
        <v/>
      </c>
      <c r="G1943" t="str">
        <f t="shared" si="113"/>
        <v>頻度不明</v>
      </c>
      <c r="H1943" t="str">
        <f>"2002222289541"</f>
        <v>2002222289541</v>
      </c>
      <c r="I1943" t="str">
        <f>HYPERLINK("#", "https://opac.libnet.pref.okayama.jp/licsxp-opac/WOpacMsgNewListToTifTilDetailAction.do?tilcod=2002222289541")</f>
        <v>https://opac.libnet.pref.okayama.jp/licsxp-opac/WOpacMsgNewListToTifTilDetailAction.do?tilcod=2002222289541</v>
      </c>
    </row>
    <row r="1944" spans="1:9" x14ac:dyDescent="0.4">
      <c r="A1944" t="str">
        <f>"黄薇俳諧松聲草紙"</f>
        <v>黄薇俳諧松聲草紙</v>
      </c>
      <c r="B1944" s="1" t="str">
        <f t="shared" si="112"/>
        <v>黄薇俳諧松聲草紙</v>
      </c>
      <c r="C1944" t="str">
        <f>"キビ　ハイカイ　ショウショウ　ソウシ"</f>
        <v>キビ　ハイカイ　ショウショウ　ソウシ</v>
      </c>
      <c r="D1944" t="str">
        <f>"松聲会"</f>
        <v>松聲会</v>
      </c>
      <c r="E1944" t="str">
        <f>"ショウショウカイ"</f>
        <v>ショウショウカイ</v>
      </c>
      <c r="F1944" t="str">
        <f>""</f>
        <v/>
      </c>
      <c r="G1944" t="str">
        <f t="shared" si="113"/>
        <v>頻度不明</v>
      </c>
      <c r="H1944" t="str">
        <f>"2002222287333"</f>
        <v>2002222287333</v>
      </c>
      <c r="I1944" t="str">
        <f>HYPERLINK("#", "https://opac.libnet.pref.okayama.jp/licsxp-opac/WOpacMsgNewListToTifTilDetailAction.do?tilcod=2002222287333")</f>
        <v>https://opac.libnet.pref.okayama.jp/licsxp-opac/WOpacMsgNewListToTifTilDetailAction.do?tilcod=2002222287333</v>
      </c>
    </row>
    <row r="1945" spans="1:9" x14ac:dyDescent="0.4">
      <c r="A1945" t="str">
        <f>"吉備評論"</f>
        <v>吉備評論</v>
      </c>
      <c r="B1945" s="1" t="str">
        <f t="shared" si="112"/>
        <v>吉備評論</v>
      </c>
      <c r="C1945" t="str">
        <f>"キビ ヒョウロン"</f>
        <v>キビ ヒョウロン</v>
      </c>
      <c r="D1945" t="str">
        <f>"吉備評論社"</f>
        <v>吉備評論社</v>
      </c>
      <c r="E1945" t="str">
        <f>"キビ ヒョウロンシャ"</f>
        <v>キビ ヒョウロンシャ</v>
      </c>
      <c r="F1945" t="str">
        <f>""</f>
        <v/>
      </c>
      <c r="G1945" t="str">
        <f t="shared" si="113"/>
        <v>頻度不明</v>
      </c>
      <c r="H1945" t="str">
        <f>"2002222330906"</f>
        <v>2002222330906</v>
      </c>
      <c r="I1945" t="str">
        <f>HYPERLINK("#", "https://opac.libnet.pref.okayama.jp/licsxp-opac/WOpacMsgNewListToTifTilDetailAction.do?tilcod=2002222330906")</f>
        <v>https://opac.libnet.pref.okayama.jp/licsxp-opac/WOpacMsgNewListToTifTilDetailAction.do?tilcod=2002222330906</v>
      </c>
    </row>
    <row r="1946" spans="1:9" x14ac:dyDescent="0.4">
      <c r="A1946" t="str">
        <f>"吉備文化"</f>
        <v>吉備文化</v>
      </c>
      <c r="B1946" s="1" t="str">
        <f t="shared" si="112"/>
        <v>吉備文化</v>
      </c>
      <c r="C1946" t="str">
        <f>"キビ　ブンカ"</f>
        <v>キビ　ブンカ</v>
      </c>
      <c r="D1946" t="str">
        <f>"吉備考古会"</f>
        <v>吉備考古会</v>
      </c>
      <c r="E1946" t="str">
        <f>"キビコウコカイ"</f>
        <v>キビコウコカイ</v>
      </c>
      <c r="F1946" t="str">
        <f>""</f>
        <v/>
      </c>
      <c r="G1946" t="str">
        <f>"季刊"</f>
        <v>季刊</v>
      </c>
      <c r="H1946" t="str">
        <f>"2002222289411"</f>
        <v>2002222289411</v>
      </c>
      <c r="I1946" t="str">
        <f>HYPERLINK("#", "https://opac.libnet.pref.okayama.jp/licsxp-opac/WOpacMsgNewListToTifTilDetailAction.do?tilcod=2002222289411")</f>
        <v>https://opac.libnet.pref.okayama.jp/licsxp-opac/WOpacMsgNewListToTifTilDetailAction.do?tilcod=2002222289411</v>
      </c>
    </row>
    <row r="1947" spans="1:9" x14ac:dyDescent="0.4">
      <c r="A1947" t="str">
        <f>"吉備文化"</f>
        <v>吉備文化</v>
      </c>
      <c r="B1947" s="1" t="str">
        <f t="shared" si="112"/>
        <v>吉備文化</v>
      </c>
      <c r="C1947" t="str">
        <f>"キビ　ブンカ"</f>
        <v>キビ　ブンカ</v>
      </c>
      <c r="D1947" t="str">
        <f>"吉備文化発行所"</f>
        <v>吉備文化発行所</v>
      </c>
      <c r="E1947" t="str">
        <f>"キビブンカハッコウジョ"</f>
        <v>キビブンカハッコウジョ</v>
      </c>
      <c r="F1947" t="str">
        <f>""</f>
        <v/>
      </c>
      <c r="G1947" t="str">
        <f>"頻度不明"</f>
        <v>頻度不明</v>
      </c>
      <c r="H1947" t="str">
        <f>"2002222289551"</f>
        <v>2002222289551</v>
      </c>
      <c r="I1947" t="str">
        <f>HYPERLINK("#", "https://opac.libnet.pref.okayama.jp/licsxp-opac/WOpacMsgNewListToTifTilDetailAction.do?tilcod=2002222289551")</f>
        <v>https://opac.libnet.pref.okayama.jp/licsxp-opac/WOpacMsgNewListToTifTilDetailAction.do?tilcod=2002222289551</v>
      </c>
    </row>
    <row r="1948" spans="1:9" x14ac:dyDescent="0.4">
      <c r="A1948" t="str">
        <f>"吉備北陵高等学校学校案内"</f>
        <v>吉備北陵高等学校学校案内</v>
      </c>
      <c r="B1948" s="1" t="str">
        <f t="shared" si="112"/>
        <v>吉備北陵高等学校学校案内</v>
      </c>
      <c r="C1948" t="str">
        <f>"キビ　ホクリョウ　コウトウ　ガッコウ　ガッコウ　アンナイ"</f>
        <v>キビ　ホクリョウ　コウトウ　ガッコウ　ガッコウ　アンナイ</v>
      </c>
      <c r="D1948" t="str">
        <f>"吉備北陵高等学校"</f>
        <v>吉備北陵高等学校</v>
      </c>
      <c r="E1948" t="str">
        <f>"キビホクリョウコウトウガッコウ"</f>
        <v>キビホクリョウコウトウガッコウ</v>
      </c>
      <c r="F1948" t="str">
        <f>"吉備中央町（加賀郡）"</f>
        <v>吉備中央町（加賀郡）</v>
      </c>
      <c r="G1948" t="str">
        <f>"年刊"</f>
        <v>年刊</v>
      </c>
      <c r="H1948" t="str">
        <f>"2002222301277"</f>
        <v>2002222301277</v>
      </c>
      <c r="I1948" t="str">
        <f>HYPERLINK("#", "https://opac.libnet.pref.okayama.jp/licsxp-opac/WOpacMsgNewListToTifTilDetailAction.do?tilcod=2002222301277")</f>
        <v>https://opac.libnet.pref.okayama.jp/licsxp-opac/WOpacMsgNewListToTifTilDetailAction.do?tilcod=2002222301277</v>
      </c>
    </row>
    <row r="1949" spans="1:9" x14ac:dyDescent="0.4">
      <c r="A1949" t="str">
        <f>"吉備北陵高等学校学校要覧"</f>
        <v>吉備北陵高等学校学校要覧</v>
      </c>
      <c r="B1949" s="1" t="str">
        <f t="shared" si="112"/>
        <v>吉備北陵高等学校学校要覧</v>
      </c>
      <c r="C1949" t="str">
        <f>"キビ　ホクリョウ　コウトウ　ガッコウ　ガッコウ　ヨウラン"</f>
        <v>キビ　ホクリョウ　コウトウ　ガッコウ　ガッコウ　ヨウラン</v>
      </c>
      <c r="D1949" t="str">
        <f>"吉備北陵高等学校"</f>
        <v>吉備北陵高等学校</v>
      </c>
      <c r="E1949" t="str">
        <f>"キビホクリョウコウトウガッコウ"</f>
        <v>キビホクリョウコウトウガッコウ</v>
      </c>
      <c r="F1949" t="str">
        <f>"吉備中央町（加賀郡）"</f>
        <v>吉備中央町（加賀郡）</v>
      </c>
      <c r="G1949" t="str">
        <f>"年刊"</f>
        <v>年刊</v>
      </c>
      <c r="H1949" t="str">
        <f>"2002222300540"</f>
        <v>2002222300540</v>
      </c>
      <c r="I1949" t="str">
        <f>HYPERLINK("#", "https://opac.libnet.pref.okayama.jp/licsxp-opac/WOpacMsgNewListToTifTilDetailAction.do?tilcod=2002222300540")</f>
        <v>https://opac.libnet.pref.okayama.jp/licsxp-opac/WOpacMsgNewListToTifTilDetailAction.do?tilcod=2002222300540</v>
      </c>
    </row>
    <row r="1950" spans="1:9" x14ac:dyDescent="0.4">
      <c r="A1950" t="str">
        <f>"黄薇余芳"</f>
        <v>黄薇余芳</v>
      </c>
      <c r="B1950" s="1" t="str">
        <f t="shared" si="112"/>
        <v>黄薇余芳</v>
      </c>
      <c r="C1950" t="str">
        <f>"キビ　ヨホウ"</f>
        <v>キビ　ヨホウ</v>
      </c>
      <c r="D1950" t="str">
        <f>"薇州文社"</f>
        <v>薇州文社</v>
      </c>
      <c r="E1950" t="str">
        <f>"ビシュウブンシャ"</f>
        <v>ビシュウブンシャ</v>
      </c>
      <c r="F1950" t="str">
        <f>""</f>
        <v/>
      </c>
      <c r="G1950" t="str">
        <f>"頻度不明"</f>
        <v>頻度不明</v>
      </c>
      <c r="H1950" t="str">
        <f>"2002222283083"</f>
        <v>2002222283083</v>
      </c>
      <c r="I1950" t="str">
        <f>HYPERLINK("#", "https://opac.libnet.pref.okayama.jp/licsxp-opac/WOpacMsgNewListToTifTilDetailAction.do?tilcod=2002222283083")</f>
        <v>https://opac.libnet.pref.okayama.jp/licsxp-opac/WOpacMsgNewListToTifTilDetailAction.do?tilcod=2002222283083</v>
      </c>
    </row>
    <row r="1951" spans="1:9" x14ac:dyDescent="0.4">
      <c r="A1951" t="str">
        <f>"Ｋｉｂｉ　Ｌｉｏｎ’ｓ"</f>
        <v>Ｋｉｂｉ　Ｌｉｏｎ’ｓ</v>
      </c>
      <c r="B1951" s="1" t="str">
        <f t="shared" si="112"/>
        <v>Ｋｉｂｉ　Ｌｉｏｎ’ｓ</v>
      </c>
      <c r="C1951" t="str">
        <f>"キビ　ライオンズ"</f>
        <v>キビ　ライオンズ</v>
      </c>
      <c r="D1951" t="str">
        <f>"岡山吉備ライオンズクラブ"</f>
        <v>岡山吉備ライオンズクラブ</v>
      </c>
      <c r="E1951" t="str">
        <f>"オカヤマキビライオンズクラブ"</f>
        <v>オカヤマキビライオンズクラブ</v>
      </c>
      <c r="F1951" t="str">
        <f>""</f>
        <v/>
      </c>
      <c r="G1951" t="str">
        <f>"頻度不明"</f>
        <v>頻度不明</v>
      </c>
      <c r="H1951" t="str">
        <f>"2002222289571"</f>
        <v>2002222289571</v>
      </c>
      <c r="I1951" t="str">
        <f>HYPERLINK("#", "https://opac.libnet.pref.okayama.jp/licsxp-opac/WOpacMsgNewListToTifTilDetailAction.do?tilcod=2002222289571")</f>
        <v>https://opac.libnet.pref.okayama.jp/licsxp-opac/WOpacMsgNewListToTifTilDetailAction.do?tilcod=2002222289571</v>
      </c>
    </row>
    <row r="1952" spans="1:9" x14ac:dyDescent="0.4">
      <c r="A1952" t="str">
        <f>"吉備郡農会報"</f>
        <v>吉備郡農会報</v>
      </c>
      <c r="B1952" s="1" t="str">
        <f t="shared" si="112"/>
        <v>吉備郡農会報</v>
      </c>
      <c r="C1952" t="str">
        <f>"キビグン　ノウカイホウ"</f>
        <v>キビグン　ノウカイホウ</v>
      </c>
      <c r="D1952" t="str">
        <f>"吉備郡農会"</f>
        <v>吉備郡農会</v>
      </c>
      <c r="E1952" t="str">
        <f>"キビグンノウカイ"</f>
        <v>キビグンノウカイ</v>
      </c>
      <c r="F1952" t="str">
        <f>""</f>
        <v/>
      </c>
      <c r="G1952" t="str">
        <f>"頻度不明"</f>
        <v>頻度不明</v>
      </c>
      <c r="H1952" t="str">
        <f>"2002222289381"</f>
        <v>2002222289381</v>
      </c>
      <c r="I1952" t="str">
        <f>HYPERLINK("#", "https://opac.libnet.pref.okayama.jp/licsxp-opac/WOpacMsgNewListToTifTilDetailAction.do?tilcod=2002222289381")</f>
        <v>https://opac.libnet.pref.okayama.jp/licsxp-opac/WOpacMsgNewListToTifTilDetailAction.do?tilcod=2002222289381</v>
      </c>
    </row>
    <row r="1953" spans="1:9" x14ac:dyDescent="0.4">
      <c r="A1953" t="str">
        <f>"きび号だより"</f>
        <v>きび号だより</v>
      </c>
      <c r="B1953" s="1" t="str">
        <f t="shared" si="112"/>
        <v>きび号だより</v>
      </c>
      <c r="C1953" t="str">
        <f>"キビゴウ ダヨリ"</f>
        <v>キビゴウ ダヨリ</v>
      </c>
      <c r="D1953" t="str">
        <f>"岡山県BMD協"</f>
        <v>岡山県BMD協</v>
      </c>
      <c r="E1953" t="str">
        <f>"オカヤマケン ビー エム ディー キョウ"</f>
        <v>オカヤマケン ビー エム ディー キョウ</v>
      </c>
      <c r="F1953" t="str">
        <f>"岡山"</f>
        <v>岡山</v>
      </c>
      <c r="G1953" t="str">
        <f>"年３回刊"</f>
        <v>年３回刊</v>
      </c>
      <c r="H1953" t="str">
        <f>"2002222328530"</f>
        <v>2002222328530</v>
      </c>
      <c r="I1953" t="str">
        <f>HYPERLINK("#", "https://opac.libnet.pref.okayama.jp/licsxp-opac/WOpacMsgNewListToTifTilDetailAction.do?tilcod=2002222328530")</f>
        <v>https://opac.libnet.pref.okayama.jp/licsxp-opac/WOpacMsgNewListToTifTilDetailAction.do?tilcod=2002222328530</v>
      </c>
    </row>
    <row r="1954" spans="1:9" x14ac:dyDescent="0.4">
      <c r="A1954" t="str">
        <f>"[吉備高原学園高等学校]学校案内"</f>
        <v>[吉備高原学園高等学校]学校案内</v>
      </c>
      <c r="B1954" s="1" t="str">
        <f t="shared" si="112"/>
        <v>[吉備高原学園高等学校]学校案内</v>
      </c>
      <c r="C1954" t="str">
        <f>"キビコウゲン　ガクエン　コウトウ　ガッコウ　ガッコウ　アンナイ"</f>
        <v>キビコウゲン　ガクエン　コウトウ　ガッコウ　ガッコウ　アンナイ</v>
      </c>
      <c r="D1954" t="str">
        <f>"吉備高原学園高等学校"</f>
        <v>吉備高原学園高等学校</v>
      </c>
      <c r="E1954" t="str">
        <f>"キビコウゲンガクエンコウトウガッコウ"</f>
        <v>キビコウゲンガクエンコウトウガッコウ</v>
      </c>
      <c r="F1954" t="str">
        <f>"加茂川町（御津郡）"</f>
        <v>加茂川町（御津郡）</v>
      </c>
      <c r="G1954" t="str">
        <f>"年刊"</f>
        <v>年刊</v>
      </c>
      <c r="H1954" t="str">
        <f>"2002222301234"</f>
        <v>2002222301234</v>
      </c>
      <c r="I1954" t="str">
        <f>HYPERLINK("#", "https://opac.libnet.pref.okayama.jp/licsxp-opac/WOpacMsgNewListToTifTilDetailAction.do?tilcod=2002222301234")</f>
        <v>https://opac.libnet.pref.okayama.jp/licsxp-opac/WOpacMsgNewListToTifTilDetailAction.do?tilcod=2002222301234</v>
      </c>
    </row>
    <row r="1955" spans="1:9" x14ac:dyDescent="0.4">
      <c r="A1955" t="str">
        <f>"[吉備高原のびのび小学校 吉備高原希望中学校]学校案内"</f>
        <v>[吉備高原のびのび小学校 吉備高原希望中学校]学校案内</v>
      </c>
      <c r="B1955" s="1" t="str">
        <f t="shared" si="112"/>
        <v>[吉備高原のびのび小学校 吉備高原希望中学校]学校案内</v>
      </c>
      <c r="C1955" t="str">
        <f>"キビコウゲン ノビノビ ショウガッコウ キビコウゲン キボウ チュウガッコウ＊ガッコウ アンナイ"</f>
        <v>キビコウゲン ノビノビ ショウガッコウ キビコウゲン キボウ チュウガッコウ＊ガッコウ アンナイ</v>
      </c>
      <c r="D1955" t="str">
        <f>"おかやま希望学園"</f>
        <v>おかやま希望学園</v>
      </c>
      <c r="E1955" t="str">
        <f>"オカヤマ キボウ ガクエン"</f>
        <v>オカヤマ キボウ ガクエン</v>
      </c>
      <c r="F1955" t="str">
        <f>"吉備中央町(加賀郡)"</f>
        <v>吉備中央町(加賀郡)</v>
      </c>
      <c r="G1955" t="str">
        <f>"頻度不明"</f>
        <v>頻度不明</v>
      </c>
      <c r="H1955" t="str">
        <f>"2002222326927"</f>
        <v>2002222326927</v>
      </c>
      <c r="I1955" t="str">
        <f>HYPERLINK("#", "https://opac.libnet.pref.okayama.jp/licsxp-opac/WOpacMsgNewListToTifTilDetailAction.do?tilcod=2002222326927")</f>
        <v>https://opac.libnet.pref.okayama.jp/licsxp-opac/WOpacMsgNewListToTifTilDetailAction.do?tilcod=2002222326927</v>
      </c>
    </row>
    <row r="1956" spans="1:9" x14ac:dyDescent="0.4">
      <c r="A1956" t="str">
        <f>"吉備高原のびのび小学校通信"</f>
        <v>吉備高原のびのび小学校通信</v>
      </c>
      <c r="B1956" s="1" t="str">
        <f t="shared" si="112"/>
        <v>吉備高原のびのび小学校通信</v>
      </c>
      <c r="C1956" t="str">
        <f>"キビコウゲン　ノビノビ　ショウガッコウ　ツウシン"</f>
        <v>キビコウゲン　ノビノビ　ショウガッコウ　ツウシン</v>
      </c>
      <c r="D1956" t="str">
        <f>"吉備高原のびのび小学校"</f>
        <v>吉備高原のびのび小学校</v>
      </c>
      <c r="E1956" t="str">
        <f>"キビ コウゲン ノビノビ ショウガッコウ"</f>
        <v>キビ コウゲン ノビノビ ショウガッコウ</v>
      </c>
      <c r="F1956" t="str">
        <f>"加茂川町（御津郡）"</f>
        <v>加茂川町（御津郡）</v>
      </c>
      <c r="G1956" t="str">
        <f>"月刊"</f>
        <v>月刊</v>
      </c>
      <c r="H1956" t="str">
        <f>"2002222294051"</f>
        <v>2002222294051</v>
      </c>
      <c r="I1956" t="str">
        <f>HYPERLINK("#", "https://opac.libnet.pref.okayama.jp/licsxp-opac/WOpacMsgNewListToTifTilDetailAction.do?tilcod=2002222294051")</f>
        <v>https://opac.libnet.pref.okayama.jp/licsxp-opac/WOpacMsgNewListToTifTilDetailAction.do?tilcod=2002222294051</v>
      </c>
    </row>
    <row r="1957" spans="1:9" x14ac:dyDescent="0.4">
      <c r="A1957" t="str">
        <f>"きび路"</f>
        <v>きび路</v>
      </c>
      <c r="B1957" s="1" t="str">
        <f t="shared" si="112"/>
        <v>きび路</v>
      </c>
      <c r="C1957" t="str">
        <f>"キビジ"</f>
        <v>キビジ</v>
      </c>
      <c r="D1957" t="str">
        <f>"岡山県小学校長会"</f>
        <v>岡山県小学校長会</v>
      </c>
      <c r="E1957" t="str">
        <f>"オカヤマケンショウガッコウチョウカイ"</f>
        <v>オカヤマケンショウガッコウチョウカイ</v>
      </c>
      <c r="F1957" t="str">
        <f>"岡山"</f>
        <v>岡山</v>
      </c>
      <c r="G1957" t="str">
        <f>"年刊"</f>
        <v>年刊</v>
      </c>
      <c r="H1957" t="str">
        <f>"2002222282641"</f>
        <v>2002222282641</v>
      </c>
      <c r="I1957" t="str">
        <f>HYPERLINK("#", "https://opac.libnet.pref.okayama.jp/licsxp-opac/WOpacMsgNewListToTifTilDetailAction.do?tilcod=2002222282641")</f>
        <v>https://opac.libnet.pref.okayama.jp/licsxp-opac/WOpacMsgNewListToTifTilDetailAction.do?tilcod=2002222282641</v>
      </c>
    </row>
    <row r="1958" spans="1:9" x14ac:dyDescent="0.4">
      <c r="A1958" t="str">
        <f>"吉備路"</f>
        <v>吉備路</v>
      </c>
      <c r="B1958" s="1" t="str">
        <f t="shared" si="112"/>
        <v>吉備路</v>
      </c>
      <c r="C1958" t="str">
        <f>"キビジ"</f>
        <v>キビジ</v>
      </c>
      <c r="D1958" t="str">
        <f>"岡山県伝統俳句協会事務局"</f>
        <v>岡山県伝統俳句協会事務局</v>
      </c>
      <c r="E1958" t="str">
        <f>"オカヤマケン デントウ ハイク キョウカイ ジムキョク"</f>
        <v>オカヤマケン デントウ ハイク キョウカイ ジムキョク</v>
      </c>
      <c r="F1958" t="str">
        <f>"倉敷"</f>
        <v>倉敷</v>
      </c>
      <c r="G1958" t="str">
        <f>"頻度不明"</f>
        <v>頻度不明</v>
      </c>
      <c r="H1958" t="str">
        <f>"2002222319687"</f>
        <v>2002222319687</v>
      </c>
      <c r="I1958" t="str">
        <f>HYPERLINK("#", "https://opac.libnet.pref.okayama.jp/licsxp-opac/WOpacMsgNewListToTifTilDetailAction.do?tilcod=2002222319687")</f>
        <v>https://opac.libnet.pref.okayama.jp/licsxp-opac/WOpacMsgNewListToTifTilDetailAction.do?tilcod=2002222319687</v>
      </c>
    </row>
    <row r="1959" spans="1:9" x14ac:dyDescent="0.4">
      <c r="A1959" t="str">
        <f>"吉備路郷土館だより"</f>
        <v>吉備路郷土館だより</v>
      </c>
      <c r="B1959" s="1" t="str">
        <f t="shared" si="112"/>
        <v>吉備路郷土館だより</v>
      </c>
      <c r="C1959" t="str">
        <f>"キビジ　キョウドカン　ダヨリ"</f>
        <v>キビジ　キョウドカン　ダヨリ</v>
      </c>
      <c r="D1959" t="str">
        <f>"岡山県立吉備路郷土館"</f>
        <v>岡山県立吉備路郷土館</v>
      </c>
      <c r="E1959" t="str">
        <f>"オカヤマケンリツ キビジ キョウドカン"</f>
        <v>オカヤマケンリツ キビジ キョウドカン</v>
      </c>
      <c r="F1959" t="str">
        <f>"岡山"</f>
        <v>岡山</v>
      </c>
      <c r="G1959" t="str">
        <f>"年刊"</f>
        <v>年刊</v>
      </c>
      <c r="H1959" t="str">
        <f>"2002222292391"</f>
        <v>2002222292391</v>
      </c>
      <c r="I1959" t="str">
        <f>HYPERLINK("#", "https://opac.libnet.pref.okayama.jp/licsxp-opac/WOpacMsgNewListToTifTilDetailAction.do?tilcod=2002222292391")</f>
        <v>https://opac.libnet.pref.okayama.jp/licsxp-opac/WOpacMsgNewListToTifTilDetailAction.do?tilcod=2002222292391</v>
      </c>
    </row>
    <row r="1960" spans="1:9" x14ac:dyDescent="0.4">
      <c r="A1960" t="str">
        <f>"吉備商学報"</f>
        <v>吉備商学報</v>
      </c>
      <c r="B1960" s="1" t="str">
        <f t="shared" si="112"/>
        <v>吉備商学報</v>
      </c>
      <c r="C1960" t="str">
        <f>"キビショウ　ガクホウ"</f>
        <v>キビショウ　ガクホウ</v>
      </c>
      <c r="D1960" t="str">
        <f>"岡山県吉備商業学校"</f>
        <v>岡山県吉備商業学校</v>
      </c>
      <c r="E1960" t="str">
        <f>"オカヤマケン キビ ショウギョウ ガッコウ"</f>
        <v>オカヤマケン キビ ショウギョウ ガッコウ</v>
      </c>
      <c r="F1960" t="str">
        <f>"岡山"</f>
        <v>岡山</v>
      </c>
      <c r="G1960" t="str">
        <f>"頻度不明"</f>
        <v>頻度不明</v>
      </c>
      <c r="H1960" t="str">
        <f>"2002222301417"</f>
        <v>2002222301417</v>
      </c>
      <c r="I1960" t="str">
        <f>HYPERLINK("#", "https://opac.libnet.pref.okayama.jp/licsxp-opac/WOpacMsgNewListToTifTilDetailAction.do?tilcod=2002222301417")</f>
        <v>https://opac.libnet.pref.okayama.jp/licsxp-opac/WOpacMsgNewListToTifTilDetailAction.do?tilcod=2002222301417</v>
      </c>
    </row>
    <row r="1961" spans="1:9" x14ac:dyDescent="0.4">
      <c r="A1961" t="str">
        <f>"吉備中央町議会だより"</f>
        <v>吉備中央町議会だより</v>
      </c>
      <c r="B1961" s="1" t="str">
        <f t="shared" si="112"/>
        <v>吉備中央町議会だより</v>
      </c>
      <c r="C1961" t="str">
        <f>"キビチュウオウチョウ　ギカイ　ダヨリ"</f>
        <v>キビチュウオウチョウ　ギカイ　ダヨリ</v>
      </c>
      <c r="D1961" t="str">
        <f>"岡山県吉備中央町議会"</f>
        <v>岡山県吉備中央町議会</v>
      </c>
      <c r="E1961" t="str">
        <f>"オカヤマケンキビチュウオウチョウギカイ"</f>
        <v>オカヤマケンキビチュウオウチョウギカイ</v>
      </c>
      <c r="F1961" t="str">
        <f>"吉備中央町（加賀郡）"</f>
        <v>吉備中央町（加賀郡）</v>
      </c>
      <c r="G1961" t="str">
        <f>"季刊"</f>
        <v>季刊</v>
      </c>
      <c r="H1961" t="str">
        <f>"2002222301350"</f>
        <v>2002222301350</v>
      </c>
      <c r="I1961" t="str">
        <f>HYPERLINK("#", "https://opac.libnet.pref.okayama.jp/licsxp-opac/WOpacMsgNewListToTifTilDetailAction.do?tilcod=2002222301350")</f>
        <v>https://opac.libnet.pref.okayama.jp/licsxp-opac/WOpacMsgNewListToTifTilDetailAction.do?tilcod=2002222301350</v>
      </c>
    </row>
    <row r="1962" spans="1:9" x14ac:dyDescent="0.4">
      <c r="A1962" t="str">
        <f>"吉備中央町文化協会だより"</f>
        <v>吉備中央町文化協会だより</v>
      </c>
      <c r="B1962" s="1" t="str">
        <f t="shared" si="112"/>
        <v>吉備中央町文化協会だより</v>
      </c>
      <c r="C1962" t="str">
        <f>"キビチュウオウチョウ ブンカ キョウカイダヨリ"</f>
        <v>キビチュウオウチョウ ブンカ キョウカイダヨリ</v>
      </c>
      <c r="D1962" t="str">
        <f>"吉備中央町文化協会"</f>
        <v>吉備中央町文化協会</v>
      </c>
      <c r="E1962" t="str">
        <f>"キビチュウオウチョウ ブンカ キョウカイ"</f>
        <v>キビチュウオウチョウ ブンカ キョウカイ</v>
      </c>
      <c r="F1962" t="str">
        <f>"吉備中央町"</f>
        <v>吉備中央町</v>
      </c>
      <c r="G1962" t="str">
        <f>"頻度不明"</f>
        <v>頻度不明</v>
      </c>
      <c r="H1962" t="str">
        <f>"2002222322008"</f>
        <v>2002222322008</v>
      </c>
      <c r="I1962" t="str">
        <f>HYPERLINK("#", "https://opac.libnet.pref.okayama.jp/licsxp-opac/WOpacMsgNewListToTifTilDetailAction.do?tilcod=2002222322008")</f>
        <v>https://opac.libnet.pref.okayama.jp/licsxp-opac/WOpacMsgNewListToTifTilDetailAction.do?tilcod=2002222322008</v>
      </c>
    </row>
    <row r="1963" spans="1:9" x14ac:dyDescent="0.4">
      <c r="A1963" t="str">
        <f>"〔吉備町立吉備中学校〕研究集録"</f>
        <v>〔吉備町立吉備中学校〕研究集録</v>
      </c>
      <c r="B1963" s="1" t="str">
        <f t="shared" si="112"/>
        <v>〔吉備町立吉備中学校〕研究集録</v>
      </c>
      <c r="C1963" t="str">
        <f>"キビチョウリツ　キビ　チュウガッコウ＊ケンキュウ　シュウロク"</f>
        <v>キビチョウリツ　キビ　チュウガッコウ＊ケンキュウ　シュウロク</v>
      </c>
      <c r="D1963" t="str">
        <f>"吉備町立吉備中学校"</f>
        <v>吉備町立吉備中学校</v>
      </c>
      <c r="E1963" t="str">
        <f>"キビチョウリツキビチュウガッコウ"</f>
        <v>キビチョウリツキビチュウガッコウ</v>
      </c>
      <c r="F1963" t="str">
        <f>"吉備町（都窪郡）"</f>
        <v>吉備町（都窪郡）</v>
      </c>
      <c r="G1963" t="str">
        <f>"年刊"</f>
        <v>年刊</v>
      </c>
      <c r="H1963" t="str">
        <f>"2002222289583"</f>
        <v>2002222289583</v>
      </c>
      <c r="I1963" t="str">
        <f>HYPERLINK("#", "https://opac.libnet.pref.okayama.jp/licsxp-opac/WOpacMsgNewListToTifTilDetailAction.do?tilcod=2002222289583")</f>
        <v>https://opac.libnet.pref.okayama.jp/licsxp-opac/WOpacMsgNewListToTifTilDetailAction.do?tilcod=2002222289583</v>
      </c>
    </row>
    <row r="1964" spans="1:9" x14ac:dyDescent="0.4">
      <c r="A1964" t="str">
        <f>"きびつ"</f>
        <v>きびつ</v>
      </c>
      <c r="B1964" s="1" t="str">
        <f t="shared" si="112"/>
        <v>きびつ</v>
      </c>
      <c r="C1964" t="str">
        <f>"キビツ"</f>
        <v>キビツ</v>
      </c>
      <c r="D1964" t="str">
        <f>"吉備津神社々務所"</f>
        <v>吉備津神社々務所</v>
      </c>
      <c r="E1964" t="str">
        <f>"キビツ ジンジャ シャムショ"</f>
        <v>キビツ ジンジャ シャムショ</v>
      </c>
      <c r="F1964" t="str">
        <f>"岡山"</f>
        <v>岡山</v>
      </c>
      <c r="G1964" t="str">
        <f>"年刊"</f>
        <v>年刊</v>
      </c>
      <c r="H1964" t="str">
        <f>"2002222281141"</f>
        <v>2002222281141</v>
      </c>
      <c r="I1964" t="str">
        <f>HYPERLINK("#", "https://opac.libnet.pref.okayama.jp/licsxp-opac/WOpacMsgNewListToTifTilDetailAction.do?tilcod=2002222281141")</f>
        <v>https://opac.libnet.pref.okayama.jp/licsxp-opac/WOpacMsgNewListToTifTilDetailAction.do?tilcod=2002222281141</v>
      </c>
    </row>
    <row r="1965" spans="1:9" x14ac:dyDescent="0.4">
      <c r="A1965" t="str">
        <f>"きびつ"</f>
        <v>きびつ</v>
      </c>
      <c r="B1965" s="1" t="str">
        <f t="shared" si="112"/>
        <v>きびつ</v>
      </c>
      <c r="C1965" t="str">
        <f>"キビツ"</f>
        <v>キビツ</v>
      </c>
      <c r="D1965" t="str">
        <f>"日本銀行行友会岡山支部"</f>
        <v>日本銀行行友会岡山支部</v>
      </c>
      <c r="E1965" t="str">
        <f>"ニホンギンコウコウユウカイオカヤマシブ"</f>
        <v>ニホンギンコウコウユウカイオカヤマシブ</v>
      </c>
      <c r="F1965" t="str">
        <f>""</f>
        <v/>
      </c>
      <c r="G1965" t="str">
        <f>"頻度不明"</f>
        <v>頻度不明</v>
      </c>
      <c r="H1965" t="str">
        <f>"2002222289481"</f>
        <v>2002222289481</v>
      </c>
      <c r="I1965" t="str">
        <f>HYPERLINK("#", "https://opac.libnet.pref.okayama.jp/licsxp-opac/WOpacMsgNewListToTifTilDetailAction.do?tilcod=2002222289481")</f>
        <v>https://opac.libnet.pref.okayama.jp/licsxp-opac/WOpacMsgNewListToTifTilDetailAction.do?tilcod=2002222289481</v>
      </c>
    </row>
    <row r="1966" spans="1:9" x14ac:dyDescent="0.4">
      <c r="A1966" t="str">
        <f>"きびっ子"</f>
        <v>きびっ子</v>
      </c>
      <c r="B1966" s="1" t="str">
        <f t="shared" si="112"/>
        <v>きびっ子</v>
      </c>
      <c r="C1966" t="str">
        <f>"キビッコ"</f>
        <v>キビッコ</v>
      </c>
      <c r="D1966" t="str">
        <f>"日本児童文学者協会岡山支部"</f>
        <v>日本児童文学者協会岡山支部</v>
      </c>
      <c r="E1966" t="str">
        <f>"ニホンジドウブンガクシャキョウカイオカヤマシブ"</f>
        <v>ニホンジドウブンガクシャキョウカイオカヤマシブ</v>
      </c>
      <c r="F1966" t="str">
        <f>""</f>
        <v/>
      </c>
      <c r="G1966" t="str">
        <f>"頻度不明"</f>
        <v>頻度不明</v>
      </c>
      <c r="H1966" t="str">
        <f>"2002222289491"</f>
        <v>2002222289491</v>
      </c>
      <c r="I1966" t="str">
        <f>HYPERLINK("#", "https://opac.libnet.pref.okayama.jp/licsxp-opac/WOpacMsgNewListToTifTilDetailAction.do?tilcod=2002222289491")</f>
        <v>https://opac.libnet.pref.okayama.jp/licsxp-opac/WOpacMsgNewListToTifTilDetailAction.do?tilcod=2002222289491</v>
      </c>
    </row>
    <row r="1967" spans="1:9" x14ac:dyDescent="0.4">
      <c r="A1967" t="str">
        <f>"吉備津彦神社"</f>
        <v>吉備津彦神社</v>
      </c>
      <c r="B1967" s="1" t="str">
        <f t="shared" si="112"/>
        <v>吉備津彦神社</v>
      </c>
      <c r="C1967" t="str">
        <f>"キビツヒコ　ジンジャ"</f>
        <v>キビツヒコ　ジンジャ</v>
      </c>
      <c r="D1967" t="str">
        <f>"吉備津彦神社社務所"</f>
        <v>吉備津彦神社社務所</v>
      </c>
      <c r="E1967" t="str">
        <f>"キビツヒコ ジンジャ シャムショ"</f>
        <v>キビツヒコ ジンジャ シャムショ</v>
      </c>
      <c r="F1967" t="str">
        <f>"岡山"</f>
        <v>岡山</v>
      </c>
      <c r="G1967" t="str">
        <f>"年刊"</f>
        <v>年刊</v>
      </c>
      <c r="H1967" t="str">
        <f>"2002222322587"</f>
        <v>2002222322587</v>
      </c>
      <c r="I1967" t="str">
        <f>HYPERLINK("#", "https://opac.libnet.pref.okayama.jp/licsxp-opac/WOpacMsgNewListToTifTilDetailAction.do?tilcod=2002222322587")</f>
        <v>https://opac.libnet.pref.okayama.jp/licsxp-opac/WOpacMsgNewListToTifTilDetailAction.do?tilcod=2002222322587</v>
      </c>
    </row>
    <row r="1968" spans="1:9" x14ac:dyDescent="0.4">
      <c r="A1968" t="str">
        <f>"kibito;本づくりはまちづくり"</f>
        <v>kibito;本づくりはまちづくり</v>
      </c>
      <c r="B1968" s="1" t="str">
        <f t="shared" si="112"/>
        <v>kibito;本づくりはまちづくり</v>
      </c>
      <c r="C1968" t="str">
        <f>"キビト＊ホン　ヅクリ　ワ　マチ　ヅクリ"</f>
        <v>キビト＊ホン　ヅクリ　ワ　マチ　ヅクリ</v>
      </c>
      <c r="D1968" t="str">
        <f>"吉備人出版"</f>
        <v>吉備人出版</v>
      </c>
      <c r="E1968" t="str">
        <f>"キビト シュッパン"</f>
        <v>キビト シュッパン</v>
      </c>
      <c r="F1968" t="str">
        <f>"岡山"</f>
        <v>岡山</v>
      </c>
      <c r="G1968" t="str">
        <f>"不定期刊"</f>
        <v>不定期刊</v>
      </c>
      <c r="H1968" t="str">
        <f>"2002222323806"</f>
        <v>2002222323806</v>
      </c>
      <c r="I1968" t="str">
        <f>HYPERLINK("#", "https://opac.libnet.pref.okayama.jp/licsxp-opac/WOpacMsgNewListToTifTilDetailAction.do?tilcod=2002222323806")</f>
        <v>https://opac.libnet.pref.okayama.jp/licsxp-opac/WOpacMsgNewListToTifTilDetailAction.do?tilcod=2002222323806</v>
      </c>
    </row>
    <row r="1969" spans="1:9" x14ac:dyDescent="0.4">
      <c r="A1969" t="str">
        <f>"吉備野"</f>
        <v>吉備野</v>
      </c>
      <c r="B1969" s="1" t="str">
        <f t="shared" si="112"/>
        <v>吉備野</v>
      </c>
      <c r="C1969" t="str">
        <f>"キビノ"</f>
        <v>キビノ</v>
      </c>
      <c r="D1969" t="str">
        <f>"吉備野俳句会 赤木ふみを"</f>
        <v>吉備野俳句会 赤木ふみを</v>
      </c>
      <c r="E1969" t="str">
        <f>"キビノ ハイクカイ　アカギフミヲ"</f>
        <v>キビノ ハイクカイ　アカギフミヲ</v>
      </c>
      <c r="F1969" t="str">
        <f>"岡山"</f>
        <v>岡山</v>
      </c>
      <c r="G1969" t="str">
        <f>"隔月刊"</f>
        <v>隔月刊</v>
      </c>
      <c r="H1969" t="str">
        <f>"2002222291251"</f>
        <v>2002222291251</v>
      </c>
      <c r="I1969" t="str">
        <f>HYPERLINK("#", "https://opac.libnet.pref.okayama.jp/licsxp-opac/WOpacMsgNewListToTifTilDetailAction.do?tilcod=2002222291251")</f>
        <v>https://opac.libnet.pref.okayama.jp/licsxp-opac/WOpacMsgNewListToTifTilDetailAction.do?tilcod=2002222291251</v>
      </c>
    </row>
    <row r="1970" spans="1:9" x14ac:dyDescent="0.4">
      <c r="A1970" t="str">
        <f>"吉備野"</f>
        <v>吉備野</v>
      </c>
      <c r="B1970" s="1" t="str">
        <f t="shared" si="112"/>
        <v>吉備野</v>
      </c>
      <c r="C1970" t="str">
        <f>"キビノ"</f>
        <v>キビノ</v>
      </c>
      <c r="D1970" t="str">
        <f>"きさらぎ会"</f>
        <v>きさらぎ会</v>
      </c>
      <c r="E1970" t="str">
        <f>"キサラギカイ"</f>
        <v>キサラギカイ</v>
      </c>
      <c r="F1970" t="str">
        <f>"倉敷"</f>
        <v>倉敷</v>
      </c>
      <c r="G1970" t="str">
        <f>"頻度不明"</f>
        <v>頻度不明</v>
      </c>
      <c r="H1970" t="str">
        <f>"2002222319428"</f>
        <v>2002222319428</v>
      </c>
      <c r="I1970" t="str">
        <f>HYPERLINK("#", "https://opac.libnet.pref.okayama.jp/licsxp-opac/WOpacMsgNewListToTifTilDetailAction.do?tilcod=2002222319428")</f>
        <v>https://opac.libnet.pref.okayama.jp/licsxp-opac/WOpacMsgNewListToTifTilDetailAction.do?tilcod=2002222319428</v>
      </c>
    </row>
    <row r="1971" spans="1:9" x14ac:dyDescent="0.4">
      <c r="A1971" t="str">
        <f>"きび野 かわら版"</f>
        <v>きび野 かわら版</v>
      </c>
      <c r="B1971" s="1" t="str">
        <f t="shared" si="112"/>
        <v>きび野 かわら版</v>
      </c>
      <c r="C1971" t="str">
        <f>"キビノ カワラバン"</f>
        <v>キビノ カワラバン</v>
      </c>
      <c r="D1971" t="str">
        <f>"岡山県郷土文化財団"</f>
        <v>岡山県郷土文化財団</v>
      </c>
      <c r="E1971" t="str">
        <f>"オカヤマケン キョウド ブンカ ザイダン"</f>
        <v>オカヤマケン キョウド ブンカ ザイダン</v>
      </c>
      <c r="F1971" t="str">
        <f>"岡山"</f>
        <v>岡山</v>
      </c>
      <c r="G1971" t="str">
        <f>"年２回刊"</f>
        <v>年２回刊</v>
      </c>
      <c r="H1971" t="str">
        <f>"2002222341610"</f>
        <v>2002222341610</v>
      </c>
      <c r="I1971" t="str">
        <f>HYPERLINK("#", "https://opac.libnet.pref.okayama.jp/licsxp-opac/WOpacMsgNewListToTifTilDetailAction.do?tilcod=2002222341610")</f>
        <v>https://opac.libnet.pref.okayama.jp/licsxp-opac/WOpacMsgNewListToTifTilDetailAction.do?tilcod=2002222341610</v>
      </c>
    </row>
    <row r="1972" spans="1:9" x14ac:dyDescent="0.4">
      <c r="A1972" t="str">
        <f>"きび野;岡山県郷土文化財団会報"</f>
        <v>きび野;岡山県郷土文化財団会報</v>
      </c>
      <c r="B1972" s="1" t="str">
        <f t="shared" si="112"/>
        <v>きび野;岡山県郷土文化財団会報</v>
      </c>
      <c r="C1972" t="str">
        <f>"キビノ*オカヤマケン キョウド ブンカ ザイダン カイホウ"</f>
        <v>キビノ*オカヤマケン キョウド ブンカ ザイダン カイホウ</v>
      </c>
      <c r="D1972" t="str">
        <f>"岡山県郷土文化財団"</f>
        <v>岡山県郷土文化財団</v>
      </c>
      <c r="E1972" t="str">
        <f>"オカヤマケン キョウド ブンカ ザイダン"</f>
        <v>オカヤマケン キョウド ブンカ ザイダン</v>
      </c>
      <c r="F1972" t="str">
        <f>"岡山"</f>
        <v>岡山</v>
      </c>
      <c r="G1972" t="str">
        <f>"年２回刊"</f>
        <v>年２回刊</v>
      </c>
      <c r="H1972" t="str">
        <f>"2002222291241"</f>
        <v>2002222291241</v>
      </c>
      <c r="I1972" t="str">
        <f>HYPERLINK("#", "https://opac.libnet.pref.okayama.jp/licsxp-opac/WOpacMsgNewListToTifTilDetailAction.do?tilcod=2002222291241")</f>
        <v>https://opac.libnet.pref.okayama.jp/licsxp-opac/WOpacMsgNewListToTifTilDetailAction.do?tilcod=2002222291241</v>
      </c>
    </row>
    <row r="1973" spans="1:9" x14ac:dyDescent="0.4">
      <c r="A1973" t="str">
        <f>"吉備びと"</f>
        <v>吉備びと</v>
      </c>
      <c r="B1973" s="1" t="str">
        <f t="shared" si="112"/>
        <v>吉備びと</v>
      </c>
      <c r="C1973" t="str">
        <f>"キビビト"</f>
        <v>キビビト</v>
      </c>
      <c r="D1973" t="str">
        <f>"吉備短歌会"</f>
        <v>吉備短歌会</v>
      </c>
      <c r="E1973" t="str">
        <f>"キビ タンカカイ"</f>
        <v>キビ タンカカイ</v>
      </c>
      <c r="F1973" t="str">
        <f>"倉敷"</f>
        <v>倉敷</v>
      </c>
      <c r="G1973" t="str">
        <f>"月刊"</f>
        <v>月刊</v>
      </c>
      <c r="H1973" t="str">
        <f>"2002222301377"</f>
        <v>2002222301377</v>
      </c>
      <c r="I1973" t="str">
        <f>HYPERLINK("#", "https://opac.libnet.pref.okayama.jp/licsxp-opac/WOpacMsgNewListToTifTilDetailAction.do?tilcod=2002222301377")</f>
        <v>https://opac.libnet.pref.okayama.jp/licsxp-opac/WOpacMsgNewListToTifTilDetailAction.do?tilcod=2002222301377</v>
      </c>
    </row>
    <row r="1974" spans="1:9" x14ac:dyDescent="0.4">
      <c r="A1974" t="str">
        <f>"黄表紙"</f>
        <v>黄表紙</v>
      </c>
      <c r="B1974" s="1" t="str">
        <f t="shared" si="112"/>
        <v>黄表紙</v>
      </c>
      <c r="C1974" t="str">
        <f>"キビョウシ"</f>
        <v>キビョウシ</v>
      </c>
      <c r="D1974" t="str">
        <f>"黄表紙同人会"</f>
        <v>黄表紙同人会</v>
      </c>
      <c r="E1974" t="str">
        <f>"キビョウシドウジンカイ"</f>
        <v>キビョウシドウジンカイ</v>
      </c>
      <c r="F1974" t="str">
        <f>""</f>
        <v/>
      </c>
      <c r="G1974" t="str">
        <f>"頻度不明"</f>
        <v>頻度不明</v>
      </c>
      <c r="H1974" t="str">
        <f>"2002222289561"</f>
        <v>2002222289561</v>
      </c>
      <c r="I1974" t="str">
        <f>HYPERLINK("#", "https://opac.libnet.pref.okayama.jp/licsxp-opac/WOpacMsgNewListToTifTilDetailAction.do?tilcod=2002222289561")</f>
        <v>https://opac.libnet.pref.okayama.jp/licsxp-opac/WOpacMsgNewListToTifTilDetailAction.do?tilcod=2002222289561</v>
      </c>
    </row>
    <row r="1975" spans="1:9" x14ac:dyDescent="0.4">
      <c r="A1975" t="str">
        <f>"季報岡山財務"</f>
        <v>季報岡山財務</v>
      </c>
      <c r="B1975" s="1" t="str">
        <f t="shared" si="112"/>
        <v>季報岡山財務</v>
      </c>
      <c r="C1975" t="str">
        <f>"キホウ　オカヤマ　ザイム"</f>
        <v>キホウ　オカヤマ　ザイム</v>
      </c>
      <c r="D1975" t="str">
        <f>"大蔵省中国財務局岡山財務部"</f>
        <v>大蔵省中国財務局岡山財務部</v>
      </c>
      <c r="E1975" t="str">
        <f>"オオクラショウチュウゴクザイムキョクオカヤマザイムブ"</f>
        <v>オオクラショウチュウゴクザイムキョクオカヤマザイムブ</v>
      </c>
      <c r="F1975" t="str">
        <f>""</f>
        <v/>
      </c>
      <c r="G1975" t="str">
        <f>"頻度不明"</f>
        <v>頻度不明</v>
      </c>
      <c r="H1975" t="str">
        <f>"2002222289581"</f>
        <v>2002222289581</v>
      </c>
      <c r="I1975" t="str">
        <f>HYPERLINK("#", "https://opac.libnet.pref.okayama.jp/licsxp-opac/WOpacMsgNewListToTifTilDetailAction.do?tilcod=2002222289581")</f>
        <v>https://opac.libnet.pref.okayama.jp/licsxp-opac/WOpacMsgNewListToTifTilDetailAction.do?tilcod=2002222289581</v>
      </c>
    </row>
    <row r="1976" spans="1:9" x14ac:dyDescent="0.4">
      <c r="A1976" t="str">
        <f>"希望新聞"</f>
        <v>希望新聞</v>
      </c>
      <c r="B1976" s="1" t="str">
        <f t="shared" si="112"/>
        <v>希望新聞</v>
      </c>
      <c r="C1976" t="str">
        <f>"キボウ　シンブン"</f>
        <v>キボウ　シンブン</v>
      </c>
      <c r="D1976" t="str">
        <f>"おかやま希望学園"</f>
        <v>おかやま希望学園</v>
      </c>
      <c r="E1976" t="str">
        <f>"オカヤマ キボウ ガクエン"</f>
        <v>オカヤマ キボウ ガクエン</v>
      </c>
      <c r="F1976" t="str">
        <f>"岡山"</f>
        <v>岡山</v>
      </c>
      <c r="G1976" t="str">
        <f>"頻度不明"</f>
        <v>頻度不明</v>
      </c>
      <c r="H1976" t="str">
        <f>"2002222302394"</f>
        <v>2002222302394</v>
      </c>
      <c r="I1976" t="str">
        <f>HYPERLINK("#", "https://opac.libnet.pref.okayama.jp/licsxp-opac/WOpacMsgNewListToTifTilDetailAction.do?tilcod=2002222302394")</f>
        <v>https://opac.libnet.pref.okayama.jp/licsxp-opac/WOpacMsgNewListToTifTilDetailAction.do?tilcod=2002222302394</v>
      </c>
    </row>
    <row r="1977" spans="1:9" x14ac:dyDescent="0.4">
      <c r="A1977" t="str">
        <f>"木村正昭の図書館個人雑誌夾竹桃か白木蓮か"</f>
        <v>木村正昭の図書館個人雑誌夾竹桃か白木蓮か</v>
      </c>
      <c r="B1977" s="1" t="str">
        <f t="shared" si="112"/>
        <v>木村正昭の図書館個人雑誌夾竹桃か白木蓮か</v>
      </c>
      <c r="C1977" t="str">
        <f>"キムラ マサアキ ノ トショカン コジン ザッシ キョウチクトウ カ ハクモクレン カ"</f>
        <v>キムラ マサアキ ノ トショカン コジン ザッシ キョウチクトウ カ ハクモクレン カ</v>
      </c>
      <c r="D1977" t="str">
        <f>"木村 正昭"</f>
        <v>木村 正昭</v>
      </c>
      <c r="E1977" t="str">
        <f>"キムラ マサアキ"</f>
        <v>キムラ マサアキ</v>
      </c>
      <c r="F1977" t="str">
        <f>"岡山"</f>
        <v>岡山</v>
      </c>
      <c r="G1977" t="str">
        <f>"不定期刊"</f>
        <v>不定期刊</v>
      </c>
      <c r="H1977" t="str">
        <f>"2002222334753"</f>
        <v>2002222334753</v>
      </c>
      <c r="I1977" t="str">
        <f>HYPERLINK("#", "https://opac.libnet.pref.okayama.jp/licsxp-opac/WOpacMsgNewListToTifTilDetailAction.do?tilcod=2002222334753")</f>
        <v>https://opac.libnet.pref.okayama.jp/licsxp-opac/WOpacMsgNewListToTifTilDetailAction.do?tilcod=2002222334753</v>
      </c>
    </row>
    <row r="1978" spans="1:9" x14ac:dyDescent="0.4">
      <c r="A1978" t="str">
        <f>"GATHERS;ギャザ"</f>
        <v>GATHERS;ギャザ</v>
      </c>
      <c r="B1978" s="1" t="str">
        <f t="shared" si="112"/>
        <v>GATHERS;ギャザ</v>
      </c>
      <c r="C1978" t="str">
        <f>"ギャザ"</f>
        <v>ギャザ</v>
      </c>
      <c r="D1978" t="str">
        <f>"浜田 仁夫"</f>
        <v>浜田 仁夫</v>
      </c>
      <c r="E1978" t="str">
        <f>"ハマダ ヒトオ"</f>
        <v>ハマダ ヒトオ</v>
      </c>
      <c r="F1978" t="str">
        <f>"岡山"</f>
        <v>岡山</v>
      </c>
      <c r="G1978" t="str">
        <f>"不定期刊"</f>
        <v>不定期刊</v>
      </c>
      <c r="H1978" t="str">
        <f>"2002222319686"</f>
        <v>2002222319686</v>
      </c>
      <c r="I1978" t="str">
        <f>HYPERLINK("#", "https://opac.libnet.pref.okayama.jp/licsxp-opac/WOpacMsgNewListToTifTilDetailAction.do?tilcod=2002222319686")</f>
        <v>https://opac.libnet.pref.okayama.jp/licsxp-opac/WOpacMsgNewListToTifTilDetailAction.do?tilcod=2002222319686</v>
      </c>
    </row>
    <row r="1979" spans="1:9" x14ac:dyDescent="0.4">
      <c r="A1979" t="str">
        <f>"Ｃａｔ　Ｗａｌｋ（キャットウォーク）"</f>
        <v>Ｃａｔ　Ｗａｌｋ（キャットウォーク）</v>
      </c>
      <c r="B1979" s="1" t="str">
        <f t="shared" si="112"/>
        <v>Ｃａｔ　Ｗａｌｋ（キャットウォーク）</v>
      </c>
      <c r="C1979" t="str">
        <f>"キャット　ウォーク"</f>
        <v>キャット　ウォーク</v>
      </c>
      <c r="D1979" t="str">
        <f>"アイアンドエフ"</f>
        <v>アイアンドエフ</v>
      </c>
      <c r="E1979" t="str">
        <f>"アイアンドエフ"</f>
        <v>アイアンドエフ</v>
      </c>
      <c r="F1979" t="str">
        <f>"岡山"</f>
        <v>岡山</v>
      </c>
      <c r="G1979" t="str">
        <f>"季刊"</f>
        <v>季刊</v>
      </c>
      <c r="H1979" t="str">
        <f>"2002222301302"</f>
        <v>2002222301302</v>
      </c>
      <c r="I1979" t="str">
        <f>HYPERLINK("#", "https://opac.libnet.pref.okayama.jp/licsxp-opac/WOpacMsgNewListToTifTilDetailAction.do?tilcod=2002222301302")</f>
        <v>https://opac.libnet.pref.okayama.jp/licsxp-opac/WOpacMsgNewListToTifTilDetailAction.do?tilcod=2002222301302</v>
      </c>
    </row>
    <row r="1980" spans="1:9" x14ac:dyDescent="0.4">
      <c r="A1980" t="str">
        <f>"ＣＡＴ通信"</f>
        <v>ＣＡＴ通信</v>
      </c>
      <c r="B1980" s="1" t="str">
        <f t="shared" si="112"/>
        <v>ＣＡＴ通信</v>
      </c>
      <c r="C1980" t="str">
        <f>"キャット　ツウシン"</f>
        <v>キャット　ツウシン</v>
      </c>
      <c r="D1980" t="str">
        <f>"姫井由美子"</f>
        <v>姫井由美子</v>
      </c>
      <c r="E1980" t="str">
        <f>"ヒメイユミコ"</f>
        <v>ヒメイユミコ</v>
      </c>
      <c r="F1980" t="str">
        <f>""</f>
        <v/>
      </c>
      <c r="G1980" t="str">
        <f>"不定期刊"</f>
        <v>不定期刊</v>
      </c>
      <c r="H1980" t="str">
        <f>"2002222289591"</f>
        <v>2002222289591</v>
      </c>
      <c r="I1980" t="str">
        <f>HYPERLINK("#", "https://opac.libnet.pref.okayama.jp/licsxp-opac/WOpacMsgNewListToTifTilDetailAction.do?tilcod=2002222289591")</f>
        <v>https://opac.libnet.pref.okayama.jp/licsxp-opac/WOpacMsgNewListToTifTilDetailAction.do?tilcod=2002222289591</v>
      </c>
    </row>
    <row r="1981" spans="1:9" x14ac:dyDescent="0.4">
      <c r="A1981" t="str">
        <f>"ＣＡＰＴＡＩＮ"</f>
        <v>ＣＡＰＴＡＩＮ</v>
      </c>
      <c r="B1981" s="1" t="str">
        <f t="shared" si="112"/>
        <v>ＣＡＰＴＡＩＮ</v>
      </c>
      <c r="C1981" t="str">
        <f>"キャプテン"</f>
        <v>キャプテン</v>
      </c>
      <c r="D1981" t="str">
        <f>"児島"</f>
        <v>児島</v>
      </c>
      <c r="E1981" t="str">
        <f>"コジマ"</f>
        <v>コジマ</v>
      </c>
      <c r="F1981" t="str">
        <f>"倉敷"</f>
        <v>倉敷</v>
      </c>
      <c r="G1981" t="str">
        <f>"季刊"</f>
        <v>季刊</v>
      </c>
      <c r="H1981" t="str">
        <f>"2002222291261"</f>
        <v>2002222291261</v>
      </c>
      <c r="I1981" t="str">
        <f>HYPERLINK("#", "https://opac.libnet.pref.okayama.jp/licsxp-opac/WOpacMsgNewListToTifTilDetailAction.do?tilcod=2002222291261")</f>
        <v>https://opac.libnet.pref.okayama.jp/licsxp-opac/WOpacMsgNewListToTifTilDetailAction.do?tilcod=2002222291261</v>
      </c>
    </row>
    <row r="1982" spans="1:9" x14ac:dyDescent="0.4">
      <c r="A1982" t="str">
        <f>"キャプラ；career planning magazine capla"</f>
        <v>キャプラ；career planning magazine capla</v>
      </c>
      <c r="B1982" s="1" t="str">
        <f t="shared" si="112"/>
        <v>キャプラ；career planning magazine capla</v>
      </c>
      <c r="C1982" t="str">
        <f>"キャプラ＊キャリア プランニング マガジン キャプラ"</f>
        <v>キャプラ＊キャリア プランニング マガジン キャプラ</v>
      </c>
      <c r="D1982" t="str">
        <f>"キャリア プランニング"</f>
        <v>キャリア プランニング</v>
      </c>
      <c r="E1982" t="str">
        <f>"キャリア プランニング"</f>
        <v>キャリア プランニング</v>
      </c>
      <c r="F1982" t="str">
        <f>"岡山"</f>
        <v>岡山</v>
      </c>
      <c r="G1982" t="str">
        <f>"月刊"</f>
        <v>月刊</v>
      </c>
      <c r="H1982" t="str">
        <f>"2002222341930"</f>
        <v>2002222341930</v>
      </c>
      <c r="I1982" t="str">
        <f>HYPERLINK("#", "https://opac.libnet.pref.okayama.jp/licsxp-opac/WOpacMsgNewListToTifTilDetailAction.do?tilcod=2002222341930")</f>
        <v>https://opac.libnet.pref.okayama.jp/licsxp-opac/WOpacMsgNewListToTifTilDetailAction.do?tilcod=2002222341930</v>
      </c>
    </row>
    <row r="1983" spans="1:9" x14ac:dyDescent="0.4">
      <c r="A1983" t="str">
        <f>"きゃべつ畑"</f>
        <v>きゃべつ畑</v>
      </c>
      <c r="B1983" s="1" t="str">
        <f t="shared" si="112"/>
        <v>きゃべつ畑</v>
      </c>
      <c r="C1983" t="str">
        <f>"キャベツバタケ"</f>
        <v>キャベツバタケ</v>
      </c>
      <c r="D1983" t="str">
        <f>"ＫＧ情報"</f>
        <v>ＫＧ情報</v>
      </c>
      <c r="E1983" t="str">
        <f>"ケージージョウホウ"</f>
        <v>ケージージョウホウ</v>
      </c>
      <c r="F1983" t="str">
        <f>"岡山"</f>
        <v>岡山</v>
      </c>
      <c r="G1983" t="str">
        <f>"季刊"</f>
        <v>季刊</v>
      </c>
      <c r="H1983" t="str">
        <f>"2002222281521"</f>
        <v>2002222281521</v>
      </c>
      <c r="I1983" t="str">
        <f>HYPERLINK("#", "https://opac.libnet.pref.okayama.jp/licsxp-opac/WOpacMsgNewListToTifTilDetailAction.do?tilcod=2002222281521")</f>
        <v>https://opac.libnet.pref.okayama.jp/licsxp-opac/WOpacMsgNewListToTifTilDetailAction.do?tilcod=2002222281521</v>
      </c>
    </row>
    <row r="1984" spans="1:9" x14ac:dyDescent="0.4">
      <c r="A1984" t="str">
        <f>"木耶ラのきもののはなし"</f>
        <v>木耶ラのきもののはなし</v>
      </c>
      <c r="B1984" s="1" t="str">
        <f t="shared" si="112"/>
        <v>木耶ラのきもののはなし</v>
      </c>
      <c r="C1984" t="str">
        <f>"キヤラ ノ  キモノ ノ ハナシ"</f>
        <v>キヤラ ノ  キモノ ノ ハナシ</v>
      </c>
      <c r="D1984" t="str">
        <f>"木耶ラ"</f>
        <v>木耶ラ</v>
      </c>
      <c r="E1984" t="str">
        <f>"キヤラ"</f>
        <v>キヤラ</v>
      </c>
      <c r="F1984" t="str">
        <f>""</f>
        <v/>
      </c>
      <c r="G1984" t="str">
        <f>"隔月刊"</f>
        <v>隔月刊</v>
      </c>
      <c r="H1984" t="str">
        <f>"2002222316186"</f>
        <v>2002222316186</v>
      </c>
      <c r="I1984" t="str">
        <f>HYPERLINK("#", "https://opac.libnet.pref.okayama.jp/licsxp-opac/WOpacMsgNewListToTifTilDetailAction.do?tilcod=2002222316186")</f>
        <v>https://opac.libnet.pref.okayama.jp/licsxp-opac/WOpacMsgNewListToTifTilDetailAction.do?tilcod=2002222316186</v>
      </c>
    </row>
    <row r="1985" spans="1:9" x14ac:dyDescent="0.4">
      <c r="A1985" t="str">
        <f>"キャリエール"</f>
        <v>キャリエール</v>
      </c>
      <c r="B1985" s="1" t="str">
        <f t="shared" si="112"/>
        <v>キャリエール</v>
      </c>
      <c r="C1985" t="str">
        <f>"キャリエール"</f>
        <v>キャリエール</v>
      </c>
      <c r="D1985" t="str">
        <f>"キャリエール出版"</f>
        <v>キャリエール出版</v>
      </c>
      <c r="E1985" t="str">
        <f>"キャリエール シュッパン"</f>
        <v>キャリエール シュッパン</v>
      </c>
      <c r="F1985" t="str">
        <f>"倉敷"</f>
        <v>倉敷</v>
      </c>
      <c r="G1985" t="str">
        <f>"月刊"</f>
        <v>月刊</v>
      </c>
      <c r="H1985" t="str">
        <f>"2002222302224"</f>
        <v>2002222302224</v>
      </c>
      <c r="I1985" t="str">
        <f>HYPERLINK("#", "https://opac.libnet.pref.okayama.jp/licsxp-opac/WOpacMsgNewListToTifTilDetailAction.do?tilcod=2002222302224")</f>
        <v>https://opac.libnet.pref.okayama.jp/licsxp-opac/WOpacMsgNewListToTifTilDetailAction.do?tilcod=2002222302224</v>
      </c>
    </row>
    <row r="1986" spans="1:9" x14ac:dyDescent="0.4">
      <c r="A1986" t="str">
        <f>"キャンパス情報おかやま；CJO"</f>
        <v>キャンパス情報おかやま；CJO</v>
      </c>
      <c r="B1986" s="1" t="str">
        <f t="shared" si="112"/>
        <v>キャンパス情報おかやま；CJO</v>
      </c>
      <c r="C1986" t="str">
        <f>"キャンパス ジョウホウ オカヤマ＊シージェーオー"</f>
        <v>キャンパス ジョウホウ オカヤマ＊シージェーオー</v>
      </c>
      <c r="D1986" t="str">
        <f>"ビザビリレーションズ"</f>
        <v>ビザビリレーションズ</v>
      </c>
      <c r="E1986" t="str">
        <f>"ビザビ リレーションズ"</f>
        <v>ビザビ リレーションズ</v>
      </c>
      <c r="F1986" t="str">
        <f>"岡山"</f>
        <v>岡山</v>
      </c>
      <c r="G1986" t="str">
        <f>"季刊"</f>
        <v>季刊</v>
      </c>
      <c r="H1986" t="str">
        <f>"2002222301594"</f>
        <v>2002222301594</v>
      </c>
      <c r="I1986" t="str">
        <f>HYPERLINK("#", "https://opac.libnet.pref.okayama.jp/licsxp-opac/WOpacMsgNewListToTifTilDetailAction.do?tilcod=2002222301594")</f>
        <v>https://opac.libnet.pref.okayama.jp/licsxp-opac/WOpacMsgNewListToTifTilDetailAction.do?tilcod=2002222301594</v>
      </c>
    </row>
    <row r="1987" spans="1:9" x14ac:dyDescent="0.4">
      <c r="A1987" t="str">
        <f>"救援会岡山県ニュース"</f>
        <v>救援会岡山県ニュース</v>
      </c>
      <c r="B1987" s="1" t="str">
        <f t="shared" si="112"/>
        <v>救援会岡山県ニュース</v>
      </c>
      <c r="C1987" t="str">
        <f>"キュウエンカイ　オカヤマケン　ニュース"</f>
        <v>キュウエンカイ　オカヤマケン　ニュース</v>
      </c>
      <c r="D1987" t="str">
        <f>"救援会岡山県ニュース編集委員会"</f>
        <v>救援会岡山県ニュース編集委員会</v>
      </c>
      <c r="E1987" t="str">
        <f>"キュウエンカイオカヤマケンニュースヘンシュウイインカイ"</f>
        <v>キュウエンカイオカヤマケンニュースヘンシュウイインカイ</v>
      </c>
      <c r="F1987" t="str">
        <f>"岡山"</f>
        <v>岡山</v>
      </c>
      <c r="G1987" t="str">
        <f>"旬刊"</f>
        <v>旬刊</v>
      </c>
      <c r="H1987" t="str">
        <f>"2002222300231"</f>
        <v>2002222300231</v>
      </c>
      <c r="I1987" t="str">
        <f>HYPERLINK("#", "https://opac.libnet.pref.okayama.jp/licsxp-opac/WOpacMsgNewListToTifTilDetailAction.do?tilcod=2002222300231")</f>
        <v>https://opac.libnet.pref.okayama.jp/licsxp-opac/WOpacMsgNewListToTifTilDetailAction.do?tilcod=2002222300231</v>
      </c>
    </row>
    <row r="1988" spans="1:9" x14ac:dyDescent="0.4">
      <c r="A1988" t="str">
        <f>"救援新聞　岡山県版；救援新聞　岡山県本部ニュース"</f>
        <v>救援新聞　岡山県版；救援新聞　岡山県本部ニュース</v>
      </c>
      <c r="B1988" s="1" t="str">
        <f t="shared" ref="B1988:B2051" si="114">HYPERLINK("#", A1988)</f>
        <v>救援新聞　岡山県版；救援新聞　岡山県本部ニュース</v>
      </c>
      <c r="C1988" t="str">
        <f>"キュウエンシンブン　オカヤマケンバン＊キュウエンシンブン　オカヤマケンホンブ　ニュース"</f>
        <v>キュウエンシンブン　オカヤマケンバン＊キュウエンシンブン　オカヤマケンホンブ　ニュース</v>
      </c>
      <c r="D1988" t="str">
        <f>"日本国民救援会岡山県本部"</f>
        <v>日本国民救援会岡山県本部</v>
      </c>
      <c r="E1988" t="str">
        <f>"ニホンコクミンキュウエンカイオカヤマケンホンブ"</f>
        <v>ニホンコクミンキュウエンカイオカヤマケンホンブ</v>
      </c>
      <c r="F1988" t="str">
        <f>"岡山"</f>
        <v>岡山</v>
      </c>
      <c r="G1988" t="str">
        <f>"旬刊"</f>
        <v>旬刊</v>
      </c>
      <c r="H1988" t="str">
        <f>"2002222302162"</f>
        <v>2002222302162</v>
      </c>
      <c r="I1988" t="str">
        <f>HYPERLINK("#", "https://opac.libnet.pref.okayama.jp/licsxp-opac/WOpacMsgNewListToTifTilDetailAction.do?tilcod=2002222302162")</f>
        <v>https://opac.libnet.pref.okayama.jp/licsxp-opac/WOpacMsgNewListToTifTilDetailAction.do?tilcod=2002222302162</v>
      </c>
    </row>
    <row r="1989" spans="1:9" x14ac:dyDescent="0.4">
      <c r="A1989" t="str">
        <f>"泣菫；薄田泣菫顕彰会会報"</f>
        <v>泣菫；薄田泣菫顕彰会会報</v>
      </c>
      <c r="B1989" s="1" t="str">
        <f t="shared" si="114"/>
        <v>泣菫；薄田泣菫顕彰会会報</v>
      </c>
      <c r="C1989" t="str">
        <f>"キュウキン＊ススキダ　キュウキン　ケンショウカイ　カイホウ"</f>
        <v>キュウキン＊ススキダ　キュウキン　ケンショウカイ　カイホウ</v>
      </c>
      <c r="D1989" t="str">
        <f>"薄田泣菫顕彰会"</f>
        <v>薄田泣菫顕彰会</v>
      </c>
      <c r="E1989" t="str">
        <f>"ススキダ キュウキン ケンショウカイ"</f>
        <v>ススキダ キュウキン ケンショウカイ</v>
      </c>
      <c r="F1989" t="str">
        <f>"倉敷"</f>
        <v>倉敷</v>
      </c>
      <c r="G1989" t="str">
        <f>"年２回刊"</f>
        <v>年２回刊</v>
      </c>
      <c r="H1989" t="str">
        <f>"2002222281514"</f>
        <v>2002222281514</v>
      </c>
      <c r="I1989" t="str">
        <f>HYPERLINK("#", "https://opac.libnet.pref.okayama.jp/licsxp-opac/WOpacMsgNewListToTifTilDetailAction.do?tilcod=2002222281514")</f>
        <v>https://opac.libnet.pref.okayama.jp/licsxp-opac/WOpacMsgNewListToTifTilDetailAction.do?tilcod=2002222281514</v>
      </c>
    </row>
    <row r="1990" spans="1:9" x14ac:dyDescent="0.4">
      <c r="A1990" t="str">
        <f>"吸江"</f>
        <v>吸江</v>
      </c>
      <c r="B1990" s="1" t="str">
        <f t="shared" si="114"/>
        <v>吸江</v>
      </c>
      <c r="C1990" t="str">
        <f>"キュウコウ"</f>
        <v>キュウコウ</v>
      </c>
      <c r="D1990" t="str">
        <f>"岡山県笠岡商業学校吸江会"</f>
        <v>岡山県笠岡商業学校吸江会</v>
      </c>
      <c r="E1990" t="str">
        <f>"オカヤマケン カサオカ ショウギョウ ガッコウ キュウコウカイ"</f>
        <v>オカヤマケン カサオカ ショウギョウ ガッコウ キュウコウカイ</v>
      </c>
      <c r="F1990" t="str">
        <f>"笠岡"</f>
        <v>笠岡</v>
      </c>
      <c r="G1990" t="str">
        <f>"頻度不明"</f>
        <v>頻度不明</v>
      </c>
      <c r="H1990" t="str">
        <f>"2002222328427"</f>
        <v>2002222328427</v>
      </c>
      <c r="I1990" t="str">
        <f>HYPERLINK("#", "https://opac.libnet.pref.okayama.jp/licsxp-opac/WOpacMsgNewListToTifTilDetailAction.do?tilcod=2002222328427")</f>
        <v>https://opac.libnet.pref.okayama.jp/licsxp-opac/WOpacMsgNewListToTifTilDetailAction.do?tilcod=2002222328427</v>
      </c>
    </row>
    <row r="1991" spans="1:9" x14ac:dyDescent="0.4">
      <c r="A1991" t="str">
        <f>"QJ(キュージェー)岡山版"</f>
        <v>QJ(キュージェー)岡山版</v>
      </c>
      <c r="B1991" s="1" t="str">
        <f t="shared" si="114"/>
        <v>QJ(キュージェー)岡山版</v>
      </c>
      <c r="C1991" t="str">
        <f>"キュージェー オカヤマバン"</f>
        <v>キュージェー オカヤマバン</v>
      </c>
      <c r="D1991" t="str">
        <f>"広済堂岡山情報センター"</f>
        <v>広済堂岡山情報センター</v>
      </c>
      <c r="E1991" t="str">
        <f>"コウサイドウオカヤマジョウホウセンター"</f>
        <v>コウサイドウオカヤマジョウホウセンター</v>
      </c>
      <c r="F1991" t="str">
        <f>"岡山"</f>
        <v>岡山</v>
      </c>
      <c r="G1991" t="str">
        <f>"週刊"</f>
        <v>週刊</v>
      </c>
      <c r="H1991" t="str">
        <f>"2002222291741"</f>
        <v>2002222291741</v>
      </c>
      <c r="I1991" t="str">
        <f>HYPERLINK("#", "https://opac.libnet.pref.okayama.jp/licsxp-opac/WOpacMsgNewListToTifTilDetailAction.do?tilcod=2002222291741")</f>
        <v>https://opac.libnet.pref.okayama.jp/licsxp-opac/WOpacMsgNewListToTifTilDetailAction.do?tilcod=2002222291741</v>
      </c>
    </row>
    <row r="1992" spans="1:9" x14ac:dyDescent="0.4">
      <c r="A1992" t="str">
        <f>"給食だより"</f>
        <v>給食だより</v>
      </c>
      <c r="B1992" s="1" t="str">
        <f t="shared" si="114"/>
        <v>給食だより</v>
      </c>
      <c r="C1992" t="str">
        <f>"キュウショク　ダヨリ"</f>
        <v>キュウショク　ダヨリ</v>
      </c>
      <c r="D1992" t="str">
        <f>"赤坂町学校給食共同調理場"</f>
        <v>赤坂町学校給食共同調理場</v>
      </c>
      <c r="E1992" t="str">
        <f>"アカサカチョウガッコウキュウショクキョウドウチョウリジョウ"</f>
        <v>アカサカチョウガッコウキュウショクキョウドウチョウリジョウ</v>
      </c>
      <c r="F1992" t="str">
        <f>"赤坂町（赤磐郡）"</f>
        <v>赤坂町（赤磐郡）</v>
      </c>
      <c r="G1992" t="str">
        <f>"頻度不明"</f>
        <v>頻度不明</v>
      </c>
      <c r="H1992" t="str">
        <f>"2002222289611"</f>
        <v>2002222289611</v>
      </c>
      <c r="I1992" t="str">
        <f>HYPERLINK("#", "https://opac.libnet.pref.okayama.jp/licsxp-opac/WOpacMsgNewListToTifTilDetailAction.do?tilcod=2002222289611")</f>
        <v>https://opac.libnet.pref.okayama.jp/licsxp-opac/WOpacMsgNewListToTifTilDetailAction.do?tilcod=2002222289611</v>
      </c>
    </row>
    <row r="1993" spans="1:9" x14ac:dyDescent="0.4">
      <c r="A1993" t="str">
        <f>"求人ガイド"</f>
        <v>求人ガイド</v>
      </c>
      <c r="B1993" s="1" t="str">
        <f t="shared" si="114"/>
        <v>求人ガイド</v>
      </c>
      <c r="C1993" t="str">
        <f>"キュウジン　ガイド"</f>
        <v>キュウジン　ガイド</v>
      </c>
      <c r="D1993" t="str">
        <f>"KG情報出版"</f>
        <v>KG情報出版</v>
      </c>
      <c r="E1993" t="str">
        <f>"ケージー ジョウホウ シュッパン"</f>
        <v>ケージー ジョウホウ シュッパン</v>
      </c>
      <c r="F1993" t="str">
        <f>""</f>
        <v/>
      </c>
      <c r="G1993" t="str">
        <f>"頻度不明"</f>
        <v>頻度不明</v>
      </c>
      <c r="H1993" t="str">
        <f>"2002222289641"</f>
        <v>2002222289641</v>
      </c>
      <c r="I1993" t="str">
        <f>HYPERLINK("#", "https://opac.libnet.pref.okayama.jp/licsxp-opac/WOpacMsgNewListToTifTilDetailAction.do?tilcod=2002222289641")</f>
        <v>https://opac.libnet.pref.okayama.jp/licsxp-opac/WOpacMsgNewListToTifTilDetailAction.do?tilcod=2002222289641</v>
      </c>
    </row>
    <row r="1994" spans="1:9" x14ac:dyDescent="0.4">
      <c r="A1994" t="str">
        <f>"求人ガイド；雇用労働ニュース特集号"</f>
        <v>求人ガイド；雇用労働ニュース特集号</v>
      </c>
      <c r="B1994" s="1" t="str">
        <f t="shared" si="114"/>
        <v>求人ガイド；雇用労働ニュース特集号</v>
      </c>
      <c r="C1994" t="str">
        <f>"キュウジン　ガイド＊コヨウ　ロウドウ　ニュース　トクシュウゴウ"</f>
        <v>キュウジン　ガイド＊コヨウ　ロウドウ　ニュース　トクシュウゴウ</v>
      </c>
      <c r="D1994" t="str">
        <f>"津山広域事務組合"</f>
        <v>津山広域事務組合</v>
      </c>
      <c r="E1994" t="str">
        <f>"ツヤマ コウイキ ジム クミアイ"</f>
        <v>ツヤマ コウイキ ジム クミアイ</v>
      </c>
      <c r="F1994" t="str">
        <f>""</f>
        <v/>
      </c>
      <c r="G1994" t="str">
        <f>"頻度不明"</f>
        <v>頻度不明</v>
      </c>
      <c r="H1994" t="str">
        <f>"2002222289631"</f>
        <v>2002222289631</v>
      </c>
      <c r="I1994" t="str">
        <f>HYPERLINK("#", "https://opac.libnet.pref.okayama.jp/licsxp-opac/WOpacMsgNewListToTifTilDetailAction.do?tilcod=2002222289631")</f>
        <v>https://opac.libnet.pref.okayama.jp/licsxp-opac/WOpacMsgNewListToTifTilDetailAction.do?tilcod=2002222289631</v>
      </c>
    </row>
    <row r="1995" spans="1:9" x14ac:dyDescent="0.4">
      <c r="A1995" t="str">
        <f>"求人情報"</f>
        <v>求人情報</v>
      </c>
      <c r="B1995" s="1" t="str">
        <f t="shared" si="114"/>
        <v>求人情報</v>
      </c>
      <c r="C1995" t="str">
        <f>"キュウジン　ジョウホウ"</f>
        <v>キュウジン　ジョウホウ</v>
      </c>
      <c r="D1995" t="str">
        <f>"広済堂岡山情報センター"</f>
        <v>広済堂岡山情報センター</v>
      </c>
      <c r="E1995" t="str">
        <f>"コウサイドウオカヤマジョウホウセンター"</f>
        <v>コウサイドウオカヤマジョウホウセンター</v>
      </c>
      <c r="F1995" t="str">
        <f>""</f>
        <v/>
      </c>
      <c r="G1995" t="str">
        <f>"週２回刊"</f>
        <v>週２回刊</v>
      </c>
      <c r="H1995" t="str">
        <f>"2002222289621"</f>
        <v>2002222289621</v>
      </c>
      <c r="I1995" t="str">
        <f>HYPERLINK("#", "https://opac.libnet.pref.okayama.jp/licsxp-opac/WOpacMsgNewListToTifTilDetailAction.do?tilcod=2002222289621")</f>
        <v>https://opac.libnet.pref.okayama.jp/licsxp-opac/WOpacMsgNewListToTifTilDetailAction.do?tilcod=2002222289621</v>
      </c>
    </row>
    <row r="1996" spans="1:9" x14ac:dyDescent="0.4">
      <c r="A1996" t="str">
        <f>"牛歩誌"</f>
        <v>牛歩誌</v>
      </c>
      <c r="B1996" s="1" t="str">
        <f t="shared" si="114"/>
        <v>牛歩誌</v>
      </c>
      <c r="C1996" t="str">
        <f>"ギュウホシ"</f>
        <v>ギュウホシ</v>
      </c>
      <c r="D1996" t="str">
        <f>"岡山県農業共済組合連合会"</f>
        <v>岡山県農業共済組合連合会</v>
      </c>
      <c r="E1996" t="str">
        <f>"オカヤマケン ノウギョウ キョウサイ クミアイ レンゴウカイ"</f>
        <v>オカヤマケン ノウギョウ キョウサイ クミアイ レンゴウカイ</v>
      </c>
      <c r="F1996" t="str">
        <f>"〔岡山〕"</f>
        <v>〔岡山〕</v>
      </c>
      <c r="G1996" t="str">
        <f>"年刊"</f>
        <v>年刊</v>
      </c>
      <c r="H1996" t="str">
        <f>"2002222301139"</f>
        <v>2002222301139</v>
      </c>
      <c r="I1996" t="str">
        <f>HYPERLINK("#", "https://opac.libnet.pref.okayama.jp/licsxp-opac/WOpacMsgNewListToTifTilDetailAction.do?tilcod=2002222301139")</f>
        <v>https://opac.libnet.pref.okayama.jp/licsxp-opac/WOpacMsgNewListToTifTilDetailAction.do?tilcod=2002222301139</v>
      </c>
    </row>
    <row r="1997" spans="1:9" x14ac:dyDescent="0.4">
      <c r="A1997" t="str">
        <f>"穹窿（きゅうりゅう）"</f>
        <v>穹窿（きゅうりゅう）</v>
      </c>
      <c r="B1997" s="1" t="str">
        <f t="shared" si="114"/>
        <v>穹窿（きゅうりゅう）</v>
      </c>
      <c r="C1997" t="str">
        <f>"キュウリュウ"</f>
        <v>キュウリュウ</v>
      </c>
      <c r="D1997" t="str">
        <f>"第六高等学校生徒寮内文芸部穹窿会"</f>
        <v>第六高等学校生徒寮内文芸部穹窿会</v>
      </c>
      <c r="E1997" t="str">
        <f>"ダイロク コウトウ ガッコウ セイトリョウナイ ブンゲイブ"</f>
        <v>ダイロク コウトウ ガッコウ セイトリョウナイ ブンゲイブ</v>
      </c>
      <c r="F1997" t="str">
        <f>""</f>
        <v/>
      </c>
      <c r="G1997" t="str">
        <f>"頻度不明"</f>
        <v>頻度不明</v>
      </c>
      <c r="H1997" t="str">
        <f>"2002222289661"</f>
        <v>2002222289661</v>
      </c>
      <c r="I1997" t="str">
        <f>HYPERLINK("#", "https://opac.libnet.pref.okayama.jp/licsxp-opac/WOpacMsgNewListToTifTilDetailAction.do?tilcod=2002222289661")</f>
        <v>https://opac.libnet.pref.okayama.jp/licsxp-opac/WOpacMsgNewListToTifTilDetailAction.do?tilcod=2002222289661</v>
      </c>
    </row>
    <row r="1998" spans="1:9" x14ac:dyDescent="0.4">
      <c r="A1998" t="str">
        <f>"暁闇"</f>
        <v>暁闇</v>
      </c>
      <c r="B1998" s="1" t="str">
        <f t="shared" si="114"/>
        <v>暁闇</v>
      </c>
      <c r="C1998" t="str">
        <f>"ギョウアン"</f>
        <v>ギョウアン</v>
      </c>
      <c r="D1998" t="str">
        <f>"暁闇文学社"</f>
        <v>暁闇文学社</v>
      </c>
      <c r="E1998" t="str">
        <f>"ギョウアンブンガクシャ"</f>
        <v>ギョウアンブンガクシャ</v>
      </c>
      <c r="F1998" t="str">
        <f>""</f>
        <v/>
      </c>
      <c r="G1998" t="str">
        <f>"頻度不明"</f>
        <v>頻度不明</v>
      </c>
      <c r="H1998" t="str">
        <f>"2002222289671"</f>
        <v>2002222289671</v>
      </c>
      <c r="I1998" t="str">
        <f>HYPERLINK("#", "https://opac.libnet.pref.okayama.jp/licsxp-opac/WOpacMsgNewListToTifTilDetailAction.do?tilcod=2002222289671")</f>
        <v>https://opac.libnet.pref.okayama.jp/licsxp-opac/WOpacMsgNewListToTifTilDetailAction.do?tilcod=2002222289671</v>
      </c>
    </row>
    <row r="1999" spans="1:9" x14ac:dyDescent="0.4">
      <c r="A1999" t="str">
        <f>"教委通報"</f>
        <v>教委通報</v>
      </c>
      <c r="B1999" s="1" t="str">
        <f t="shared" si="114"/>
        <v>教委通報</v>
      </c>
      <c r="C1999" t="str">
        <f>"キョウイ　ツウホウ"</f>
        <v>キョウイ　ツウホウ</v>
      </c>
      <c r="D1999" t="str">
        <f>"岡山県教育委員会総務課"</f>
        <v>岡山県教育委員会総務課</v>
      </c>
      <c r="E1999" t="str">
        <f>"オカヤマケン キョウイク イインカイ ソウムカ"</f>
        <v>オカヤマケン キョウイク イインカイ ソウムカ</v>
      </c>
      <c r="F1999" t="str">
        <f>"岡山"</f>
        <v>岡山</v>
      </c>
      <c r="G1999" t="str">
        <f>"頻度不明"</f>
        <v>頻度不明</v>
      </c>
      <c r="H1999" t="str">
        <f>"2002222289711"</f>
        <v>2002222289711</v>
      </c>
      <c r="I1999" t="str">
        <f>HYPERLINK("#", "https://opac.libnet.pref.okayama.jp/licsxp-opac/WOpacMsgNewListToTifTilDetailAction.do?tilcod=2002222289711")</f>
        <v>https://opac.libnet.pref.okayama.jp/licsxp-opac/WOpacMsgNewListToTifTilDetailAction.do?tilcod=2002222289711</v>
      </c>
    </row>
    <row r="2000" spans="1:9" x14ac:dyDescent="0.4">
      <c r="A2000" t="str">
        <f>"教育"</f>
        <v>教育</v>
      </c>
      <c r="B2000" s="1" t="str">
        <f t="shared" si="114"/>
        <v>教育</v>
      </c>
      <c r="C2000" t="str">
        <f>"キョウイク"</f>
        <v>キョウイク</v>
      </c>
      <c r="D2000" t="str">
        <f>"岡山県教育科学研究会"</f>
        <v>岡山県教育科学研究会</v>
      </c>
      <c r="E2000" t="str">
        <f>"オカヤマケンキョウイクカガクケンキュウカイ"</f>
        <v>オカヤマケンキョウイクカガクケンキュウカイ</v>
      </c>
      <c r="F2000" t="str">
        <f>""</f>
        <v/>
      </c>
      <c r="G2000" t="str">
        <f>"頻度不明"</f>
        <v>頻度不明</v>
      </c>
      <c r="H2000" t="str">
        <f>"2002222289681"</f>
        <v>2002222289681</v>
      </c>
      <c r="I2000" t="str">
        <f>HYPERLINK("#", "https://opac.libnet.pref.okayama.jp/licsxp-opac/WOpacMsgNewListToTifTilDetailAction.do?tilcod=2002222289681")</f>
        <v>https://opac.libnet.pref.okayama.jp/licsxp-opac/WOpacMsgNewListToTifTilDetailAction.do?tilcod=2002222289681</v>
      </c>
    </row>
    <row r="2001" spans="1:9" x14ac:dyDescent="0.4">
      <c r="A2001" t="str">
        <f>"教育岡山"</f>
        <v>教育岡山</v>
      </c>
      <c r="B2001" s="1" t="str">
        <f t="shared" si="114"/>
        <v>教育岡山</v>
      </c>
      <c r="C2001" t="str">
        <f>"キョウイク オカヤマ"</f>
        <v>キョウイク オカヤマ</v>
      </c>
      <c r="D2001" t="str">
        <f>"岡山市教育委員会"</f>
        <v>岡山市教育委員会</v>
      </c>
      <c r="E2001" t="str">
        <f>"オカヤマシ キョウイク イインカイ"</f>
        <v>オカヤマシ キョウイク イインカイ</v>
      </c>
      <c r="F2001" t="str">
        <f>"岡山"</f>
        <v>岡山</v>
      </c>
      <c r="G2001" t="str">
        <f>"頻度不明"</f>
        <v>頻度不明</v>
      </c>
      <c r="H2001" t="str">
        <f>"2002222289691"</f>
        <v>2002222289691</v>
      </c>
      <c r="I2001" t="str">
        <f>HYPERLINK("#", "https://opac.libnet.pref.okayama.jp/licsxp-opac/WOpacMsgNewListToTifTilDetailAction.do?tilcod=2002222289691")</f>
        <v>https://opac.libnet.pref.okayama.jp/licsxp-opac/WOpacMsgNewListToTifTilDetailAction.do?tilcod=2002222289691</v>
      </c>
    </row>
    <row r="2002" spans="1:9" x14ac:dyDescent="0.4">
      <c r="A2002" t="str">
        <f>"教育研究集録"</f>
        <v>教育研究集録</v>
      </c>
      <c r="B2002" s="1" t="str">
        <f t="shared" si="114"/>
        <v>教育研究集録</v>
      </c>
      <c r="C2002" t="str">
        <f>"キョウイク　ケンキュウ　シュウロク"</f>
        <v>キョウイク　ケンキュウ　シュウロク</v>
      </c>
      <c r="D2002" t="str">
        <f>"日本教育公務員弘済会岡山支部"</f>
        <v>日本教育公務員弘済会岡山支部</v>
      </c>
      <c r="E2002" t="str">
        <f>"ニホン キョウイク コウムイン コウサイカイ オカヤマ シブ"</f>
        <v>ニホン キョウイク コウムイン コウサイカイ オカヤマ シブ</v>
      </c>
      <c r="F2002" t="str">
        <f>"岡山"</f>
        <v>岡山</v>
      </c>
      <c r="G2002" t="str">
        <f>"年刊"</f>
        <v>年刊</v>
      </c>
      <c r="H2002" t="str">
        <f>"2002222294951"</f>
        <v>2002222294951</v>
      </c>
      <c r="I2002" t="str">
        <f>HYPERLINK("#", "https://opac.libnet.pref.okayama.jp/licsxp-opac/WOpacMsgNewListToTifTilDetailAction.do?tilcod=2002222294951")</f>
        <v>https://opac.libnet.pref.okayama.jp/licsxp-opac/WOpacMsgNewListToTifTilDetailAction.do?tilcod=2002222294951</v>
      </c>
    </row>
    <row r="2003" spans="1:9" x14ac:dyDescent="0.4">
      <c r="A2003" t="str">
        <f>"教育研修所紀要"</f>
        <v>教育研修所紀要</v>
      </c>
      <c r="B2003" s="1" t="str">
        <f t="shared" si="114"/>
        <v>教育研修所紀要</v>
      </c>
      <c r="C2003" t="str">
        <f>"キョウイク　ケンシュウジョ　キヨウ"</f>
        <v>キョウイク　ケンシュウジョ　キヨウ</v>
      </c>
      <c r="D2003" t="str">
        <f>"倉敷市立教育研修所"</f>
        <v>倉敷市立教育研修所</v>
      </c>
      <c r="E2003" t="str">
        <f>"クラシキシリツ キョウイク ケンシュウジョ"</f>
        <v>クラシキシリツ キョウイク ケンシュウジョ</v>
      </c>
      <c r="F2003" t="str">
        <f>"倉敷"</f>
        <v>倉敷</v>
      </c>
      <c r="G2003" t="str">
        <f>"年刊"</f>
        <v>年刊</v>
      </c>
      <c r="H2003" t="str">
        <f>"2002222289701"</f>
        <v>2002222289701</v>
      </c>
      <c r="I2003" t="str">
        <f>HYPERLINK("#", "https://opac.libnet.pref.okayama.jp/licsxp-opac/WOpacMsgNewListToTifTilDetailAction.do?tilcod=2002222289701")</f>
        <v>https://opac.libnet.pref.okayama.jp/licsxp-opac/WOpacMsgNewListToTifTilDetailAction.do?tilcod=2002222289701</v>
      </c>
    </row>
    <row r="2004" spans="1:9" x14ac:dyDescent="0.4">
      <c r="A2004" t="str">
        <f>"教育実習研究年報"</f>
        <v>教育実習研究年報</v>
      </c>
      <c r="B2004" s="1" t="str">
        <f t="shared" si="114"/>
        <v>教育実習研究年報</v>
      </c>
      <c r="C2004" t="str">
        <f>"キョウイク　ジッシュウ　ケンキュウ　ネンポウ"</f>
        <v>キョウイク　ジッシュウ　ケンキュウ　ネンポウ</v>
      </c>
      <c r="D2004" t="str">
        <f>"岡山大学教育学部"</f>
        <v>岡山大学教育学部</v>
      </c>
      <c r="E2004" t="str">
        <f>"オカヤマダイガクキョウイクガクブ"</f>
        <v>オカヤマダイガクキョウイクガクブ</v>
      </c>
      <c r="F2004" t="str">
        <f t="shared" ref="F2004:F2012" si="115">"岡山"</f>
        <v>岡山</v>
      </c>
      <c r="G2004" t="str">
        <f>"年刊"</f>
        <v>年刊</v>
      </c>
      <c r="H2004" t="str">
        <f>"2002222282841"</f>
        <v>2002222282841</v>
      </c>
      <c r="I2004" t="str">
        <f>HYPERLINK("#", "https://opac.libnet.pref.okayama.jp/licsxp-opac/WOpacMsgNewListToTifTilDetailAction.do?tilcod=2002222282841")</f>
        <v>https://opac.libnet.pref.okayama.jp/licsxp-opac/WOpacMsgNewListToTifTilDetailAction.do?tilcod=2002222282841</v>
      </c>
    </row>
    <row r="2005" spans="1:9" x14ac:dyDescent="0.4">
      <c r="A2005" t="str">
        <f>"教育時報"</f>
        <v>教育時報</v>
      </c>
      <c r="B2005" s="1" t="str">
        <f t="shared" si="114"/>
        <v>教育時報</v>
      </c>
      <c r="C2005" t="str">
        <f>"キョウイク　ジホウ"</f>
        <v>キョウイク　ジホウ</v>
      </c>
      <c r="D2005" t="str">
        <f>"岡山県教育広報協会"</f>
        <v>岡山県教育広報協会</v>
      </c>
      <c r="E2005" t="str">
        <f>"オカヤマケン キョウイク コウホウ キョウカイ"</f>
        <v>オカヤマケン キョウイク コウホウ キョウカイ</v>
      </c>
      <c r="F2005" t="str">
        <f t="shared" si="115"/>
        <v>岡山</v>
      </c>
      <c r="G2005" t="str">
        <f>"月刊"</f>
        <v>月刊</v>
      </c>
      <c r="H2005" t="str">
        <f>"2002222291271"</f>
        <v>2002222291271</v>
      </c>
      <c r="I2005" t="str">
        <f>HYPERLINK("#", "https://opac.libnet.pref.okayama.jp/licsxp-opac/WOpacMsgNewListToTifTilDetailAction.do?tilcod=2002222291271")</f>
        <v>https://opac.libnet.pref.okayama.jp/licsxp-opac/WOpacMsgNewListToTifTilDetailAction.do?tilcod=2002222291271</v>
      </c>
    </row>
    <row r="2006" spans="1:9" x14ac:dyDescent="0.4">
      <c r="A2006" t="str">
        <f>"教育通信こころのわ"</f>
        <v>教育通信こころのわ</v>
      </c>
      <c r="B2006" s="1" t="str">
        <f t="shared" si="114"/>
        <v>教育通信こころのわ</v>
      </c>
      <c r="C2006" t="str">
        <f>"キョウイク　ツウシン　ココロ　ノ　ワ"</f>
        <v>キョウイク　ツウシン　ココロ　ノ　ワ</v>
      </c>
      <c r="D2006" t="str">
        <f>"岡山県教育庁教育政策課"</f>
        <v>岡山県教育庁教育政策課</v>
      </c>
      <c r="E2006" t="str">
        <f>"オカヤマケン キョウイクチョウ キョウイク セイサクカ "</f>
        <v xml:space="preserve">オカヤマケン キョウイクチョウ キョウイク セイサクカ </v>
      </c>
      <c r="F2006" t="str">
        <f t="shared" si="115"/>
        <v>岡山</v>
      </c>
      <c r="G2006" t="str">
        <f>"年刊"</f>
        <v>年刊</v>
      </c>
      <c r="H2006" t="str">
        <f>"2002222281591"</f>
        <v>2002222281591</v>
      </c>
      <c r="I2006" t="str">
        <f>HYPERLINK("#", "https://opac.libnet.pref.okayama.jp/licsxp-opac/WOpacMsgNewListToTifTilDetailAction.do?tilcod=2002222281591")</f>
        <v>https://opac.libnet.pref.okayama.jp/licsxp-opac/WOpacMsgNewListToTifTilDetailAction.do?tilcod=2002222281591</v>
      </c>
    </row>
    <row r="2007" spans="1:9" x14ac:dyDescent="0.4">
      <c r="A2007" t="str">
        <f>"教育と岡山"</f>
        <v>教育と岡山</v>
      </c>
      <c r="B2007" s="1" t="str">
        <f t="shared" si="114"/>
        <v>教育と岡山</v>
      </c>
      <c r="C2007" t="str">
        <f>"キョウイク ト オカヤマ"</f>
        <v>キョウイク ト オカヤマ</v>
      </c>
      <c r="D2007" t="str">
        <f>"岡山県教師会事務局｢教育と岡山｣編集部"</f>
        <v>岡山県教師会事務局｢教育と岡山｣編集部</v>
      </c>
      <c r="E2007" t="str">
        <f>"オカヤマケン キョウシカイ ジムキョク キョウイク ト オカヤマ ヘンシュウブ"</f>
        <v>オカヤマケン キョウシカイ ジムキョク キョウイク ト オカヤマ ヘンシュウブ</v>
      </c>
      <c r="F2007" t="str">
        <f t="shared" si="115"/>
        <v>岡山</v>
      </c>
      <c r="G2007" t="str">
        <f>"頻度不明"</f>
        <v>頻度不明</v>
      </c>
      <c r="H2007" t="str">
        <f>"2002222330148"</f>
        <v>2002222330148</v>
      </c>
      <c r="I2007" t="str">
        <f>HYPERLINK("#", "https://opac.libnet.pref.okayama.jp/licsxp-opac/WOpacMsgNewListToTifTilDetailAction.do?tilcod=2002222330148")</f>
        <v>https://opac.libnet.pref.okayama.jp/licsxp-opac/WOpacMsgNewListToTifTilDetailAction.do?tilcod=2002222330148</v>
      </c>
    </row>
    <row r="2008" spans="1:9" x14ac:dyDescent="0.4">
      <c r="A2008" t="str">
        <f>"教育擁護新聞速報"</f>
        <v>教育擁護新聞速報</v>
      </c>
      <c r="B2008" s="1" t="str">
        <f t="shared" si="114"/>
        <v>教育擁護新聞速報</v>
      </c>
      <c r="C2008" t="str">
        <f>"キョウイク　ヨウゴ　シンブン　ソクホウ"</f>
        <v>キョウイク　ヨウゴ　シンブン　ソクホウ</v>
      </c>
      <c r="D2008" t="str">
        <f>"教育擁護新聞社"</f>
        <v>教育擁護新聞社</v>
      </c>
      <c r="E2008" t="str">
        <f>"キョウイクヨウゴシンブンシャ"</f>
        <v>キョウイクヨウゴシンブンシャ</v>
      </c>
      <c r="F2008" t="str">
        <f t="shared" si="115"/>
        <v>岡山</v>
      </c>
      <c r="G2008" t="str">
        <f>"その他"</f>
        <v>その他</v>
      </c>
      <c r="H2008" t="str">
        <f>"2002222300993"</f>
        <v>2002222300993</v>
      </c>
      <c r="I2008" t="str">
        <f>HYPERLINK("#", "https://opac.libnet.pref.okayama.jp/licsxp-opac/WOpacMsgNewListToTifTilDetailAction.do?tilcod=2002222300993")</f>
        <v>https://opac.libnet.pref.okayama.jp/licsxp-opac/WOpacMsgNewListToTifTilDetailAction.do?tilcod=2002222300993</v>
      </c>
    </row>
    <row r="2009" spans="1:9" x14ac:dyDescent="0.4">
      <c r="A2009" t="str">
        <f>"共済広報"</f>
        <v>共済広報</v>
      </c>
      <c r="B2009" s="1" t="str">
        <f t="shared" si="114"/>
        <v>共済広報</v>
      </c>
      <c r="C2009" t="str">
        <f>"キョウサイ コウホウ"</f>
        <v>キョウサイ コウホウ</v>
      </c>
      <c r="D2009" t="str">
        <f>"岡山県市町村職員共済組合"</f>
        <v>岡山県市町村職員共済組合</v>
      </c>
      <c r="E2009" t="str">
        <f>"オカヤマケン シチョウソン ショクイン キョウサイ クミアイ"</f>
        <v>オカヤマケン シチョウソン ショクイン キョウサイ クミアイ</v>
      </c>
      <c r="F2009" t="str">
        <f t="shared" si="115"/>
        <v>岡山</v>
      </c>
      <c r="G2009" t="str">
        <f>"隔月刊"</f>
        <v>隔月刊</v>
      </c>
      <c r="H2009" t="str">
        <f>"2002222312329"</f>
        <v>2002222312329</v>
      </c>
      <c r="I2009" t="str">
        <f>HYPERLINK("#", "https://opac.libnet.pref.okayama.jp/licsxp-opac/WOpacMsgNewListToTifTilDetailAction.do?tilcod=2002222312329")</f>
        <v>https://opac.libnet.pref.okayama.jp/licsxp-opac/WOpacMsgNewListToTifTilDetailAction.do?tilcod=2002222312329</v>
      </c>
    </row>
    <row r="2010" spans="1:9" x14ac:dyDescent="0.4">
      <c r="A2010" t="str">
        <f>"暁山顕彰碑会会報"</f>
        <v>暁山顕彰碑会会報</v>
      </c>
      <c r="B2010" s="1" t="str">
        <f t="shared" si="114"/>
        <v>暁山顕彰碑会会報</v>
      </c>
      <c r="C2010" t="str">
        <f>"ギョウザン ケンショウヒカイ カイホウ"</f>
        <v>ギョウザン ケンショウヒカイ カイホウ</v>
      </c>
      <c r="D2010" t="str">
        <f>"小橋弘事務所"</f>
        <v>小橋弘事務所</v>
      </c>
      <c r="E2010" t="str">
        <f>"コバシヒロシジムショ"</f>
        <v>コバシヒロシジムショ</v>
      </c>
      <c r="F2010" t="str">
        <f t="shared" si="115"/>
        <v>岡山</v>
      </c>
      <c r="G2010" t="str">
        <f>"頻度不明"</f>
        <v>頻度不明</v>
      </c>
      <c r="H2010" t="str">
        <f>"2002222342551"</f>
        <v>2002222342551</v>
      </c>
      <c r="I2010" t="str">
        <f>HYPERLINK("#", "https://opac.libnet.pref.okayama.jp/licsxp-opac/WOpacMsgNewListToTifTilDetailAction.do?tilcod=2002222342551")</f>
        <v>https://opac.libnet.pref.okayama.jp/licsxp-opac/WOpacMsgNewListToTifTilDetailAction.do?tilcod=2002222342551</v>
      </c>
    </row>
    <row r="2011" spans="1:9" x14ac:dyDescent="0.4">
      <c r="A2011" t="str">
        <f>"暁鐘"</f>
        <v>暁鐘</v>
      </c>
      <c r="B2011" s="1" t="str">
        <f t="shared" si="114"/>
        <v>暁鐘</v>
      </c>
      <c r="C2011" t="str">
        <f>"ギョウショウ"</f>
        <v>ギョウショウ</v>
      </c>
      <c r="D2011" t="str">
        <f>"吉田書店"</f>
        <v>吉田書店</v>
      </c>
      <c r="E2011" t="str">
        <f>"ヨシダ ショテン"</f>
        <v>ヨシダ ショテン</v>
      </c>
      <c r="F2011" t="str">
        <f t="shared" si="115"/>
        <v>岡山</v>
      </c>
      <c r="G2011" t="str">
        <f>"頻度不明"</f>
        <v>頻度不明</v>
      </c>
      <c r="H2011" t="str">
        <f>"2002222289721"</f>
        <v>2002222289721</v>
      </c>
      <c r="I2011" t="str">
        <f>HYPERLINK("#", "https://opac.libnet.pref.okayama.jp/licsxp-opac/WOpacMsgNewListToTifTilDetailAction.do?tilcod=2002222289721")</f>
        <v>https://opac.libnet.pref.okayama.jp/licsxp-opac/WOpacMsgNewListToTifTilDetailAction.do?tilcod=2002222289721</v>
      </c>
    </row>
    <row r="2012" spans="1:9" x14ac:dyDescent="0.4">
      <c r="A2012" t="str">
        <f>"共翔〔就実大学・就実短期大学図書館報〕"</f>
        <v>共翔〔就実大学・就実短期大学図書館報〕</v>
      </c>
      <c r="B2012" s="1" t="str">
        <f t="shared" si="114"/>
        <v>共翔〔就実大学・就実短期大学図書館報〕</v>
      </c>
      <c r="C2012" t="str">
        <f>"キョウショウ　シュウジツ　ダイガク　シュウジツ　タンキ　ダイガク　トショカンポウ"</f>
        <v>キョウショウ　シュウジツ　ダイガク　シュウジツ　タンキ　ダイガク　トショカンポウ</v>
      </c>
      <c r="D2012" t="str">
        <f>"就実大学・就実短期大学図書館"</f>
        <v>就実大学・就実短期大学図書館</v>
      </c>
      <c r="E2012" t="str">
        <f>"シュウジツダイガクシュウジツタンキダイガクトショカン"</f>
        <v>シュウジツダイガクシュウジツタンキダイガクトショカン</v>
      </c>
      <c r="F2012" t="str">
        <f t="shared" si="115"/>
        <v>岡山</v>
      </c>
      <c r="G2012" t="str">
        <f>"年２回刊"</f>
        <v>年２回刊</v>
      </c>
      <c r="H2012" t="str">
        <f>"2002222284631"</f>
        <v>2002222284631</v>
      </c>
      <c r="I2012" t="str">
        <f>HYPERLINK("#", "https://opac.libnet.pref.okayama.jp/licsxp-opac/WOpacMsgNewListToTifTilDetailAction.do?tilcod=2002222284631")</f>
        <v>https://opac.libnet.pref.okayama.jp/licsxp-opac/WOpacMsgNewListToTifTilDetailAction.do?tilcod=2002222284631</v>
      </c>
    </row>
    <row r="2013" spans="1:9" x14ac:dyDescent="0.4">
      <c r="A2013" t="str">
        <f>"暁星"</f>
        <v>暁星</v>
      </c>
      <c r="B2013" s="1" t="str">
        <f t="shared" si="114"/>
        <v>暁星</v>
      </c>
      <c r="C2013" t="str">
        <f>"ギョウセイ"</f>
        <v>ギョウセイ</v>
      </c>
      <c r="D2013" t="str">
        <f>"暁星詩社"</f>
        <v>暁星詩社</v>
      </c>
      <c r="E2013" t="str">
        <f>"ギョウセイシシャ"</f>
        <v>ギョウセイシシャ</v>
      </c>
      <c r="F2013" t="str">
        <f>""</f>
        <v/>
      </c>
      <c r="G2013" t="str">
        <f>"頻度不明"</f>
        <v>頻度不明</v>
      </c>
      <c r="H2013" t="str">
        <f>"2002222283003"</f>
        <v>2002222283003</v>
      </c>
      <c r="I2013" t="str">
        <f>HYPERLINK("#", "https://opac.libnet.pref.okayama.jp/licsxp-opac/WOpacMsgNewListToTifTilDetailAction.do?tilcod=2002222283003")</f>
        <v>https://opac.libnet.pref.okayama.jp/licsxp-opac/WOpacMsgNewListToTifTilDetailAction.do?tilcod=2002222283003</v>
      </c>
    </row>
    <row r="2014" spans="1:9" x14ac:dyDescent="0.4">
      <c r="A2014" t="str">
        <f>"行政岡山"</f>
        <v>行政岡山</v>
      </c>
      <c r="B2014" s="1" t="str">
        <f t="shared" si="114"/>
        <v>行政岡山</v>
      </c>
      <c r="C2014" t="str">
        <f>"ギョウセイ　オカヤマ"</f>
        <v>ギョウセイ　オカヤマ</v>
      </c>
      <c r="D2014" t="str">
        <f>"岡山県行政書士会"</f>
        <v>岡山県行政書士会</v>
      </c>
      <c r="E2014" t="str">
        <f>"オカヤマケンギョウセイショシカイ"</f>
        <v>オカヤマケンギョウセイショシカイ</v>
      </c>
      <c r="F2014" t="str">
        <f>""</f>
        <v/>
      </c>
      <c r="G2014" t="str">
        <f>"月刊"</f>
        <v>月刊</v>
      </c>
      <c r="H2014" t="str">
        <f>"2002222289731"</f>
        <v>2002222289731</v>
      </c>
      <c r="I2014" t="str">
        <f>HYPERLINK("#", "https://opac.libnet.pref.okayama.jp/licsxp-opac/WOpacMsgNewListToTifTilDetailAction.do?tilcod=2002222289731")</f>
        <v>https://opac.libnet.pref.okayama.jp/licsxp-opac/WOpacMsgNewListToTifTilDetailAction.do?tilcod=2002222289731</v>
      </c>
    </row>
    <row r="2015" spans="1:9" x14ac:dyDescent="0.4">
      <c r="A2015" t="str">
        <f>"行政資料室図書資料案内"</f>
        <v>行政資料室図書資料案内</v>
      </c>
      <c r="B2015" s="1" t="str">
        <f t="shared" si="114"/>
        <v>行政資料室図書資料案内</v>
      </c>
      <c r="C2015" t="str">
        <f>"ギョウセイ　シリョウシツ　トショ　シリョウ　アンナイ"</f>
        <v>ギョウセイ　シリョウシツ　トショ　シリョウ　アンナイ</v>
      </c>
      <c r="D2015" t="str">
        <f>"岡山市行政資料室"</f>
        <v>岡山市行政資料室</v>
      </c>
      <c r="E2015" t="str">
        <f>"オカヤマシギョウセイシリヨウシツ"</f>
        <v>オカヤマシギョウセイシリヨウシツ</v>
      </c>
      <c r="F2015" t="str">
        <f>"岡山"</f>
        <v>岡山</v>
      </c>
      <c r="G2015" t="str">
        <f>"頻度不明"</f>
        <v>頻度不明</v>
      </c>
      <c r="H2015" t="str">
        <f>"2002222289741"</f>
        <v>2002222289741</v>
      </c>
      <c r="I2015" t="str">
        <f>HYPERLINK("#", "https://opac.libnet.pref.okayama.jp/licsxp-opac/WOpacMsgNewListToTifTilDetailAction.do?tilcod=2002222289741")</f>
        <v>https://opac.libnet.pref.okayama.jp/licsxp-opac/WOpacMsgNewListToTifTilDetailAction.do?tilcod=2002222289741</v>
      </c>
    </row>
    <row r="2016" spans="1:9" x14ac:dyDescent="0.4">
      <c r="A2016" t="str">
        <f>"きょうちくとう(夾竹桃)；慈圭病院広報誌"</f>
        <v>きょうちくとう(夾竹桃)；慈圭病院広報誌</v>
      </c>
      <c r="B2016" s="1" t="str">
        <f t="shared" si="114"/>
        <v>きょうちくとう(夾竹桃)；慈圭病院広報誌</v>
      </c>
      <c r="C2016" t="str">
        <f>"キョウチクトウ＊ジケイ ビョウイン コウホウシ"</f>
        <v>キョウチクトウ＊ジケイ ビョウイン コウホウシ</v>
      </c>
      <c r="D2016" t="str">
        <f>"慈圭会慈圭病院"</f>
        <v>慈圭会慈圭病院</v>
      </c>
      <c r="E2016" t="str">
        <f>"ジケイカイ ジケイ ビョウイン"</f>
        <v>ジケイカイ ジケイ ビョウイン</v>
      </c>
      <c r="F2016" t="str">
        <f>"岡山"</f>
        <v>岡山</v>
      </c>
      <c r="G2016" t="str">
        <f>"季刊"</f>
        <v>季刊</v>
      </c>
      <c r="H2016" t="str">
        <f>"2002222343850"</f>
        <v>2002222343850</v>
      </c>
      <c r="I2016" t="str">
        <f>HYPERLINK("#", "https://opac.libnet.pref.okayama.jp/licsxp-opac/WOpacMsgNewListToTifTilDetailAction.do?tilcod=2002222343850")</f>
        <v>https://opac.libnet.pref.okayama.jp/licsxp-opac/WOpacMsgNewListToTifTilDetailAction.do?tilcod=2002222343850</v>
      </c>
    </row>
    <row r="2017" spans="1:9" x14ac:dyDescent="0.4">
      <c r="A2017" t="str">
        <f>"郷土"</f>
        <v>郷土</v>
      </c>
      <c r="B2017" s="1" t="str">
        <f t="shared" si="114"/>
        <v>郷土</v>
      </c>
      <c r="C2017" t="str">
        <f>"キョウド"</f>
        <v>キョウド</v>
      </c>
      <c r="D2017" t="str">
        <f>"郷土社"</f>
        <v>郷土社</v>
      </c>
      <c r="E2017" t="str">
        <f>"キョウドシャ"</f>
        <v>キョウドシャ</v>
      </c>
      <c r="F2017" t="str">
        <f>"上市町(阿哲郡)"</f>
        <v>上市町(阿哲郡)</v>
      </c>
      <c r="G2017" t="str">
        <f t="shared" ref="G2017:G2022" si="116">"頻度不明"</f>
        <v>頻度不明</v>
      </c>
      <c r="H2017" t="str">
        <f>"2002222289771"</f>
        <v>2002222289771</v>
      </c>
      <c r="I2017" t="str">
        <f>HYPERLINK("#", "https://opac.libnet.pref.okayama.jp/licsxp-opac/WOpacMsgNewListToTifTilDetailAction.do?tilcod=2002222289771")</f>
        <v>https://opac.libnet.pref.okayama.jp/licsxp-opac/WOpacMsgNewListToTifTilDetailAction.do?tilcod=2002222289771</v>
      </c>
    </row>
    <row r="2018" spans="1:9" x14ac:dyDescent="0.4">
      <c r="A2018" t="str">
        <f>"郷土落合"</f>
        <v>郷土落合</v>
      </c>
      <c r="B2018" s="1" t="str">
        <f t="shared" si="114"/>
        <v>郷土落合</v>
      </c>
      <c r="C2018" t="str">
        <f>"キョウド　オチアイ"</f>
        <v>キョウド　オチアイ</v>
      </c>
      <c r="D2018" t="str">
        <f>"落合高等学校郷土研究クラブ"</f>
        <v>落合高等学校郷土研究クラブ</v>
      </c>
      <c r="E2018" t="str">
        <f>"オチアイコウトウガッコウキョウドケンキュウクラブ"</f>
        <v>オチアイコウトウガッコウキョウドケンキュウクラブ</v>
      </c>
      <c r="F2018" t="str">
        <f>"落合町（真庭郡）"</f>
        <v>落合町（真庭郡）</v>
      </c>
      <c r="G2018" t="str">
        <f t="shared" si="116"/>
        <v>頻度不明</v>
      </c>
      <c r="H2018" t="str">
        <f>"2002222289781"</f>
        <v>2002222289781</v>
      </c>
      <c r="I2018" t="str">
        <f>HYPERLINK("#", "https://opac.libnet.pref.okayama.jp/licsxp-opac/WOpacMsgNewListToTifTilDetailAction.do?tilcod=2002222289781")</f>
        <v>https://opac.libnet.pref.okayama.jp/licsxp-opac/WOpacMsgNewListToTifTilDetailAction.do?tilcod=2002222289781</v>
      </c>
    </row>
    <row r="2019" spans="1:9" x14ac:dyDescent="0.4">
      <c r="A2019" t="str">
        <f>"郷土研究"</f>
        <v>郷土研究</v>
      </c>
      <c r="B2019" s="1" t="str">
        <f t="shared" si="114"/>
        <v>郷土研究</v>
      </c>
      <c r="C2019" t="str">
        <f>"キョウド ケンキュウ"</f>
        <v>キョウド ケンキュウ</v>
      </c>
      <c r="D2019" t="str">
        <f>"[出版者不明]"</f>
        <v>[出版者不明]</v>
      </c>
      <c r="E2019" t="str">
        <f>"シュッパンシャ フメイ"</f>
        <v>シュッパンシャ フメイ</v>
      </c>
      <c r="F2019" t="str">
        <f>""</f>
        <v/>
      </c>
      <c r="G2019" t="str">
        <f t="shared" si="116"/>
        <v>頻度不明</v>
      </c>
      <c r="H2019" t="str">
        <f>"2002222289811"</f>
        <v>2002222289811</v>
      </c>
      <c r="I2019" t="str">
        <f>HYPERLINK("#", "https://opac.libnet.pref.okayama.jp/licsxp-opac/WOpacMsgNewListToTifTilDetailAction.do?tilcod=2002222289811")</f>
        <v>https://opac.libnet.pref.okayama.jp/licsxp-opac/WOpacMsgNewListToTifTilDetailAction.do?tilcod=2002222289811</v>
      </c>
    </row>
    <row r="2020" spans="1:9" x14ac:dyDescent="0.4">
      <c r="A2020" t="str">
        <f>"郷土研究"</f>
        <v>郷土研究</v>
      </c>
      <c r="B2020" s="1" t="str">
        <f t="shared" si="114"/>
        <v>郷土研究</v>
      </c>
      <c r="C2020" t="str">
        <f>"キョウド　ケンキュウ"</f>
        <v>キョウド　ケンキュウ</v>
      </c>
      <c r="D2020" t="str">
        <f>"関西高等学校郷土研究部"</f>
        <v>関西高等学校郷土研究部</v>
      </c>
      <c r="E2020" t="str">
        <f>"カンゼイコウトウガッコウキョウドケンキュウブ"</f>
        <v>カンゼイコウトウガッコウキョウドケンキュウブ</v>
      </c>
      <c r="F2020" t="str">
        <f>"岡山"</f>
        <v>岡山</v>
      </c>
      <c r="G2020" t="str">
        <f t="shared" si="116"/>
        <v>頻度不明</v>
      </c>
      <c r="H2020" t="str">
        <f>"2002222300616"</f>
        <v>2002222300616</v>
      </c>
      <c r="I2020" t="str">
        <f>HYPERLINK("#", "https://opac.libnet.pref.okayama.jp/licsxp-opac/WOpacMsgNewListToTifTilDetailAction.do?tilcod=2002222300616")</f>
        <v>https://opac.libnet.pref.okayama.jp/licsxp-opac/WOpacMsgNewListToTifTilDetailAction.do?tilcod=2002222300616</v>
      </c>
    </row>
    <row r="2021" spans="1:9" x14ac:dyDescent="0.4">
      <c r="A2021" t="str">
        <f>"郷土〔吉備郡高松中学校〕"</f>
        <v>郷土〔吉備郡高松中学校〕</v>
      </c>
      <c r="B2021" s="1" t="str">
        <f t="shared" si="114"/>
        <v>郷土〔吉備郡高松中学校〕</v>
      </c>
      <c r="C2021" t="str">
        <f>"キョウド＊キビグン　タカマツ　チュウガッコウ"</f>
        <v>キョウド＊キビグン　タカマツ　チュウガッコウ</v>
      </c>
      <c r="D2021" t="str">
        <f>"吉備郡高松中学校社会科クラブ"</f>
        <v>吉備郡高松中学校社会科クラブ</v>
      </c>
      <c r="E2021" t="str">
        <f>"キビグンタカマツチュウガッコウシャカイカクラブ"</f>
        <v>キビグンタカマツチュウガッコウシャカイカクラブ</v>
      </c>
      <c r="F2021" t="str">
        <f>""</f>
        <v/>
      </c>
      <c r="G2021" t="str">
        <f t="shared" si="116"/>
        <v>頻度不明</v>
      </c>
      <c r="H2021" t="str">
        <f>"2002222289761"</f>
        <v>2002222289761</v>
      </c>
      <c r="I2021" t="str">
        <f>HYPERLINK("#", "https://opac.libnet.pref.okayama.jp/licsxp-opac/WOpacMsgNewListToTifTilDetailAction.do?tilcod=2002222289761")</f>
        <v>https://opac.libnet.pref.okayama.jp/licsxp-opac/WOpacMsgNewListToTifTilDetailAction.do?tilcod=2002222289761</v>
      </c>
    </row>
    <row r="2022" spans="1:9" x14ac:dyDescent="0.4">
      <c r="A2022" t="str">
        <f>"郷土〔西大寺高等学校〕"</f>
        <v>郷土〔西大寺高等学校〕</v>
      </c>
      <c r="B2022" s="1" t="str">
        <f t="shared" si="114"/>
        <v>郷土〔西大寺高等学校〕</v>
      </c>
      <c r="C2022" t="str">
        <f>"キョウド＊サイダイジ　コウトウガッコウ"</f>
        <v>キョウド＊サイダイジ　コウトウガッコウ</v>
      </c>
      <c r="D2022" t="str">
        <f>"西大寺高等学校歴史社会部"</f>
        <v>西大寺高等学校歴史社会部</v>
      </c>
      <c r="E2022" t="str">
        <f>"サイダイジコウトウガッコウレキシシャカイブ"</f>
        <v>サイダイジコウトウガッコウレキシシャカイブ</v>
      </c>
      <c r="F2022" t="str">
        <f>"岡山"</f>
        <v>岡山</v>
      </c>
      <c r="G2022" t="str">
        <f t="shared" si="116"/>
        <v>頻度不明</v>
      </c>
      <c r="H2022" t="str">
        <f>"2002222289751"</f>
        <v>2002222289751</v>
      </c>
      <c r="I2022" t="str">
        <f>HYPERLINK("#", "https://opac.libnet.pref.okayama.jp/licsxp-opac/WOpacMsgNewListToTifTilDetailAction.do?tilcod=2002222289751")</f>
        <v>https://opac.libnet.pref.okayama.jp/licsxp-opac/WOpacMsgNewListToTifTilDetailAction.do?tilcod=2002222289751</v>
      </c>
    </row>
    <row r="2023" spans="1:9" x14ac:dyDescent="0.4">
      <c r="A2023" t="str">
        <f>"協働通信 ; 岡山市発協働で社会をよくする仕組み、紹介マガジン"</f>
        <v>協働通信 ; 岡山市発協働で社会をよくする仕組み、紹介マガジン</v>
      </c>
      <c r="B2023" s="1" t="str">
        <f t="shared" si="114"/>
        <v>協働通信 ; 岡山市発協働で社会をよくする仕組み、紹介マガジン</v>
      </c>
      <c r="C2023" t="str">
        <f>"キョウドウ ツウシン オカヤマシ ハツ キョウドウ デ シャカイ オ ヨクスル シクミ ショウカイ マガジン"</f>
        <v>キョウドウ ツウシン オカヤマシ ハツ キョウドウ デ シャカイ オ ヨクスル シクミ ショウカイ マガジン</v>
      </c>
      <c r="D2023" t="str">
        <f>"ESD・市民協働推進センター"</f>
        <v>ESD・市民協働推進センター</v>
      </c>
      <c r="E2023" t="str">
        <f>"イーエスディー シミン キョウドウ スイシン センター"</f>
        <v>イーエスディー シミン キョウドウ スイシン センター</v>
      </c>
      <c r="F2023" t="str">
        <f>"岡山"</f>
        <v>岡山</v>
      </c>
      <c r="G2023" t="str">
        <f>"不定期刊"</f>
        <v>不定期刊</v>
      </c>
      <c r="H2023" t="str">
        <f>"2002222332986"</f>
        <v>2002222332986</v>
      </c>
      <c r="I2023" t="str">
        <f>HYPERLINK("#", "https://opac.libnet.pref.okayama.jp/licsxp-opac/WOpacMsgNewListToTifTilDetailAction.do?tilcod=2002222332986")</f>
        <v>https://opac.libnet.pref.okayama.jp/licsxp-opac/WOpacMsgNewListToTifTilDetailAction.do?tilcod=2002222332986</v>
      </c>
    </row>
    <row r="2024" spans="1:9" x14ac:dyDescent="0.4">
      <c r="A2024" t="str">
        <f>"郷土館案内"</f>
        <v>郷土館案内</v>
      </c>
      <c r="B2024" s="1" t="str">
        <f t="shared" si="114"/>
        <v>郷土館案内</v>
      </c>
      <c r="C2024" t="str">
        <f>"キョウドカン　アンナイ"</f>
        <v>キョウドカン　アンナイ</v>
      </c>
      <c r="D2024" t="str">
        <f>"津山郷土館"</f>
        <v>津山郷土館</v>
      </c>
      <c r="E2024" t="str">
        <f>"ツヤマ キョウドカン"</f>
        <v>ツヤマ キョウドカン</v>
      </c>
      <c r="F2024" t="str">
        <f>"津山"</f>
        <v>津山</v>
      </c>
      <c r="G2024" t="str">
        <f>"頻度不明"</f>
        <v>頻度不明</v>
      </c>
      <c r="H2024" t="str">
        <f>"2002222289791"</f>
        <v>2002222289791</v>
      </c>
      <c r="I2024" t="str">
        <f>HYPERLINK("#", "https://opac.libnet.pref.okayama.jp/licsxp-opac/WOpacMsgNewListToTifTilDetailAction.do?tilcod=2002222289791")</f>
        <v>https://opac.libnet.pref.okayama.jp/licsxp-opac/WOpacMsgNewListToTifTilDetailAction.do?tilcod=2002222289791</v>
      </c>
    </row>
    <row r="2025" spans="1:9" x14ac:dyDescent="0.4">
      <c r="A2025" t="str">
        <f>"郷土誌　三石城"</f>
        <v>郷土誌　三石城</v>
      </c>
      <c r="B2025" s="1" t="str">
        <f t="shared" si="114"/>
        <v>郷土誌　三石城</v>
      </c>
      <c r="C2025" t="str">
        <f>"キョウドシ　ミツイシ　ジョウ"</f>
        <v>キョウドシ　ミツイシ　ジョウ</v>
      </c>
      <c r="D2025" t="str">
        <f>"Ｍプロジェクト協議会"</f>
        <v>Ｍプロジェクト協議会</v>
      </c>
      <c r="E2025" t="str">
        <f>"エムプロジェクトキョウギカイ"</f>
        <v>エムプロジェクトキョウギカイ</v>
      </c>
      <c r="F2025" t="str">
        <f>"備前"</f>
        <v>備前</v>
      </c>
      <c r="G2025" t="str">
        <f>"季刊"</f>
        <v>季刊</v>
      </c>
      <c r="H2025" t="str">
        <f>"2002222292971"</f>
        <v>2002222292971</v>
      </c>
      <c r="I2025" t="str">
        <f>HYPERLINK("#", "https://opac.libnet.pref.okayama.jp/licsxp-opac/WOpacMsgNewListToTifTilDetailAction.do?tilcod=2002222292971")</f>
        <v>https://opac.libnet.pref.okayama.jp/licsxp-opac/WOpacMsgNewListToTifTilDetailAction.do?tilcod=2002222292971</v>
      </c>
    </row>
    <row r="2026" spans="1:9" x14ac:dyDescent="0.4">
      <c r="A2026" t="str">
        <f>"郷土史学"</f>
        <v>郷土史学</v>
      </c>
      <c r="B2026" s="1" t="str">
        <f t="shared" si="114"/>
        <v>郷土史学</v>
      </c>
      <c r="C2026" t="str">
        <f>"キョウドシガク"</f>
        <v>キョウドシガク</v>
      </c>
      <c r="D2026" t="str">
        <f>"岡山県郷土史学会"</f>
        <v>岡山県郷土史学会</v>
      </c>
      <c r="E2026" t="str">
        <f>"オカヤマケン キョウドシ ガッカイ"</f>
        <v>オカヤマケン キョウドシ ガッカイ</v>
      </c>
      <c r="F2026" t="str">
        <f>""</f>
        <v/>
      </c>
      <c r="G2026" t="str">
        <f>"頻度不明"</f>
        <v>頻度不明</v>
      </c>
      <c r="H2026" t="str">
        <f>"2002222289821"</f>
        <v>2002222289821</v>
      </c>
      <c r="I2026" t="str">
        <f>HYPERLINK("#", "https://opac.libnet.pref.okayama.jp/licsxp-opac/WOpacMsgNewListToTifTilDetailAction.do?tilcod=2002222289821")</f>
        <v>https://opac.libnet.pref.okayama.jp/licsxp-opac/WOpacMsgNewListToTifTilDetailAction.do?tilcod=2002222289821</v>
      </c>
    </row>
    <row r="2027" spans="1:9" x14ac:dyDescent="0.4">
      <c r="A2027" t="str">
        <f>"業務時報"</f>
        <v>業務時報</v>
      </c>
      <c r="B2027" s="1" t="str">
        <f t="shared" si="114"/>
        <v>業務時報</v>
      </c>
      <c r="C2027" t="str">
        <f>"ギョウム　ジホウ"</f>
        <v>ギョウム　ジホウ</v>
      </c>
      <c r="D2027" t="str">
        <f>"中国銀行"</f>
        <v>中国銀行</v>
      </c>
      <c r="E2027" t="str">
        <f>"チュウゴクギンコウ"</f>
        <v>チュウゴクギンコウ</v>
      </c>
      <c r="F2027" t="str">
        <f>""</f>
        <v/>
      </c>
      <c r="G2027" t="str">
        <f>"頻度不明"</f>
        <v>頻度不明</v>
      </c>
      <c r="H2027" t="str">
        <f>"2002222289831"</f>
        <v>2002222289831</v>
      </c>
      <c r="I2027" t="str">
        <f>HYPERLINK("#", "https://opac.libnet.pref.okayama.jp/licsxp-opac/WOpacMsgNewListToTifTilDetailAction.do?tilcod=2002222289831")</f>
        <v>https://opac.libnet.pref.okayama.jp/licsxp-opac/WOpacMsgNewListToTifTilDetailAction.do?tilcod=2002222289831</v>
      </c>
    </row>
    <row r="2028" spans="1:9" x14ac:dyDescent="0.4">
      <c r="A2028" t="str">
        <f>"協明"</f>
        <v>協明</v>
      </c>
      <c r="B2028" s="1" t="str">
        <f t="shared" si="114"/>
        <v>協明</v>
      </c>
      <c r="C2028" t="str">
        <f>"キョウメイ"</f>
        <v>キョウメイ</v>
      </c>
      <c r="D2028" t="str">
        <f>"岡山県師範学校専攻科協明会"</f>
        <v>岡山県師範学校専攻科協明会</v>
      </c>
      <c r="E2028" t="str">
        <f>"オカヤマケンシハンガッコウセンコウカキョウメイカイ"</f>
        <v>オカヤマケンシハンガッコウセンコウカキョウメイカイ</v>
      </c>
      <c r="F2028" t="str">
        <f>""</f>
        <v/>
      </c>
      <c r="G2028" t="str">
        <f>"頻度不明"</f>
        <v>頻度不明</v>
      </c>
      <c r="H2028" t="str">
        <f>"2002222289841"</f>
        <v>2002222289841</v>
      </c>
      <c r="I2028" t="str">
        <f>HYPERLINK("#", "https://opac.libnet.pref.okayama.jp/licsxp-opac/WOpacMsgNewListToTifTilDetailAction.do?tilcod=2002222289841")</f>
        <v>https://opac.libnet.pref.okayama.jp/licsxp-opac/WOpacMsgNewListToTifTilDetailAction.do?tilcod=2002222289841</v>
      </c>
    </row>
    <row r="2029" spans="1:9" x14ac:dyDescent="0.4">
      <c r="A2029" t="str">
        <f>"京山ESD；地域の絆プロジェクトだより"</f>
        <v>京山ESD；地域の絆プロジェクトだより</v>
      </c>
      <c r="B2029" s="1" t="str">
        <f t="shared" si="114"/>
        <v>京山ESD；地域の絆プロジェクトだより</v>
      </c>
      <c r="C2029" t="str">
        <f>"キョウヤマ イー エス ディー＊チイキノ キズナ プロジェクト ダヨリ"</f>
        <v>キョウヤマ イー エス ディー＊チイキノ キズナ プロジェクト ダヨリ</v>
      </c>
      <c r="D2029" t="str">
        <f>"岡山市京山地区ESD・SDGs推進協議会"</f>
        <v>岡山市京山地区ESD・SDGs推進協議会</v>
      </c>
      <c r="E2029" t="str">
        <f>"オカヤマシ キョウヤマ チク イー エス ディー エス ディー ジーズ  スイシン キョウギカイ"</f>
        <v>オカヤマシ キョウヤマ チク イー エス ディー エス ディー ジーズ  スイシン キョウギカイ</v>
      </c>
      <c r="F2029" t="str">
        <f>"岡山"</f>
        <v>岡山</v>
      </c>
      <c r="G2029" t="str">
        <f>"季刊"</f>
        <v>季刊</v>
      </c>
      <c r="H2029" t="str">
        <f>"2002222341386"</f>
        <v>2002222341386</v>
      </c>
      <c r="I2029" t="str">
        <f>HYPERLINK("#", "https://opac.libnet.pref.okayama.jp/licsxp-opac/WOpacMsgNewListToTifTilDetailAction.do?tilcod=2002222341386")</f>
        <v>https://opac.libnet.pref.okayama.jp/licsxp-opac/WOpacMsgNewListToTifTilDetailAction.do?tilcod=2002222341386</v>
      </c>
    </row>
    <row r="2030" spans="1:9" x14ac:dyDescent="0.4">
      <c r="A2030" t="str">
        <f>"京山公民館だより"</f>
        <v>京山公民館だより</v>
      </c>
      <c r="B2030" s="1" t="str">
        <f t="shared" si="114"/>
        <v>京山公民館だより</v>
      </c>
      <c r="C2030" t="str">
        <f>"キョウヤマ コウミンカン ダヨリ"</f>
        <v>キョウヤマ コウミンカン ダヨリ</v>
      </c>
      <c r="D2030" t="str">
        <f>"岡山市立京山公民館"</f>
        <v>岡山市立京山公民館</v>
      </c>
      <c r="E2030" t="str">
        <f>"オカヤマシリツ キョウヤマ コウミンカン"</f>
        <v>オカヤマシリツ キョウヤマ コウミンカン</v>
      </c>
      <c r="F2030" t="str">
        <f>"岡山"</f>
        <v>岡山</v>
      </c>
      <c r="G2030" t="str">
        <f>"隔月刊"</f>
        <v>隔月刊</v>
      </c>
      <c r="H2030" t="str">
        <f>"2002222341387"</f>
        <v>2002222341387</v>
      </c>
      <c r="I2030" t="str">
        <f>HYPERLINK("#", "https://opac.libnet.pref.okayama.jp/licsxp-opac/WOpacMsgNewListToTifTilDetailAction.do?tilcod=2002222341387")</f>
        <v>https://opac.libnet.pref.okayama.jp/licsxp-opac/WOpacMsgNewListToTifTilDetailAction.do?tilcod=2002222341387</v>
      </c>
    </row>
    <row r="2031" spans="1:9" x14ac:dyDescent="0.4">
      <c r="A2031" t="str">
        <f>"共和国"</f>
        <v>共和国</v>
      </c>
      <c r="B2031" s="1" t="str">
        <f t="shared" si="114"/>
        <v>共和国</v>
      </c>
      <c r="C2031" t="str">
        <f>"キョウワコク"</f>
        <v>キョウワコク</v>
      </c>
      <c r="D2031" t="str">
        <f>"思潮社"</f>
        <v>思潮社</v>
      </c>
      <c r="E2031" t="str">
        <f>"シチョウシャ"</f>
        <v>シチョウシャ</v>
      </c>
      <c r="F2031" t="str">
        <f>""</f>
        <v/>
      </c>
      <c r="G2031" t="str">
        <f>"頻度不明"</f>
        <v>頻度不明</v>
      </c>
      <c r="H2031" t="str">
        <f>"2002222289851"</f>
        <v>2002222289851</v>
      </c>
      <c r="I2031" t="str">
        <f>HYPERLINK("#", "https://opac.libnet.pref.okayama.jp/licsxp-opac/WOpacMsgNewListToTifTilDetailAction.do?tilcod=2002222289851")</f>
        <v>https://opac.libnet.pref.okayama.jp/licsxp-opac/WOpacMsgNewListToTifTilDetailAction.do?tilcod=2002222289851</v>
      </c>
    </row>
    <row r="2032" spans="1:9" x14ac:dyDescent="0.4">
      <c r="A2032" t="str">
        <f>"旭水；岡山市中等学校文学同好会雑誌"</f>
        <v>旭水；岡山市中等学校文学同好会雑誌</v>
      </c>
      <c r="B2032" s="1" t="str">
        <f t="shared" si="114"/>
        <v>旭水；岡山市中等学校文学同好会雑誌</v>
      </c>
      <c r="C2032" t="str">
        <f>"キョクスイ＊オカヤマシ　チュウトウガッコウ　ブンガク　ドウコウカイ　ザッシ"</f>
        <v>キョクスイ＊オカヤマシ　チュウトウガッコウ　ブンガク　ドウコウカイ　ザッシ</v>
      </c>
      <c r="D2032" t="str">
        <f>"旭水会本部"</f>
        <v>旭水会本部</v>
      </c>
      <c r="E2032" t="str">
        <f>"キョクスイカイホンブ"</f>
        <v>キョクスイカイホンブ</v>
      </c>
      <c r="F2032" t="str">
        <f>""</f>
        <v/>
      </c>
      <c r="G2032" t="str">
        <f>"頻度不明"</f>
        <v>頻度不明</v>
      </c>
      <c r="H2032" t="str">
        <f>"2002222289861"</f>
        <v>2002222289861</v>
      </c>
      <c r="I2032" t="str">
        <f>HYPERLINK("#", "https://opac.libnet.pref.okayama.jp/licsxp-opac/WOpacMsgNewListToTifTilDetailAction.do?tilcod=2002222289861")</f>
        <v>https://opac.libnet.pref.okayama.jp/licsxp-opac/WOpacMsgNewListToTifTilDetailAction.do?tilcod=2002222289861</v>
      </c>
    </row>
    <row r="2033" spans="1:9" x14ac:dyDescent="0.4">
      <c r="A2033" t="str">
        <f>"旭川（きょくせん）"</f>
        <v>旭川（きょくせん）</v>
      </c>
      <c r="B2033" s="1" t="str">
        <f t="shared" si="114"/>
        <v>旭川（きょくせん）</v>
      </c>
      <c r="C2033" t="str">
        <f>"キョクセン"</f>
        <v>キョクセン</v>
      </c>
      <c r="D2033" t="str">
        <f>"旭川発行所"</f>
        <v>旭川発行所</v>
      </c>
      <c r="E2033" t="str">
        <f>"キョクセンハッコウショ"</f>
        <v>キョクセンハッコウショ</v>
      </c>
      <c r="F2033" t="str">
        <f>"井原"</f>
        <v>井原</v>
      </c>
      <c r="G2033" t="str">
        <f>"月刊"</f>
        <v>月刊</v>
      </c>
      <c r="H2033" t="str">
        <f>"2002222291281"</f>
        <v>2002222291281</v>
      </c>
      <c r="I2033" t="str">
        <f>HYPERLINK("#", "https://opac.libnet.pref.okayama.jp/licsxp-opac/WOpacMsgNewListToTifTilDetailAction.do?tilcod=2002222291281")</f>
        <v>https://opac.libnet.pref.okayama.jp/licsxp-opac/WOpacMsgNewListToTifTilDetailAction.do?tilcod=2002222291281</v>
      </c>
    </row>
    <row r="2034" spans="1:9" x14ac:dyDescent="0.4">
      <c r="A2034" t="str">
        <f>"旭仙；俳誌"</f>
        <v>旭仙；俳誌</v>
      </c>
      <c r="B2034" s="1" t="str">
        <f t="shared" si="114"/>
        <v>旭仙；俳誌</v>
      </c>
      <c r="C2034" t="str">
        <f>"キョクセン＊ハイシ"</f>
        <v>キョクセン＊ハイシ</v>
      </c>
      <c r="D2034" t="str">
        <f>"勝山茶談正社"</f>
        <v>勝山茶談正社</v>
      </c>
      <c r="E2034" t="str">
        <f>"カツヤマサダンショウシャ"</f>
        <v>カツヤマサダンショウシャ</v>
      </c>
      <c r="F2034" t="str">
        <f>""</f>
        <v/>
      </c>
      <c r="G2034" t="str">
        <f>"頻度不明"</f>
        <v>頻度不明</v>
      </c>
      <c r="H2034" t="str">
        <f>"2002222289871"</f>
        <v>2002222289871</v>
      </c>
      <c r="I2034" t="str">
        <f>HYPERLINK("#", "https://opac.libnet.pref.okayama.jp/licsxp-opac/WOpacMsgNewListToTifTilDetailAction.do?tilcod=2002222289871")</f>
        <v>https://opac.libnet.pref.okayama.jp/licsxp-opac/WOpacMsgNewListToTifTilDetailAction.do?tilcod=2002222289871</v>
      </c>
    </row>
    <row r="2035" spans="1:9" x14ac:dyDescent="0.4">
      <c r="A2035" t="str">
        <f>"極東新聞"</f>
        <v>極東新聞</v>
      </c>
      <c r="B2035" s="1" t="str">
        <f t="shared" si="114"/>
        <v>極東新聞</v>
      </c>
      <c r="C2035" t="str">
        <f>"キョクトウ　シンブン"</f>
        <v>キョクトウ　シンブン</v>
      </c>
      <c r="D2035" t="str">
        <f>"極東新聞社"</f>
        <v>極東新聞社</v>
      </c>
      <c r="E2035" t="str">
        <f>"キョクトウシンブンシャ"</f>
        <v>キョクトウシンブンシャ</v>
      </c>
      <c r="F2035" t="str">
        <f>"山陽町（赤磐郡）"</f>
        <v>山陽町（赤磐郡）</v>
      </c>
      <c r="G2035" t="str">
        <f>"その他"</f>
        <v>その他</v>
      </c>
      <c r="H2035" t="str">
        <f>"2002222300994"</f>
        <v>2002222300994</v>
      </c>
      <c r="I2035" t="str">
        <f>HYPERLINK("#", "https://opac.libnet.pref.okayama.jp/licsxp-opac/WOpacMsgNewListToTifTilDetailAction.do?tilcod=2002222300994")</f>
        <v>https://opac.libnet.pref.okayama.jp/licsxp-opac/WOpacMsgNewListToTifTilDetailAction.do?tilcod=2002222300994</v>
      </c>
    </row>
    <row r="2036" spans="1:9" x14ac:dyDescent="0.4">
      <c r="A2036" t="str">
        <f>"極東新聞特報"</f>
        <v>極東新聞特報</v>
      </c>
      <c r="B2036" s="1" t="str">
        <f t="shared" si="114"/>
        <v>極東新聞特報</v>
      </c>
      <c r="C2036" t="str">
        <f>"キョクトウ　シンブン　トクホウ"</f>
        <v>キョクトウ　シンブン　トクホウ</v>
      </c>
      <c r="D2036" t="str">
        <f>"極東新聞社"</f>
        <v>極東新聞社</v>
      </c>
      <c r="E2036" t="str">
        <f>"キョクトウシンブンシャ"</f>
        <v>キョクトウシンブンシャ</v>
      </c>
      <c r="F2036" t="str">
        <f>"山陽町（赤磐郡）"</f>
        <v>山陽町（赤磐郡）</v>
      </c>
      <c r="G2036" t="str">
        <f>"頻度不明"</f>
        <v>頻度不明</v>
      </c>
      <c r="H2036" t="str">
        <f>"2002222300995"</f>
        <v>2002222300995</v>
      </c>
      <c r="I2036" t="str">
        <f>HYPERLINK("#", "https://opac.libnet.pref.okayama.jp/licsxp-opac/WOpacMsgNewListToTifTilDetailAction.do?tilcod=2002222300995")</f>
        <v>https://opac.libnet.pref.okayama.jp/licsxp-opac/WOpacMsgNewListToTifTilDetailAction.do?tilcod=2002222300995</v>
      </c>
    </row>
    <row r="2037" spans="1:9" x14ac:dyDescent="0.4">
      <c r="A2037" t="str">
        <f>"[旭東中学校同窓会]会誌"</f>
        <v>[旭東中学校同窓会]会誌</v>
      </c>
      <c r="B2037" s="1" t="str">
        <f t="shared" si="114"/>
        <v>[旭東中学校同窓会]会誌</v>
      </c>
      <c r="C2037" t="str">
        <f>"キョクトウ チュウガッコウ ドウソウカイ カイシ"</f>
        <v>キョクトウ チュウガッコウ ドウソウカイ カイシ</v>
      </c>
      <c r="D2037" t="str">
        <f>"旭東中学校同窓会"</f>
        <v>旭東中学校同窓会</v>
      </c>
      <c r="E2037" t="str">
        <f>"キョクトウ チュウガッコウ ドウソウカイ"</f>
        <v>キョクトウ チュウガッコウ ドウソウカイ</v>
      </c>
      <c r="F2037" t="str">
        <f>"岡山"</f>
        <v>岡山</v>
      </c>
      <c r="G2037" t="str">
        <f>"頻度不明"</f>
        <v>頻度不明</v>
      </c>
      <c r="H2037" t="str">
        <f>"2002222306703"</f>
        <v>2002222306703</v>
      </c>
      <c r="I2037" t="str">
        <f>HYPERLINK("#", "https://opac.libnet.pref.okayama.jp/licsxp-opac/WOpacMsgNewListToTifTilDetailAction.do?tilcod=2002222306703")</f>
        <v>https://opac.libnet.pref.okayama.jp/licsxp-opac/WOpacMsgNewListToTifTilDetailAction.do?tilcod=2002222306703</v>
      </c>
    </row>
    <row r="2038" spans="1:9" x14ac:dyDescent="0.4">
      <c r="A2038" t="str">
        <f>"旭東民報"</f>
        <v>旭東民報</v>
      </c>
      <c r="B2038" s="1" t="str">
        <f t="shared" si="114"/>
        <v>旭東民報</v>
      </c>
      <c r="C2038" t="str">
        <f>"キョクトウ　ミンポウ"</f>
        <v>キョクトウ　ミンポウ</v>
      </c>
      <c r="D2038" t="str">
        <f>"旭東民報社"</f>
        <v>旭東民報社</v>
      </c>
      <c r="E2038" t="str">
        <f>"キョクトウミンポウシャ"</f>
        <v>キョクトウミンポウシャ</v>
      </c>
      <c r="F2038" t="str">
        <f>"岡山"</f>
        <v>岡山</v>
      </c>
      <c r="G2038" t="str">
        <f>"旬刊"</f>
        <v>旬刊</v>
      </c>
      <c r="H2038" t="str">
        <f>"2002222300864"</f>
        <v>2002222300864</v>
      </c>
      <c r="I2038" t="str">
        <f>HYPERLINK("#", "https://opac.libnet.pref.okayama.jp/licsxp-opac/WOpacMsgNewListToTifTilDetailAction.do?tilcod=2002222300864")</f>
        <v>https://opac.libnet.pref.okayama.jp/licsxp-opac/WOpacMsgNewListToTifTilDetailAction.do?tilcod=2002222300864</v>
      </c>
    </row>
    <row r="2039" spans="1:9" x14ac:dyDescent="0.4">
      <c r="A2039" t="str">
        <f>"KIYOKO NEWS"</f>
        <v>KIYOKO NEWS</v>
      </c>
      <c r="B2039" s="1" t="str">
        <f t="shared" si="114"/>
        <v>KIYOKO NEWS</v>
      </c>
      <c r="C2039" t="str">
        <f>"キヨコ ニュース"</f>
        <v>キヨコ ニュース</v>
      </c>
      <c r="D2039" t="str">
        <f>"永瀬清子生家保存会"</f>
        <v>永瀬清子生家保存会</v>
      </c>
      <c r="E2039" t="str">
        <f>"ナガセ キヨコ セイカ ホゾンカイ"</f>
        <v>ナガセ キヨコ セイカ ホゾンカイ</v>
      </c>
      <c r="F2039" t="str">
        <f>"赤磐"</f>
        <v>赤磐</v>
      </c>
      <c r="G2039" t="str">
        <f>"月刊"</f>
        <v>月刊</v>
      </c>
      <c r="H2039" t="str">
        <f>"2002222343050"</f>
        <v>2002222343050</v>
      </c>
      <c r="I2039" t="str">
        <f>HYPERLINK("#", "https://opac.libnet.pref.okayama.jp/licsxp-opac/WOpacMsgNewListToTifTilDetailAction.do?tilcod=2002222343050")</f>
        <v>https://opac.libnet.pref.okayama.jp/licsxp-opac/WOpacMsgNewListToTifTilDetailAction.do?tilcod=2002222343050</v>
      </c>
    </row>
    <row r="2040" spans="1:9" x14ac:dyDescent="0.4">
      <c r="A2040" t="str">
        <f>"虚舟"</f>
        <v>虚舟</v>
      </c>
      <c r="B2040" s="1" t="str">
        <f t="shared" si="114"/>
        <v>虚舟</v>
      </c>
      <c r="C2040" t="str">
        <f>"キョシュウ"</f>
        <v>キョシュウ</v>
      </c>
      <c r="D2040" t="str">
        <f>"岡山県師範学校専攻科"</f>
        <v>岡山県師範学校専攻科</v>
      </c>
      <c r="E2040" t="str">
        <f>"オカヤマケン シハン ガッコウ"</f>
        <v>オカヤマケン シハン ガッコウ</v>
      </c>
      <c r="F2040" t="str">
        <f>"岡山"</f>
        <v>岡山</v>
      </c>
      <c r="G2040" t="str">
        <f>"頻度不明"</f>
        <v>頻度不明</v>
      </c>
      <c r="H2040" t="str">
        <f>"2002222341090"</f>
        <v>2002222341090</v>
      </c>
      <c r="I2040" t="str">
        <f>HYPERLINK("#", "https://opac.libnet.pref.okayama.jp/licsxp-opac/WOpacMsgNewListToTifTilDetailAction.do?tilcod=2002222341090")</f>
        <v>https://opac.libnet.pref.okayama.jp/licsxp-opac/WOpacMsgNewListToTifTilDetailAction.do?tilcod=2002222341090</v>
      </c>
    </row>
    <row r="2041" spans="1:9" x14ac:dyDescent="0.4">
      <c r="A2041" t="str">
        <f>"旭光"</f>
        <v>旭光</v>
      </c>
      <c r="B2041" s="1" t="str">
        <f t="shared" si="114"/>
        <v>旭光</v>
      </c>
      <c r="C2041" t="str">
        <f>"キョッコウ"</f>
        <v>キョッコウ</v>
      </c>
      <c r="D2041" t="str">
        <f>"昭徳会岡山支部文化部"</f>
        <v>昭徳会岡山支部文化部</v>
      </c>
      <c r="E2041" t="str">
        <f>"ショウトクカイ オカヤマシブ ブンカブ"</f>
        <v>ショウトクカイ オカヤマシブ ブンカブ</v>
      </c>
      <c r="F2041" t="str">
        <f>"岡山"</f>
        <v>岡山</v>
      </c>
      <c r="G2041" t="str">
        <f>"頻度不明"</f>
        <v>頻度不明</v>
      </c>
      <c r="H2041" t="str">
        <f>"2002222307208"</f>
        <v>2002222307208</v>
      </c>
      <c r="I2041" t="str">
        <f>HYPERLINK("#", "https://opac.libnet.pref.okayama.jp/licsxp-opac/WOpacMsgNewListToTifTilDetailAction.do?tilcod=2002222307208")</f>
        <v>https://opac.libnet.pref.okayama.jp/licsxp-opac/WOpacMsgNewListToTifTilDetailAction.do?tilcod=2002222307208</v>
      </c>
    </row>
    <row r="2042" spans="1:9" x14ac:dyDescent="0.4">
      <c r="A2042" t="str">
        <f>"きらめきのＩＫＡＳＡＪＩ通信（きらめきのイカサジ通信）"</f>
        <v>きらめきのＩＫＡＳＡＪＩ通信（きらめきのイカサジ通信）</v>
      </c>
      <c r="B2042" s="1" t="str">
        <f t="shared" si="114"/>
        <v>きらめきのＩＫＡＳＡＪＩ通信（きらめきのイカサジ通信）</v>
      </c>
      <c r="C2042" t="str">
        <f>"キラメキ　ノ　イカサジ　ツウシン"</f>
        <v>キラメキ　ノ　イカサジ　ツウシン</v>
      </c>
      <c r="D2042" t="str">
        <f>"井笠広域観光協会"</f>
        <v>井笠広域観光協会</v>
      </c>
      <c r="E2042" t="str">
        <f>"イカサ コウイキ カンコウ キョウカイ"</f>
        <v>イカサ コウイキ カンコウ キョウカイ</v>
      </c>
      <c r="F2042" t="str">
        <f>"笠岡"</f>
        <v>笠岡</v>
      </c>
      <c r="G2042" t="str">
        <f>"季刊"</f>
        <v>季刊</v>
      </c>
      <c r="H2042" t="str">
        <f>"2002222301692"</f>
        <v>2002222301692</v>
      </c>
      <c r="I2042" t="str">
        <f>HYPERLINK("#", "https://opac.libnet.pref.okayama.jp/licsxp-opac/WOpacMsgNewListToTifTilDetailAction.do?tilcod=2002222301692")</f>
        <v>https://opac.libnet.pref.okayama.jp/licsxp-opac/WOpacMsgNewListToTifTilDetailAction.do?tilcod=2002222301692</v>
      </c>
    </row>
    <row r="2043" spans="1:9" x14ac:dyDescent="0.4">
      <c r="A2043" t="str">
        <f>"きらり輝くシニアくらしき；倉敷市老連会報"</f>
        <v>きらり輝くシニアくらしき；倉敷市老連会報</v>
      </c>
      <c r="B2043" s="1" t="str">
        <f t="shared" si="114"/>
        <v>きらり輝くシニアくらしき；倉敷市老連会報</v>
      </c>
      <c r="C2043" t="str">
        <f>"キラリ カガヤク シニア クラシキ＊クラシキシ ロウレン カイホウ"</f>
        <v>キラリ カガヤク シニア クラシキ＊クラシキシ ロウレン カイホウ</v>
      </c>
      <c r="D2043" t="str">
        <f>"倉敷市老人クラブ連合会"</f>
        <v>倉敷市老人クラブ連合会</v>
      </c>
      <c r="E2043" t="str">
        <f>"クラシキシ ロウジン クラブ レンゴウカイ"</f>
        <v>クラシキシ ロウジン クラブ レンゴウカイ</v>
      </c>
      <c r="F2043" t="str">
        <f>"倉敷"</f>
        <v>倉敷</v>
      </c>
      <c r="G2043" t="str">
        <f>"年２回刊"</f>
        <v>年２回刊</v>
      </c>
      <c r="H2043" t="str">
        <f>"2002222334752"</f>
        <v>2002222334752</v>
      </c>
      <c r="I2043" t="str">
        <f>HYPERLINK("#", "https://opac.libnet.pref.okayama.jp/licsxp-opac/WOpacMsgNewListToTifTilDetailAction.do?tilcod=2002222334752")</f>
        <v>https://opac.libnet.pref.okayama.jp/licsxp-opac/WOpacMsgNewListToTifTilDetailAction.do?tilcod=2002222334752</v>
      </c>
    </row>
    <row r="2044" spans="1:9" x14ac:dyDescent="0.4">
      <c r="A2044" t="str">
        <f>"きりうみ"</f>
        <v>きりうみ</v>
      </c>
      <c r="B2044" s="1" t="str">
        <f t="shared" si="114"/>
        <v>きりうみ</v>
      </c>
      <c r="C2044" t="str">
        <f>"キリウミ"</f>
        <v>キリウミ</v>
      </c>
      <c r="D2044" t="str">
        <f>"高山小学校親子読書部"</f>
        <v>高山小学校親子読書部</v>
      </c>
      <c r="E2044" t="str">
        <f>"コウヤマショウガッコウオヤコドクショブ"</f>
        <v>コウヤマショウガッコウオヤコドクショブ</v>
      </c>
      <c r="F2044" t="str">
        <f>""</f>
        <v/>
      </c>
      <c r="G2044" t="str">
        <f t="shared" ref="G2044:G2058" si="117">"頻度不明"</f>
        <v>頻度不明</v>
      </c>
      <c r="H2044" t="str">
        <f>"2002222289881"</f>
        <v>2002222289881</v>
      </c>
      <c r="I2044" t="str">
        <f>HYPERLINK("#", "https://opac.libnet.pref.okayama.jp/licsxp-opac/WOpacMsgNewListToTifTilDetailAction.do?tilcod=2002222289881")</f>
        <v>https://opac.libnet.pref.okayama.jp/licsxp-opac/WOpacMsgNewListToTifTilDetailAction.do?tilcod=2002222289881</v>
      </c>
    </row>
    <row r="2045" spans="1:9" x14ac:dyDescent="0.4">
      <c r="A2045" t="str">
        <f>"きわみ"</f>
        <v>きわみ</v>
      </c>
      <c r="B2045" s="1" t="str">
        <f t="shared" si="114"/>
        <v>きわみ</v>
      </c>
      <c r="C2045" t="str">
        <f>"キワミ"</f>
        <v>キワミ</v>
      </c>
      <c r="D2045" t="str">
        <f>"岡山済生会総合病院"</f>
        <v>岡山済生会総合病院</v>
      </c>
      <c r="E2045" t="str">
        <f>"オカヤマ サイセイカイ ソウゴウ ビョウイン"</f>
        <v>オカヤマ サイセイカイ ソウゴウ ビョウイン</v>
      </c>
      <c r="F2045" t="str">
        <f>"岡山"</f>
        <v>岡山</v>
      </c>
      <c r="G2045" t="str">
        <f t="shared" si="117"/>
        <v>頻度不明</v>
      </c>
      <c r="H2045" t="str">
        <f>"2002222320489"</f>
        <v>2002222320489</v>
      </c>
      <c r="I2045" t="str">
        <f>HYPERLINK("#", "https://opac.libnet.pref.okayama.jp/licsxp-opac/WOpacMsgNewListToTifTilDetailAction.do?tilcod=2002222320489")</f>
        <v>https://opac.libnet.pref.okayama.jp/licsxp-opac/WOpacMsgNewListToTifTilDetailAction.do?tilcod=2002222320489</v>
      </c>
    </row>
    <row r="2046" spans="1:9" x14ac:dyDescent="0.4">
      <c r="A2046" t="str">
        <f>"銀河からの子豚の伝言"</f>
        <v>銀河からの子豚の伝言</v>
      </c>
      <c r="B2046" s="1" t="str">
        <f t="shared" si="114"/>
        <v>銀河からの子豚の伝言</v>
      </c>
      <c r="C2046" t="str">
        <f>"ギンガ　カラ　ノ　コブタ　ノ　デンゴン"</f>
        <v>ギンガ　カラ　ノ　コブタ　ノ　デンゴン</v>
      </c>
      <c r="D2046" t="str">
        <f>"出版社ガラガラ"</f>
        <v>出版社ガラガラ</v>
      </c>
      <c r="E2046" t="str">
        <f>"シュッパンシャガラガラ"</f>
        <v>シュッパンシャガラガラ</v>
      </c>
      <c r="F2046" t="str">
        <f>""</f>
        <v/>
      </c>
      <c r="G2046" t="str">
        <f t="shared" si="117"/>
        <v>頻度不明</v>
      </c>
      <c r="H2046" t="str">
        <f>"2002222289891"</f>
        <v>2002222289891</v>
      </c>
      <c r="I2046" t="str">
        <f>HYPERLINK("#", "https://opac.libnet.pref.okayama.jp/licsxp-opac/WOpacMsgNewListToTifTilDetailAction.do?tilcod=2002222289891")</f>
        <v>https://opac.libnet.pref.okayama.jp/licsxp-opac/WOpacMsgNewListToTifTilDetailAction.do?tilcod=2002222289891</v>
      </c>
    </row>
    <row r="2047" spans="1:9" x14ac:dyDescent="0.4">
      <c r="A2047" t="str">
        <f>"吟香会報"</f>
        <v>吟香会報</v>
      </c>
      <c r="B2047" s="1" t="str">
        <f t="shared" si="114"/>
        <v>吟香会報</v>
      </c>
      <c r="C2047" t="str">
        <f>"ギンコウ カイホウ"</f>
        <v>ギンコウ カイホウ</v>
      </c>
      <c r="D2047" t="str">
        <f>"岸田吟香を語り継ぐ会"</f>
        <v>岸田吟香を語り継ぐ会</v>
      </c>
      <c r="E2047" t="str">
        <f>"キシダ ギンコウ オ カタリツグ カイ"</f>
        <v>キシダ ギンコウ オ カタリツグ カイ</v>
      </c>
      <c r="F2047" t="str">
        <f>"美咲町（久米郡）"</f>
        <v>美咲町（久米郡）</v>
      </c>
      <c r="G2047" t="str">
        <f t="shared" si="117"/>
        <v>頻度不明</v>
      </c>
      <c r="H2047" t="str">
        <f>"2002222344212"</f>
        <v>2002222344212</v>
      </c>
      <c r="I2047" t="str">
        <f>HYPERLINK("#", "https://opac.libnet.pref.okayama.jp/licsxp-opac/WOpacMsgNewListToTifTilDetailAction.do?tilcod=2002222344212")</f>
        <v>https://opac.libnet.pref.okayama.jp/licsxp-opac/WOpacMsgNewListToTifTilDetailAction.do?tilcod=2002222344212</v>
      </c>
    </row>
    <row r="2048" spans="1:9" x14ac:dyDescent="0.4">
      <c r="A2048" t="str">
        <f>"金字塔"</f>
        <v>金字塔</v>
      </c>
      <c r="B2048" s="1" t="str">
        <f t="shared" si="114"/>
        <v>金字塔</v>
      </c>
      <c r="C2048" t="str">
        <f>"キンジトウ"</f>
        <v>キンジトウ</v>
      </c>
      <c r="D2048" t="str">
        <f>"笠岡市立笠岡西中学校"</f>
        <v>笠岡市立笠岡西中学校</v>
      </c>
      <c r="E2048" t="str">
        <f>"カサオカシリツ カサオカ ニシ チュウガッコウ"</f>
        <v>カサオカシリツ カサオカ ニシ チュウガッコウ</v>
      </c>
      <c r="F2048" t="str">
        <f>"笠岡"</f>
        <v>笠岡</v>
      </c>
      <c r="G2048" t="str">
        <f t="shared" si="117"/>
        <v>頻度不明</v>
      </c>
      <c r="H2048" t="str">
        <f>"2002222328428"</f>
        <v>2002222328428</v>
      </c>
      <c r="I2048" t="str">
        <f>HYPERLINK("#", "https://opac.libnet.pref.okayama.jp/licsxp-opac/WOpacMsgNewListToTifTilDetailAction.do?tilcod=2002222328428")</f>
        <v>https://opac.libnet.pref.okayama.jp/licsxp-opac/WOpacMsgNewListToTifTilDetailAction.do?tilcod=2002222328428</v>
      </c>
    </row>
    <row r="2049" spans="1:9" x14ac:dyDescent="0.4">
      <c r="A2049" t="str">
        <f>"金声申報"</f>
        <v>金声申報</v>
      </c>
      <c r="B2049" s="1" t="str">
        <f t="shared" si="114"/>
        <v>金声申報</v>
      </c>
      <c r="C2049" t="str">
        <f>"キンセイ　シンポウ"</f>
        <v>キンセイ　シンポウ</v>
      </c>
      <c r="D2049" t="str">
        <f>"錦山書屋"</f>
        <v>錦山書屋</v>
      </c>
      <c r="E2049" t="str">
        <f>"キンザンショオク"</f>
        <v>キンザンショオク</v>
      </c>
      <c r="F2049" t="str">
        <f>""</f>
        <v/>
      </c>
      <c r="G2049" t="str">
        <f t="shared" si="117"/>
        <v>頻度不明</v>
      </c>
      <c r="H2049" t="str">
        <f>"2002222289901"</f>
        <v>2002222289901</v>
      </c>
      <c r="I2049" t="str">
        <f>HYPERLINK("#", "https://opac.libnet.pref.okayama.jp/licsxp-opac/WOpacMsgNewListToTifTilDetailAction.do?tilcod=2002222289901")</f>
        <v>https://opac.libnet.pref.okayama.jp/licsxp-opac/WOpacMsgNewListToTifTilDetailAction.do?tilcod=2002222289901</v>
      </c>
    </row>
    <row r="2050" spans="1:9" x14ac:dyDescent="0.4">
      <c r="A2050" t="str">
        <f>"きんちゃいみんちゃいみまさか"</f>
        <v>きんちゃいみんちゃいみまさか</v>
      </c>
      <c r="B2050" s="1" t="str">
        <f t="shared" si="114"/>
        <v>きんちゃいみんちゃいみまさか</v>
      </c>
      <c r="C2050" t="str">
        <f>"キンチャイ　ミンチャイ　ミマサカ"</f>
        <v>キンチャイ　ミンチャイ　ミマサカ</v>
      </c>
      <c r="D2050" t="str">
        <f>"ＨＯＴみまさか編集部"</f>
        <v>ＨＯＴみまさか編集部</v>
      </c>
      <c r="E2050" t="str">
        <f>"ホットミマサカヘンシュウブ"</f>
        <v>ホットミマサカヘンシュウブ</v>
      </c>
      <c r="F2050" t="str">
        <f>""</f>
        <v/>
      </c>
      <c r="G2050" t="str">
        <f t="shared" si="117"/>
        <v>頻度不明</v>
      </c>
      <c r="H2050" t="str">
        <f>"2002222289911"</f>
        <v>2002222289911</v>
      </c>
      <c r="I2050" t="str">
        <f>HYPERLINK("#", "https://opac.libnet.pref.okayama.jp/licsxp-opac/WOpacMsgNewListToTifTilDetailAction.do?tilcod=2002222289911")</f>
        <v>https://opac.libnet.pref.okayama.jp/licsxp-opac/WOpacMsgNewListToTifTilDetailAction.do?tilcod=2002222289911</v>
      </c>
    </row>
    <row r="2051" spans="1:9" x14ac:dyDescent="0.4">
      <c r="A2051" t="str">
        <f>"吟道きび"</f>
        <v>吟道きび</v>
      </c>
      <c r="B2051" s="1" t="str">
        <f t="shared" si="114"/>
        <v>吟道きび</v>
      </c>
      <c r="C2051" t="str">
        <f>"ギンドウ キビ"</f>
        <v>ギンドウ キビ</v>
      </c>
      <c r="D2051" t="str">
        <f>"吟道摂南流吉備吟詠会岡山県本部"</f>
        <v>吟道摂南流吉備吟詠会岡山県本部</v>
      </c>
      <c r="E2051" t="str">
        <f>"ギンドウ セツナンリュウ キビ ギンエイカイ オカヤマケン ホンブ"</f>
        <v>ギンドウ セツナンリュウ キビ ギンエイカイ オカヤマケン ホンブ</v>
      </c>
      <c r="F2051" t="str">
        <f>"岡山"</f>
        <v>岡山</v>
      </c>
      <c r="G2051" t="str">
        <f t="shared" si="117"/>
        <v>頻度不明</v>
      </c>
      <c r="H2051" t="str">
        <f>"2002222336706"</f>
        <v>2002222336706</v>
      </c>
      <c r="I2051" t="str">
        <f>HYPERLINK("#", "https://opac.libnet.pref.okayama.jp/licsxp-opac/WOpacMsgNewListToTifTilDetailAction.do?tilcod=2002222336706")</f>
        <v>https://opac.libnet.pref.okayama.jp/licsxp-opac/WOpacMsgNewListToTifTilDetailAction.do?tilcod=2002222336706</v>
      </c>
    </row>
    <row r="2052" spans="1:9" x14ac:dyDescent="0.4">
      <c r="A2052" t="str">
        <f>"吟諷"</f>
        <v>吟諷</v>
      </c>
      <c r="B2052" s="1" t="str">
        <f t="shared" ref="B2052:B2115" si="118">HYPERLINK("#", A2052)</f>
        <v>吟諷</v>
      </c>
      <c r="C2052" t="str">
        <f>"ギンプウ"</f>
        <v>ギンプウ</v>
      </c>
      <c r="D2052" t="str">
        <f>"岡山大学吟詩部"</f>
        <v>岡山大学吟詩部</v>
      </c>
      <c r="E2052" t="str">
        <f>"オカヤマダイガクギンシブ"</f>
        <v>オカヤマダイガクギンシブ</v>
      </c>
      <c r="F2052" t="str">
        <f>"岡山"</f>
        <v>岡山</v>
      </c>
      <c r="G2052" t="str">
        <f t="shared" si="117"/>
        <v>頻度不明</v>
      </c>
      <c r="H2052" t="str">
        <f>"2002222301367"</f>
        <v>2002222301367</v>
      </c>
      <c r="I2052" t="str">
        <f>HYPERLINK("#", "https://opac.libnet.pref.okayama.jp/licsxp-opac/WOpacMsgNewListToTifTilDetailAction.do?tilcod=2002222301367")</f>
        <v>https://opac.libnet.pref.okayama.jp/licsxp-opac/WOpacMsgNewListToTifTilDetailAction.do?tilcod=2002222301367</v>
      </c>
    </row>
    <row r="2053" spans="1:9" x14ac:dyDescent="0.4">
      <c r="A2053" t="str">
        <f>"金蘭"</f>
        <v>金蘭</v>
      </c>
      <c r="B2053" s="1" t="str">
        <f t="shared" si="118"/>
        <v>金蘭</v>
      </c>
      <c r="C2053" t="str">
        <f>"キンラン"</f>
        <v>キンラン</v>
      </c>
      <c r="D2053" t="str">
        <f>"出射義夫"</f>
        <v>出射義夫</v>
      </c>
      <c r="E2053" t="str">
        <f>"イデイヨシオ"</f>
        <v>イデイヨシオ</v>
      </c>
      <c r="F2053" t="str">
        <f>"大伯村（邑久郡）"</f>
        <v>大伯村（邑久郡）</v>
      </c>
      <c r="G2053" t="str">
        <f t="shared" si="117"/>
        <v>頻度不明</v>
      </c>
      <c r="H2053" t="str">
        <f>"2002222302084"</f>
        <v>2002222302084</v>
      </c>
      <c r="I2053" t="str">
        <f>HYPERLINK("#", "https://opac.libnet.pref.okayama.jp/licsxp-opac/WOpacMsgNewListToTifTilDetailAction.do?tilcod=2002222302084")</f>
        <v>https://opac.libnet.pref.okayama.jp/licsxp-opac/WOpacMsgNewListToTifTilDetailAction.do?tilcod=2002222302084</v>
      </c>
    </row>
    <row r="2054" spans="1:9" x14ac:dyDescent="0.4">
      <c r="A2054" t="str">
        <f>"くきら"</f>
        <v>くきら</v>
      </c>
      <c r="B2054" s="1" t="str">
        <f t="shared" si="118"/>
        <v>くきら</v>
      </c>
      <c r="C2054" t="str">
        <f>"クキラ"</f>
        <v>クキラ</v>
      </c>
      <c r="D2054" t="str">
        <f>"冠句の研究社"</f>
        <v>冠句の研究社</v>
      </c>
      <c r="E2054" t="str">
        <f>"カンクノケンキュウシャ"</f>
        <v>カンクノケンキュウシャ</v>
      </c>
      <c r="F2054" t="str">
        <f>""</f>
        <v/>
      </c>
      <c r="G2054" t="str">
        <f t="shared" si="117"/>
        <v>頻度不明</v>
      </c>
      <c r="H2054" t="str">
        <f>"2002222289921"</f>
        <v>2002222289921</v>
      </c>
      <c r="I2054" t="str">
        <f>HYPERLINK("#", "https://opac.libnet.pref.okayama.jp/licsxp-opac/WOpacMsgNewListToTifTilDetailAction.do?tilcod=2002222289921")</f>
        <v>https://opac.libnet.pref.okayama.jp/licsxp-opac/WOpacMsgNewListToTifTilDetailAction.do?tilcod=2002222289921</v>
      </c>
    </row>
    <row r="2055" spans="1:9" x14ac:dyDescent="0.4">
      <c r="A2055" t="str">
        <f>"草笛"</f>
        <v>草笛</v>
      </c>
      <c r="B2055" s="1" t="str">
        <f t="shared" si="118"/>
        <v>草笛</v>
      </c>
      <c r="C2055" t="str">
        <f>"クサブエ"</f>
        <v>クサブエ</v>
      </c>
      <c r="D2055" t="str">
        <f>"邑久町公民館"</f>
        <v>邑久町公民館</v>
      </c>
      <c r="E2055" t="str">
        <f>"オクチョウコウミンカン"</f>
        <v>オクチョウコウミンカン</v>
      </c>
      <c r="F2055" t="str">
        <f>"邑久町（邑久郡）"</f>
        <v>邑久町（邑久郡）</v>
      </c>
      <c r="G2055" t="str">
        <f t="shared" si="117"/>
        <v>頻度不明</v>
      </c>
      <c r="H2055" t="str">
        <f>"2002222289931"</f>
        <v>2002222289931</v>
      </c>
      <c r="I2055" t="str">
        <f>HYPERLINK("#", "https://opac.libnet.pref.okayama.jp/licsxp-opac/WOpacMsgNewListToTifTilDetailAction.do?tilcod=2002222289931")</f>
        <v>https://opac.libnet.pref.okayama.jp/licsxp-opac/WOpacMsgNewListToTifTilDetailAction.do?tilcod=2002222289931</v>
      </c>
    </row>
    <row r="2056" spans="1:9" x14ac:dyDescent="0.4">
      <c r="A2056" t="str">
        <f>"草笛"</f>
        <v>草笛</v>
      </c>
      <c r="B2056" s="1" t="str">
        <f t="shared" si="118"/>
        <v>草笛</v>
      </c>
      <c r="C2056" t="str">
        <f>"クサブエ"</f>
        <v>クサブエ</v>
      </c>
      <c r="D2056" t="str">
        <f>"草笛編集委員会"</f>
        <v>草笛編集委員会</v>
      </c>
      <c r="E2056" t="str">
        <f>"クサブエ ヘンシュウ イインカイ"</f>
        <v>クサブエ ヘンシュウ イインカイ</v>
      </c>
      <c r="F2056" t="str">
        <f>""</f>
        <v/>
      </c>
      <c r="G2056" t="str">
        <f t="shared" si="117"/>
        <v>頻度不明</v>
      </c>
      <c r="H2056" t="str">
        <f>"2002222315126"</f>
        <v>2002222315126</v>
      </c>
      <c r="I2056" t="str">
        <f>HYPERLINK("#", "https://opac.libnet.pref.okayama.jp/licsxp-opac/WOpacMsgNewListToTifTilDetailAction.do?tilcod=2002222315126")</f>
        <v>https://opac.libnet.pref.okayama.jp/licsxp-opac/WOpacMsgNewListToTifTilDetailAction.do?tilcod=2002222315126</v>
      </c>
    </row>
    <row r="2057" spans="1:9" x14ac:dyDescent="0.4">
      <c r="A2057" t="str">
        <f>"くさむら"</f>
        <v>くさむら</v>
      </c>
      <c r="B2057" s="1" t="str">
        <f t="shared" si="118"/>
        <v>くさむら</v>
      </c>
      <c r="C2057" t="str">
        <f>"クサムラ"</f>
        <v>クサムラ</v>
      </c>
      <c r="D2057" t="str">
        <f>"岡山の自然を守る会"</f>
        <v>岡山の自然を守る会</v>
      </c>
      <c r="E2057" t="str">
        <f>"オカヤマ ノ シゼン オ マモル カイ"</f>
        <v>オカヤマ ノ シゼン オ マモル カイ</v>
      </c>
      <c r="F2057" t="str">
        <f>""</f>
        <v/>
      </c>
      <c r="G2057" t="str">
        <f t="shared" si="117"/>
        <v>頻度不明</v>
      </c>
      <c r="H2057" t="str">
        <f>"2002222289941"</f>
        <v>2002222289941</v>
      </c>
      <c r="I2057" t="str">
        <f>HYPERLINK("#", "https://opac.libnet.pref.okayama.jp/licsxp-opac/WOpacMsgNewListToTifTilDetailAction.do?tilcod=2002222289941")</f>
        <v>https://opac.libnet.pref.okayama.jp/licsxp-opac/WOpacMsgNewListToTifTilDetailAction.do?tilcod=2002222289941</v>
      </c>
    </row>
    <row r="2058" spans="1:9" x14ac:dyDescent="0.4">
      <c r="A2058" t="str">
        <f>"くさむら"</f>
        <v>くさむら</v>
      </c>
      <c r="B2058" s="1" t="str">
        <f t="shared" si="118"/>
        <v>くさむら</v>
      </c>
      <c r="C2058" t="str">
        <f>"クサムラ "</f>
        <v xml:space="preserve">クサムラ </v>
      </c>
      <c r="D2058" t="str">
        <f>"天時会"</f>
        <v>天時会</v>
      </c>
      <c r="E2058" t="str">
        <f>"テンジカイ"</f>
        <v>テンジカイ</v>
      </c>
      <c r="F2058" t="str">
        <f>"勝田村（勝田郡）"</f>
        <v>勝田村（勝田郡）</v>
      </c>
      <c r="G2058" t="str">
        <f t="shared" si="117"/>
        <v>頻度不明</v>
      </c>
      <c r="H2058" t="str">
        <f>"2002222325646"</f>
        <v>2002222325646</v>
      </c>
      <c r="I2058" t="str">
        <f>HYPERLINK("#", "https://opac.libnet.pref.okayama.jp/licsxp-opac/WOpacMsgNewListToTifTilDetailAction.do?tilcod=2002222325646")</f>
        <v>https://opac.libnet.pref.okayama.jp/licsxp-opac/WOpacMsgNewListToTifTilDetailAction.do?tilcod=2002222325646</v>
      </c>
    </row>
    <row r="2059" spans="1:9" x14ac:dyDescent="0.4">
      <c r="A2059" t="str">
        <f>"句集あかね"</f>
        <v>句集あかね</v>
      </c>
      <c r="B2059" s="1" t="str">
        <f t="shared" si="118"/>
        <v>句集あかね</v>
      </c>
      <c r="C2059" t="str">
        <f>"クシュウ　アカネ"</f>
        <v>クシュウ　アカネ</v>
      </c>
      <c r="D2059" t="str">
        <f>"灘崎町婦人会あかね会"</f>
        <v>灘崎町婦人会あかね会</v>
      </c>
      <c r="E2059" t="str">
        <f>"ナダサキチョウフジンカイアカネカイ"</f>
        <v>ナダサキチョウフジンカイアカネカイ</v>
      </c>
      <c r="F2059" t="str">
        <f>""</f>
        <v/>
      </c>
      <c r="G2059" t="str">
        <f>"年刊"</f>
        <v>年刊</v>
      </c>
      <c r="H2059" t="str">
        <f>"2002222287081"</f>
        <v>2002222287081</v>
      </c>
      <c r="I2059" t="str">
        <f>HYPERLINK("#", "https://opac.libnet.pref.okayama.jp/licsxp-opac/WOpacMsgNewListToTifTilDetailAction.do?tilcod=2002222287081")</f>
        <v>https://opac.libnet.pref.okayama.jp/licsxp-opac/WOpacMsgNewListToTifTilDetailAction.do?tilcod=2002222287081</v>
      </c>
    </row>
    <row r="2060" spans="1:9" x14ac:dyDescent="0.4">
      <c r="A2060" t="str">
        <f>"句集あじさい"</f>
        <v>句集あじさい</v>
      </c>
      <c r="B2060" s="1" t="str">
        <f t="shared" si="118"/>
        <v>句集あじさい</v>
      </c>
      <c r="C2060" t="str">
        <f>"クシュウ　アジサイ"</f>
        <v>クシュウ　アジサイ</v>
      </c>
      <c r="D2060" t="str">
        <f>"弓削高等学校川柳部"</f>
        <v>弓削高等学校川柳部</v>
      </c>
      <c r="E2060" t="str">
        <f>"ユゲコウトウガッコウセンリュウブ"</f>
        <v>ユゲコウトウガッコウセンリュウブ</v>
      </c>
      <c r="F2060" t="str">
        <f>""</f>
        <v/>
      </c>
      <c r="G2060" t="str">
        <f>"年刊"</f>
        <v>年刊</v>
      </c>
      <c r="H2060" t="str">
        <f>"2002222287151"</f>
        <v>2002222287151</v>
      </c>
      <c r="I2060" t="str">
        <f>HYPERLINK("#", "https://opac.libnet.pref.okayama.jp/licsxp-opac/WOpacMsgNewListToTifTilDetailAction.do?tilcod=2002222287151")</f>
        <v>https://opac.libnet.pref.okayama.jp/licsxp-opac/WOpacMsgNewListToTifTilDetailAction.do?tilcod=2002222287151</v>
      </c>
    </row>
    <row r="2061" spans="1:9" x14ac:dyDescent="0.4">
      <c r="A2061" t="str">
        <f>"句集つくし"</f>
        <v>句集つくし</v>
      </c>
      <c r="B2061" s="1" t="str">
        <f t="shared" si="118"/>
        <v>句集つくし</v>
      </c>
      <c r="C2061" t="str">
        <f>"クシュウ　ツクシ"</f>
        <v>クシュウ　ツクシ</v>
      </c>
      <c r="D2061" t="str">
        <f>"久世高等学校"</f>
        <v>久世高等学校</v>
      </c>
      <c r="E2061" t="str">
        <f>"クセコウトウガッコウ"</f>
        <v>クセコウトウガッコウ</v>
      </c>
      <c r="F2061" t="str">
        <f>"久世町（真庭郡）"</f>
        <v>久世町（真庭郡）</v>
      </c>
      <c r="G2061" t="str">
        <f>"年刊"</f>
        <v>年刊</v>
      </c>
      <c r="H2061" t="str">
        <f>"2002222289951"</f>
        <v>2002222289951</v>
      </c>
      <c r="I2061" t="str">
        <f>HYPERLINK("#", "https://opac.libnet.pref.okayama.jp/licsxp-opac/WOpacMsgNewListToTifTilDetailAction.do?tilcod=2002222289951")</f>
        <v>https://opac.libnet.pref.okayama.jp/licsxp-opac/WOpacMsgNewListToTifTilDetailAction.do?tilcod=2002222289951</v>
      </c>
    </row>
    <row r="2062" spans="1:9" x14ac:dyDescent="0.4">
      <c r="A2062" t="str">
        <f>"句集しくらめん"</f>
        <v>句集しくらめん</v>
      </c>
      <c r="B2062" s="1" t="str">
        <f t="shared" si="118"/>
        <v>句集しくらめん</v>
      </c>
      <c r="C2062" t="str">
        <f>"クシュウ＊シクラメン"</f>
        <v>クシュウ＊シクラメン</v>
      </c>
      <c r="D2062" t="str">
        <f>"瀬戸南高等学校川柳委員会"</f>
        <v>瀬戸南高等学校川柳委員会</v>
      </c>
      <c r="E2062" t="str">
        <f>"セトミナミコウトウガッコウセンリュウイインカイ"</f>
        <v>セトミナミコウトウガッコウセンリュウイインカイ</v>
      </c>
      <c r="F2062" t="str">
        <f>"瀬戸町（赤磐郡）"</f>
        <v>瀬戸町（赤磐郡）</v>
      </c>
      <c r="G2062" t="str">
        <f>"年刊"</f>
        <v>年刊</v>
      </c>
      <c r="H2062" t="str">
        <f>"2002222280371"</f>
        <v>2002222280371</v>
      </c>
      <c r="I2062" t="str">
        <f>HYPERLINK("#", "https://opac.libnet.pref.okayama.jp/licsxp-opac/WOpacMsgNewListToTifTilDetailAction.do?tilcod=2002222280371")</f>
        <v>https://opac.libnet.pref.okayama.jp/licsxp-opac/WOpacMsgNewListToTifTilDetailAction.do?tilcod=2002222280371</v>
      </c>
    </row>
    <row r="2063" spans="1:9" x14ac:dyDescent="0.4">
      <c r="A2063" t="str">
        <f>"くす"</f>
        <v>くす</v>
      </c>
      <c r="B2063" s="1" t="str">
        <f t="shared" si="118"/>
        <v>くす</v>
      </c>
      <c r="C2063" t="str">
        <f>"クス"</f>
        <v>クス</v>
      </c>
      <c r="D2063" t="str">
        <f>"岡山市立曽根小学校"</f>
        <v>岡山市立曽根小学校</v>
      </c>
      <c r="E2063" t="str">
        <f>"オカヤマシリツソネショウガッコウ"</f>
        <v>オカヤマシリツソネショウガッコウ</v>
      </c>
      <c r="F2063" t="str">
        <f>"岡山"</f>
        <v>岡山</v>
      </c>
      <c r="G2063" t="str">
        <f>"頻度不明"</f>
        <v>頻度不明</v>
      </c>
      <c r="H2063" t="str">
        <f>"2002222289961"</f>
        <v>2002222289961</v>
      </c>
      <c r="I2063" t="str">
        <f>HYPERLINK("#", "https://opac.libnet.pref.okayama.jp/licsxp-opac/WOpacMsgNewListToTifTilDetailAction.do?tilcod=2002222289961")</f>
        <v>https://opac.libnet.pref.okayama.jp/licsxp-opac/WOpacMsgNewListToTifTilDetailAction.do?tilcod=2002222289961</v>
      </c>
    </row>
    <row r="2064" spans="1:9" x14ac:dyDescent="0.4">
      <c r="A2064" t="str">
        <f>"くすのき"</f>
        <v>くすのき</v>
      </c>
      <c r="B2064" s="1" t="str">
        <f t="shared" si="118"/>
        <v>くすのき</v>
      </c>
      <c r="C2064" t="str">
        <f>"クスノキ"</f>
        <v>クスノキ</v>
      </c>
      <c r="D2064" t="str">
        <f>"川崎医科大学くすのき会"</f>
        <v>川崎医科大学くすのき会</v>
      </c>
      <c r="E2064" t="str">
        <f>"カワサキイカダイガクスクノキカイ"</f>
        <v>カワサキイカダイガクスクノキカイ</v>
      </c>
      <c r="F2064" t="str">
        <f>"倉敷"</f>
        <v>倉敷</v>
      </c>
      <c r="G2064" t="str">
        <f>"頻度不明"</f>
        <v>頻度不明</v>
      </c>
      <c r="H2064" t="str">
        <f>"2002222289971"</f>
        <v>2002222289971</v>
      </c>
      <c r="I2064" t="str">
        <f>HYPERLINK("#", "https://opac.libnet.pref.okayama.jp/licsxp-opac/WOpacMsgNewListToTifTilDetailAction.do?tilcod=2002222289971")</f>
        <v>https://opac.libnet.pref.okayama.jp/licsxp-opac/WOpacMsgNewListToTifTilDetailAction.do?tilcod=2002222289971</v>
      </c>
    </row>
    <row r="2065" spans="1:9" x14ac:dyDescent="0.4">
      <c r="A2065" t="str">
        <f>"久世高等学校学校案内"</f>
        <v>久世高等学校学校案内</v>
      </c>
      <c r="B2065" s="1" t="str">
        <f t="shared" si="118"/>
        <v>久世高等学校学校案内</v>
      </c>
      <c r="C2065" t="str">
        <f>"クセ　コウトウ　ガッコウ　ガッコウ　アンナイ"</f>
        <v>クセ　コウトウ　ガッコウ　ガッコウ　アンナイ</v>
      </c>
      <c r="D2065" t="str">
        <f>"久世高等学校"</f>
        <v>久世高等学校</v>
      </c>
      <c r="E2065" t="str">
        <f>"クセコウトウガッコウ"</f>
        <v>クセコウトウガッコウ</v>
      </c>
      <c r="F2065" t="str">
        <f>"真庭"</f>
        <v>真庭</v>
      </c>
      <c r="G2065" t="str">
        <f>"年刊"</f>
        <v>年刊</v>
      </c>
      <c r="H2065" t="str">
        <f>"2002222301286"</f>
        <v>2002222301286</v>
      </c>
      <c r="I2065" t="str">
        <f>HYPERLINK("#", "https://opac.libnet.pref.okayama.jp/licsxp-opac/WOpacMsgNewListToTifTilDetailAction.do?tilcod=2002222301286")</f>
        <v>https://opac.libnet.pref.okayama.jp/licsxp-opac/WOpacMsgNewListToTifTilDetailAction.do?tilcod=2002222301286</v>
      </c>
    </row>
    <row r="2066" spans="1:9" x14ac:dyDescent="0.4">
      <c r="A2066" t="str">
        <f>"久世高等学校学校要覧"</f>
        <v>久世高等学校学校要覧</v>
      </c>
      <c r="B2066" s="1" t="str">
        <f t="shared" si="118"/>
        <v>久世高等学校学校要覧</v>
      </c>
      <c r="C2066" t="str">
        <f>"クセ　コウトウ　ガッコウ　ガッコウ　ヨウラン"</f>
        <v>クセ　コウトウ　ガッコウ　ガッコウ　ヨウラン</v>
      </c>
      <c r="D2066" t="str">
        <f>"久世高等学校"</f>
        <v>久世高等学校</v>
      </c>
      <c r="E2066" t="str">
        <f>"クセコウトウガッコウ"</f>
        <v>クセコウトウガッコウ</v>
      </c>
      <c r="F2066" t="str">
        <f>"久世町（真庭郡）"</f>
        <v>久世町（真庭郡）</v>
      </c>
      <c r="G2066" t="str">
        <f>"年刊"</f>
        <v>年刊</v>
      </c>
      <c r="H2066" t="str">
        <f>"2002222300544"</f>
        <v>2002222300544</v>
      </c>
      <c r="I2066" t="str">
        <f>HYPERLINK("#", "https://opac.libnet.pref.okayama.jp/licsxp-opac/WOpacMsgNewListToTifTilDetailAction.do?tilcod=2002222300544")</f>
        <v>https://opac.libnet.pref.okayama.jp/licsxp-opac/WOpacMsgNewListToTifTilDetailAction.do?tilcod=2002222300544</v>
      </c>
    </row>
    <row r="2067" spans="1:9" x14ac:dyDescent="0.4">
      <c r="A2067" t="str">
        <f>"〔久世高等学校〕のづら；農ク新聞"</f>
        <v>〔久世高等学校〕のづら；農ク新聞</v>
      </c>
      <c r="B2067" s="1" t="str">
        <f t="shared" si="118"/>
        <v>〔久世高等学校〕のづら；農ク新聞</v>
      </c>
      <c r="C2067" t="str">
        <f>"クゼ　コウトウ　ガッコウ＊ノヅラ＊ノウク　シンブン"</f>
        <v>クゼ　コウトウ　ガッコウ＊ノヅラ＊ノウク　シンブン</v>
      </c>
      <c r="D2067" t="str">
        <f>"久世高校農業クラブ"</f>
        <v>久世高校農業クラブ</v>
      </c>
      <c r="E2067" t="str">
        <f>"クゼコウコウノウギョウクラブ"</f>
        <v>クゼコウコウノウギョウクラブ</v>
      </c>
      <c r="F2067" t="str">
        <f>"真庭"</f>
        <v>真庭</v>
      </c>
      <c r="G2067" t="str">
        <f>"不定期刊"</f>
        <v>不定期刊</v>
      </c>
      <c r="H2067" t="str">
        <f>"2002222301981"</f>
        <v>2002222301981</v>
      </c>
      <c r="I2067" t="str">
        <f>HYPERLINK("#", "https://opac.libnet.pref.okayama.jp/licsxp-opac/WOpacMsgNewListToTifTilDetailAction.do?tilcod=2002222301981")</f>
        <v>https://opac.libnet.pref.okayama.jp/licsxp-opac/WOpacMsgNewListToTifTilDetailAction.do?tilcod=2002222301981</v>
      </c>
    </row>
    <row r="2068" spans="1:9" x14ac:dyDescent="0.4">
      <c r="A2068" t="str">
        <f>"〔久世高等学校〕やまなみ"</f>
        <v>〔久世高等学校〕やまなみ</v>
      </c>
      <c r="B2068" s="1" t="str">
        <f t="shared" si="118"/>
        <v>〔久世高等学校〕やまなみ</v>
      </c>
      <c r="C2068" t="str">
        <f>"クゼ　コウトウ　ガッコウ＊ヤマナミ"</f>
        <v>クゼ　コウトウ　ガッコウ＊ヤマナミ</v>
      </c>
      <c r="D2068" t="str">
        <f>"久世高等学校ＨＲ委員会"</f>
        <v>久世高等学校ＨＲ委員会</v>
      </c>
      <c r="E2068" t="str">
        <f>"クゼコウトウガッコウエイチアールイインカイ"</f>
        <v>クゼコウトウガッコウエイチアールイインカイ</v>
      </c>
      <c r="F2068" t="str">
        <f>"真庭"</f>
        <v>真庭</v>
      </c>
      <c r="G2068" t="str">
        <f>"年刊"</f>
        <v>年刊</v>
      </c>
      <c r="H2068" t="str">
        <f>"2002222301819"</f>
        <v>2002222301819</v>
      </c>
      <c r="I2068" t="str">
        <f>HYPERLINK("#", "https://opac.libnet.pref.okayama.jp/licsxp-opac/WOpacMsgNewListToTifTilDetailAction.do?tilcod=2002222301819")</f>
        <v>https://opac.libnet.pref.okayama.jp/licsxp-opac/WOpacMsgNewListToTifTilDetailAction.do?tilcod=2002222301819</v>
      </c>
    </row>
    <row r="2069" spans="1:9" x14ac:dyDescent="0.4">
      <c r="A2069" t="str">
        <f>"果物月報"</f>
        <v>果物月報</v>
      </c>
      <c r="B2069" s="1" t="str">
        <f t="shared" si="118"/>
        <v>果物月報</v>
      </c>
      <c r="C2069" t="str">
        <f>"クダモノ　ゲッポウ"</f>
        <v>クダモノ　ゲッポウ</v>
      </c>
      <c r="D2069" t="str">
        <f>"岡山県果物同業組合"</f>
        <v>岡山県果物同業組合</v>
      </c>
      <c r="E2069" t="str">
        <f>"オカヤマケン クダモノ ドウギョウ クミアイ"</f>
        <v>オカヤマケン クダモノ ドウギョウ クミアイ</v>
      </c>
      <c r="F2069" t="str">
        <f>""</f>
        <v/>
      </c>
      <c r="G2069" t="str">
        <f>"月刊"</f>
        <v>月刊</v>
      </c>
      <c r="H2069" t="str">
        <f>"2002222289981"</f>
        <v>2002222289981</v>
      </c>
      <c r="I2069" t="str">
        <f>HYPERLINK("#", "https://opac.libnet.pref.okayama.jp/licsxp-opac/WOpacMsgNewListToTifTilDetailAction.do?tilcod=2002222289981")</f>
        <v>https://opac.libnet.pref.okayama.jp/licsxp-opac/WOpacMsgNewListToTifTilDetailAction.do?tilcod=2002222289981</v>
      </c>
    </row>
    <row r="2070" spans="1:9" x14ac:dyDescent="0.4">
      <c r="A2070" t="str">
        <f>"梔子"</f>
        <v>梔子</v>
      </c>
      <c r="B2070" s="1" t="str">
        <f t="shared" si="118"/>
        <v>梔子</v>
      </c>
      <c r="C2070" t="str">
        <f>"クチナシ"</f>
        <v>クチナシ</v>
      </c>
      <c r="D2070" t="str">
        <f>"くちなし社"</f>
        <v>くちなし社</v>
      </c>
      <c r="E2070" t="str">
        <f>"クチナシシャ"</f>
        <v>クチナシシャ</v>
      </c>
      <c r="F2070" t="str">
        <f>""</f>
        <v/>
      </c>
      <c r="G2070" t="str">
        <f>"月刊"</f>
        <v>月刊</v>
      </c>
      <c r="H2070" t="str">
        <f>"2002222289991"</f>
        <v>2002222289991</v>
      </c>
      <c r="I2070" t="str">
        <f>HYPERLINK("#", "https://opac.libnet.pref.okayama.jp/licsxp-opac/WOpacMsgNewListToTifTilDetailAction.do?tilcod=2002222289991")</f>
        <v>https://opac.libnet.pref.okayama.jp/licsxp-opac/WOpacMsgNewListToTifTilDetailAction.do?tilcod=2002222289991</v>
      </c>
    </row>
    <row r="2071" spans="1:9" x14ac:dyDescent="0.4">
      <c r="A2071" t="str">
        <f>"グッデイ；Ｇ’ＤＡＹ；岡山県・南オーストラリア州友好協会会報"</f>
        <v>グッデイ；Ｇ’ＤＡＹ；岡山県・南オーストラリア州友好協会会報</v>
      </c>
      <c r="B2071" s="1" t="str">
        <f t="shared" si="118"/>
        <v>グッデイ；Ｇ’ＤＡＹ；岡山県・南オーストラリア州友好協会会報</v>
      </c>
      <c r="C2071" t="str">
        <f>"グッデイ＊オカヤマケン　ミナミオーストラリア　シュウ　ユウコウ　キョウカイ　カイホウ"</f>
        <v>グッデイ＊オカヤマケン　ミナミオーストラリア　シュウ　ユウコウ　キョウカイ　カイホウ</v>
      </c>
      <c r="D2071" t="str">
        <f>"岡山県・南オーストラリア州友好協会"</f>
        <v>岡山県・南オーストラリア州友好協会</v>
      </c>
      <c r="E2071" t="str">
        <f>"オカヤマケンミナミオーストラリアシュウユウコウキョウカイ"</f>
        <v>オカヤマケンミナミオーストラリアシュウユウコウキョウカイ</v>
      </c>
      <c r="F2071" t="str">
        <f>"岡山"</f>
        <v>岡山</v>
      </c>
      <c r="G2071" t="str">
        <f>"頻度不明"</f>
        <v>頻度不明</v>
      </c>
      <c r="H2071" t="str">
        <f>"2002222281974"</f>
        <v>2002222281974</v>
      </c>
      <c r="I2071" t="str">
        <f>HYPERLINK("#", "https://opac.libnet.pref.okayama.jp/licsxp-opac/WOpacMsgNewListToTifTilDetailAction.do?tilcod=2002222281974")</f>
        <v>https://opac.libnet.pref.okayama.jp/licsxp-opac/WOpacMsgNewListToTifTilDetailAction.do?tilcod=2002222281974</v>
      </c>
    </row>
    <row r="2072" spans="1:9" x14ac:dyDescent="0.4">
      <c r="A2072" t="str">
        <f>"[岡山県医師会報 付録]Good Doctor(グッドドクター)"</f>
        <v>[岡山県医師会報 付録]Good Doctor(グッドドクター)</v>
      </c>
      <c r="B2072" s="1" t="str">
        <f t="shared" si="118"/>
        <v>[岡山県医師会報 付録]Good Doctor(グッドドクター)</v>
      </c>
      <c r="C2072" t="str">
        <f>"グッド ドクター"</f>
        <v>グッド ドクター</v>
      </c>
      <c r="D2072" t="str">
        <f>"岡山県医師会"</f>
        <v>岡山県医師会</v>
      </c>
      <c r="E2072" t="str">
        <f>"オカヤマケン イシカイ"</f>
        <v>オカヤマケン イシカイ</v>
      </c>
      <c r="F2072" t="str">
        <f>"岡山"</f>
        <v>岡山</v>
      </c>
      <c r="G2072" t="str">
        <f>"頻度不明"</f>
        <v>頻度不明</v>
      </c>
      <c r="H2072" t="str">
        <f>"2002222308506"</f>
        <v>2002222308506</v>
      </c>
      <c r="I2072" t="str">
        <f>HYPERLINK("#", "https://opac.libnet.pref.okayama.jp/licsxp-opac/WOpacMsgNewListToTifTilDetailAction.do?tilcod=2002222308506")</f>
        <v>https://opac.libnet.pref.okayama.jp/licsxp-opac/WOpacMsgNewListToTifTilDetailAction.do?tilcod=2002222308506</v>
      </c>
    </row>
    <row r="2073" spans="1:9" x14ac:dyDescent="0.4">
      <c r="A2073" t="str">
        <f>"ｇｏｏｄ-ｆｅｌｌｏｗｓ（グッドフェローズ）"</f>
        <v>ｇｏｏｄ-ｆｅｌｌｏｗｓ（グッドフェローズ）</v>
      </c>
      <c r="B2073" s="1" t="str">
        <f t="shared" si="118"/>
        <v>ｇｏｏｄ-ｆｅｌｌｏｗｓ（グッドフェローズ）</v>
      </c>
      <c r="C2073" t="str">
        <f>"グッド　フェローズ"</f>
        <v>グッド　フェローズ</v>
      </c>
      <c r="D2073" t="str">
        <f>"ｇｏｏｄｆｅｌｌｏｗ　ｐｕｂｌｉｓｈｉｎｇ"</f>
        <v>ｇｏｏｄｆｅｌｌｏｗ　ｐｕｂｌｉｓｈｉｎｇ</v>
      </c>
      <c r="E2073" t="str">
        <f>"グッドフェローパブリッシング"</f>
        <v>グッドフェローパブリッシング</v>
      </c>
      <c r="F2073" t="str">
        <f>"岡山"</f>
        <v>岡山</v>
      </c>
      <c r="G2073" t="str">
        <f>"季刊"</f>
        <v>季刊</v>
      </c>
      <c r="H2073" t="str">
        <f>"2002222286031"</f>
        <v>2002222286031</v>
      </c>
      <c r="I2073" t="str">
        <f>HYPERLINK("#", "https://opac.libnet.pref.okayama.jp/licsxp-opac/WOpacMsgNewListToTifTilDetailAction.do?tilcod=2002222286031")</f>
        <v>https://opac.libnet.pref.okayama.jp/licsxp-opac/WOpacMsgNewListToTifTilDetailAction.do?tilcod=2002222286031</v>
      </c>
    </row>
    <row r="2074" spans="1:9" x14ac:dyDescent="0.4">
      <c r="A2074" t="str">
        <f>"国"</f>
        <v>国</v>
      </c>
      <c r="B2074" s="1" t="str">
        <f t="shared" si="118"/>
        <v>国</v>
      </c>
      <c r="C2074" t="str">
        <f>"クニ"</f>
        <v>クニ</v>
      </c>
      <c r="D2074" t="str">
        <f>"国俳句会"</f>
        <v>国俳句会</v>
      </c>
      <c r="E2074" t="str">
        <f>"クニハイクカイ"</f>
        <v>クニハイクカイ</v>
      </c>
      <c r="F2074" t="str">
        <f>"岡山"</f>
        <v>岡山</v>
      </c>
      <c r="G2074" t="str">
        <f>"月刊"</f>
        <v>月刊</v>
      </c>
      <c r="H2074" t="str">
        <f>"2002222291291"</f>
        <v>2002222291291</v>
      </c>
      <c r="I2074" t="str">
        <f>HYPERLINK("#", "https://opac.libnet.pref.okayama.jp/licsxp-opac/WOpacMsgNewListToTifTilDetailAction.do?tilcod=2002222291291")</f>
        <v>https://opac.libnet.pref.okayama.jp/licsxp-opac/WOpacMsgNewListToTifTilDetailAction.do?tilcod=2002222291291</v>
      </c>
    </row>
    <row r="2075" spans="1:9" x14ac:dyDescent="0.4">
      <c r="A2075" t="str">
        <f>"国の教"</f>
        <v>国の教</v>
      </c>
      <c r="B2075" s="1" t="str">
        <f t="shared" si="118"/>
        <v>国の教</v>
      </c>
      <c r="C2075" t="str">
        <f>"クニ　ノ　オシエ"</f>
        <v>クニ　ノ　オシエ</v>
      </c>
      <c r="D2075" t="str">
        <f>"黒住教振興会"</f>
        <v>黒住教振興会</v>
      </c>
      <c r="E2075" t="str">
        <f>"クロズミキョウシンコウカイ"</f>
        <v>クロズミキョウシンコウカイ</v>
      </c>
      <c r="F2075" t="str">
        <f>"大阪"</f>
        <v>大阪</v>
      </c>
      <c r="G2075" t="str">
        <f>"月刊"</f>
        <v>月刊</v>
      </c>
      <c r="H2075" t="str">
        <f>"2002222280003"</f>
        <v>2002222280003</v>
      </c>
      <c r="I2075" t="str">
        <f>HYPERLINK("#", "https://opac.libnet.pref.okayama.jp/licsxp-opac/WOpacMsgNewListToTifTilDetailAction.do?tilcod=2002222280003")</f>
        <v>https://opac.libnet.pref.okayama.jp/licsxp-opac/WOpacMsgNewListToTifTilDetailAction.do?tilcod=2002222280003</v>
      </c>
    </row>
    <row r="2076" spans="1:9" x14ac:dyDescent="0.4">
      <c r="A2076" t="str">
        <f>"国本（くにのもと）"</f>
        <v>国本（くにのもと）</v>
      </c>
      <c r="B2076" s="1" t="str">
        <f t="shared" si="118"/>
        <v>国本（くにのもと）</v>
      </c>
      <c r="C2076" t="str">
        <f>"クニ　ノ　モト"</f>
        <v>クニ　ノ　モト</v>
      </c>
      <c r="D2076" t="str">
        <f>"殖産協会"</f>
        <v>殖産協会</v>
      </c>
      <c r="E2076" t="str">
        <f>"ショクサンキョウカイ"</f>
        <v>ショクサンキョウカイ</v>
      </c>
      <c r="F2076" t="str">
        <f>""</f>
        <v/>
      </c>
      <c r="G2076" t="str">
        <f>"頻度不明"</f>
        <v>頻度不明</v>
      </c>
      <c r="H2076" t="str">
        <f>"2002222280013"</f>
        <v>2002222280013</v>
      </c>
      <c r="I2076" t="str">
        <f>HYPERLINK("#", "https://opac.libnet.pref.okayama.jp/licsxp-opac/WOpacMsgNewListToTifTilDetailAction.do?tilcod=2002222280013")</f>
        <v>https://opac.libnet.pref.okayama.jp/licsxp-opac/WOpacMsgNewListToTifTilDetailAction.do?tilcod=2002222280013</v>
      </c>
    </row>
    <row r="2077" spans="1:9" x14ac:dyDescent="0.4">
      <c r="A2077" t="str">
        <f>"国吉康雄美術館報"</f>
        <v>国吉康雄美術館報</v>
      </c>
      <c r="B2077" s="1" t="str">
        <f t="shared" si="118"/>
        <v>国吉康雄美術館報</v>
      </c>
      <c r="C2077" t="str">
        <f>"クニヨシ　ヤスオ　ビジュツカンホウ"</f>
        <v>クニヨシ　ヤスオ　ビジュツカンホウ</v>
      </c>
      <c r="D2077" t="str">
        <f>"国吉康雄美術館"</f>
        <v>国吉康雄美術館</v>
      </c>
      <c r="E2077" t="str">
        <f>"クニヨシヤスオビジュツカン"</f>
        <v>クニヨシヤスオビジュツカン</v>
      </c>
      <c r="F2077" t="str">
        <f>"岡山"</f>
        <v>岡山</v>
      </c>
      <c r="G2077" t="str">
        <f>"不定期刊"</f>
        <v>不定期刊</v>
      </c>
      <c r="H2077" t="str">
        <f>"2002222294961"</f>
        <v>2002222294961</v>
      </c>
      <c r="I2077" t="str">
        <f>HYPERLINK("#", "https://opac.libnet.pref.okayama.jp/licsxp-opac/WOpacMsgNewListToTifTilDetailAction.do?tilcod=2002222294961")</f>
        <v>https://opac.libnet.pref.okayama.jp/licsxp-opac/WOpacMsgNewListToTifTilDetailAction.do?tilcod=2002222294961</v>
      </c>
    </row>
    <row r="2078" spans="1:9" x14ac:dyDescent="0.4">
      <c r="A2078" t="str">
        <f>"〔熊山町〕町史だより"</f>
        <v>〔熊山町〕町史だより</v>
      </c>
      <c r="B2078" s="1" t="str">
        <f t="shared" si="118"/>
        <v>〔熊山町〕町史だより</v>
      </c>
      <c r="C2078" t="str">
        <f>"クマヤマチョウ＊チョウシ　ダヨリ"</f>
        <v>クマヤマチョウ＊チョウシ　ダヨリ</v>
      </c>
      <c r="D2078" t="str">
        <f>"熊山町史編纂委員会"</f>
        <v>熊山町史編纂委員会</v>
      </c>
      <c r="E2078" t="str">
        <f>"クマヤマチョウシヘンサンイインカイ"</f>
        <v>クマヤマチョウシヘンサンイインカイ</v>
      </c>
      <c r="F2078" t="str">
        <f>"熊山町（赤磐郡）"</f>
        <v>熊山町（赤磐郡）</v>
      </c>
      <c r="G2078" t="str">
        <f>"頻度不明"</f>
        <v>頻度不明</v>
      </c>
      <c r="H2078" t="str">
        <f>"2002222280023"</f>
        <v>2002222280023</v>
      </c>
      <c r="I2078" t="str">
        <f>HYPERLINK("#", "https://opac.libnet.pref.okayama.jp/licsxp-opac/WOpacMsgNewListToTifTilDetailAction.do?tilcod=2002222280023")</f>
        <v>https://opac.libnet.pref.okayama.jp/licsxp-opac/WOpacMsgNewListToTifTilDetailAction.do?tilcod=2002222280023</v>
      </c>
    </row>
    <row r="2079" spans="1:9" x14ac:dyDescent="0.4">
      <c r="A2079" t="str">
        <f>"組合だより；JAおからく"</f>
        <v>組合だより；JAおからく</v>
      </c>
      <c r="B2079" s="1" t="str">
        <f t="shared" si="118"/>
        <v>組合だより；JAおからく</v>
      </c>
      <c r="C2079" t="str">
        <f>"クミアイ　ダヨリ＊ジェイエー　オカラク"</f>
        <v>クミアイ　ダヨリ＊ジェイエー　オカラク</v>
      </c>
      <c r="D2079" t="str">
        <f>"おかやま酪農業協同組合"</f>
        <v>おかやま酪農業協同組合</v>
      </c>
      <c r="E2079" t="str">
        <f>"オカヤマラクノウギョウキョウドウクミアイ"</f>
        <v>オカヤマラクノウギョウキョウドウクミアイ</v>
      </c>
      <c r="F2079" t="str">
        <f>"津山"</f>
        <v>津山</v>
      </c>
      <c r="G2079" t="str">
        <f>"月刊"</f>
        <v>月刊</v>
      </c>
      <c r="H2079" t="str">
        <f>"2002222329606"</f>
        <v>2002222329606</v>
      </c>
      <c r="I2079" t="str">
        <f>HYPERLINK("#", "https://opac.libnet.pref.okayama.jp/licsxp-opac/WOpacMsgNewListToTifTilDetailAction.do?tilcod=2002222329606")</f>
        <v>https://opac.libnet.pref.okayama.jp/licsxp-opac/WOpacMsgNewListToTifTilDetailAction.do?tilcod=2002222329606</v>
      </c>
    </row>
    <row r="2080" spans="1:9" x14ac:dyDescent="0.4">
      <c r="A2080" t="str">
        <f>"くめぐんキッズニュース"</f>
        <v>くめぐんキッズニュース</v>
      </c>
      <c r="B2080" s="1" t="str">
        <f t="shared" si="118"/>
        <v>くめぐんキッズニュース</v>
      </c>
      <c r="C2080" t="str">
        <f>"クメグン　キッズ　ニュース"</f>
        <v>クメグン　キッズ　ニュース</v>
      </c>
      <c r="D2080" t="str">
        <f>"久米郡子ども情報センター"</f>
        <v>久米郡子ども情報センター</v>
      </c>
      <c r="E2080" t="str">
        <f>"クメグンコドモジョウホウセンター"</f>
        <v>クメグンコドモジョウホウセンター</v>
      </c>
      <c r="F2080" t="str">
        <f>""</f>
        <v/>
      </c>
      <c r="G2080" t="str">
        <f>"頻度不明"</f>
        <v>頻度不明</v>
      </c>
      <c r="H2080" t="str">
        <f>"2002222285791"</f>
        <v>2002222285791</v>
      </c>
      <c r="I2080" t="str">
        <f>HYPERLINK("#", "https://opac.libnet.pref.okayama.jp/licsxp-opac/WOpacMsgNewListToTifTilDetailAction.do?tilcod=2002222285791")</f>
        <v>https://opac.libnet.pref.okayama.jp/licsxp-opac/WOpacMsgNewListToTifTilDetailAction.do?tilcod=2002222285791</v>
      </c>
    </row>
    <row r="2081" spans="1:9" x14ac:dyDescent="0.4">
      <c r="A2081" t="str">
        <f>"久米郡地域合併協議会だより；中央町・旭町・久米南町・柵原町"</f>
        <v>久米郡地域合併協議会だより；中央町・旭町・久米南町・柵原町</v>
      </c>
      <c r="B2081" s="1" t="str">
        <f t="shared" si="118"/>
        <v>久米郡地域合併協議会だより；中央町・旭町・久米南町・柵原町</v>
      </c>
      <c r="C2081" t="str">
        <f>"クメグン　チイキ　ガッペイ　キョウギカイ　ダヨリ＊チュウオウチョウ　アサヒチョウ　クメナンチョウ　ヤナハラチョウ"</f>
        <v>クメグン　チイキ　ガッペイ　キョウギカイ　ダヨリ＊チュウオウチョウ　アサヒチョウ　クメナンチョウ　ヤナハラチョウ</v>
      </c>
      <c r="D2081" t="str">
        <f>"久米郡地域合併協議会"</f>
        <v>久米郡地域合併協議会</v>
      </c>
      <c r="E2081" t="str">
        <f>"クメグンチイキガッペイキョウギカイ"</f>
        <v>クメグンチイキガッペイキョウギカイ</v>
      </c>
      <c r="F2081" t="str">
        <f>"中央町（久米郡）"</f>
        <v>中央町（久米郡）</v>
      </c>
      <c r="G2081" t="str">
        <f>"頻度不明"</f>
        <v>頻度不明</v>
      </c>
      <c r="H2081" t="str">
        <f>"2002222300190"</f>
        <v>2002222300190</v>
      </c>
      <c r="I2081" t="str">
        <f>HYPERLINK("#", "https://opac.libnet.pref.okayama.jp/licsxp-opac/WOpacMsgNewListToTifTilDetailAction.do?tilcod=2002222300190")</f>
        <v>https://opac.libnet.pref.okayama.jp/licsxp-opac/WOpacMsgNewListToTifTilDetailAction.do?tilcod=2002222300190</v>
      </c>
    </row>
    <row r="2082" spans="1:9" x14ac:dyDescent="0.4">
      <c r="A2082" t="str">
        <f>"久米町議会だより"</f>
        <v>久米町議会だより</v>
      </c>
      <c r="B2082" s="1" t="str">
        <f t="shared" si="118"/>
        <v>久米町議会だより</v>
      </c>
      <c r="C2082" t="str">
        <f>"クメチョウ　ギカイ　ダヨリ"</f>
        <v>クメチョウ　ギカイ　ダヨリ</v>
      </c>
      <c r="D2082" t="str">
        <f>"久米町議会"</f>
        <v>久米町議会</v>
      </c>
      <c r="E2082" t="str">
        <f>"クメチョウギカイ"</f>
        <v>クメチョウギカイ</v>
      </c>
      <c r="F2082" t="str">
        <f>"久米町（久米郡）"</f>
        <v>久米町（久米郡）</v>
      </c>
      <c r="G2082" t="str">
        <f>"頻度不明"</f>
        <v>頻度不明</v>
      </c>
      <c r="H2082" t="str">
        <f>"2002222284421"</f>
        <v>2002222284421</v>
      </c>
      <c r="I2082" t="str">
        <f>HYPERLINK("#", "https://opac.libnet.pref.okayama.jp/licsxp-opac/WOpacMsgNewListToTifTilDetailAction.do?tilcod=2002222284421")</f>
        <v>https://opac.libnet.pref.okayama.jp/licsxp-opac/WOpacMsgNewListToTifTilDetailAction.do?tilcod=2002222284421</v>
      </c>
    </row>
    <row r="2083" spans="1:9" x14ac:dyDescent="0.4">
      <c r="A2083" t="str">
        <f>"久米南町議会だより"</f>
        <v>久米南町議会だより</v>
      </c>
      <c r="B2083" s="1" t="str">
        <f t="shared" si="118"/>
        <v>久米南町議会だより</v>
      </c>
      <c r="C2083" t="str">
        <f>"クメナンチョウ ギカイ ダヨリ"</f>
        <v>クメナンチョウ ギカイ ダヨリ</v>
      </c>
      <c r="D2083" t="str">
        <f>"岡山県久米南町議会議会広報編集委員会"</f>
        <v>岡山県久米南町議会議会広報編集委員会</v>
      </c>
      <c r="E2083" t="str">
        <f>"オカヤマケン クメナンチョウ ギカイ コウホウ ヘンシュウ イインカイ"</f>
        <v>オカヤマケン クメナンチョウ ギカイ コウホウ ヘンシュウ イインカイ</v>
      </c>
      <c r="F2083" t="str">
        <f>"久米南町（久米郡）"</f>
        <v>久米南町（久米郡）</v>
      </c>
      <c r="G2083" t="str">
        <f>"頻度不明"</f>
        <v>頻度不明</v>
      </c>
      <c r="H2083" t="str">
        <f>"2002222336267"</f>
        <v>2002222336267</v>
      </c>
      <c r="I2083" t="str">
        <f>HYPERLINK("#", "https://opac.libnet.pref.okayama.jp/licsxp-opac/WOpacMsgNewListToTifTilDetailAction.do?tilcod=2002222336267")</f>
        <v>https://opac.libnet.pref.okayama.jp/licsxp-opac/WOpacMsgNewListToTifTilDetailAction.do?tilcod=2002222336267</v>
      </c>
    </row>
    <row r="2084" spans="1:9" x14ac:dyDescent="0.4">
      <c r="A2084" t="str">
        <f>"久米南町農協だより"</f>
        <v>久米南町農協だより</v>
      </c>
      <c r="B2084" s="1" t="str">
        <f t="shared" si="118"/>
        <v>久米南町農協だより</v>
      </c>
      <c r="C2084" t="str">
        <f>"クメナンチョウ　ノウキョウ　ダヨリ"</f>
        <v>クメナンチョウ　ノウキョウ　ダヨリ</v>
      </c>
      <c r="D2084" t="str">
        <f>"久米南町農協協同組合"</f>
        <v>久米南町農協協同組合</v>
      </c>
      <c r="E2084" t="str">
        <f>"クメナンチョウノウキョウキョウドウクミアイ"</f>
        <v>クメナンチョウノウキョウキョウドウクミアイ</v>
      </c>
      <c r="F2084" t="str">
        <f>"久米南町（久米郡）"</f>
        <v>久米南町（久米郡）</v>
      </c>
      <c r="G2084" t="str">
        <f>"頻度不明"</f>
        <v>頻度不明</v>
      </c>
      <c r="H2084" t="str">
        <f>"2002222280043"</f>
        <v>2002222280043</v>
      </c>
      <c r="I2084" t="str">
        <f>HYPERLINK("#", "https://opac.libnet.pref.okayama.jp/licsxp-opac/WOpacMsgNewListToTifTilDetailAction.do?tilcod=2002222280043")</f>
        <v>https://opac.libnet.pref.okayama.jp/licsxp-opac/WOpacMsgNewListToTifTilDetailAction.do?tilcod=2002222280043</v>
      </c>
    </row>
    <row r="2085" spans="1:9" x14ac:dyDescent="0.4">
      <c r="A2085" t="str">
        <f>"クラーク記念国際高等学校連携校岡山キャンパス単位制コース希望高等学園学校案内"</f>
        <v>クラーク記念国際高等学校連携校岡山キャンパス単位制コース希望高等学園学校案内</v>
      </c>
      <c r="B2085" s="1" t="str">
        <f t="shared" si="118"/>
        <v>クラーク記念国際高等学校連携校岡山キャンパス単位制コース希望高等学園学校案内</v>
      </c>
      <c r="C2085" t="str">
        <f>"クラーク キネン コクサイ コウトウ ガッコウ レンケイコウ オカヤマ キャンパス タンイセイ コース キボウ コウトウ ガクエン ガッコウ アンナイ"</f>
        <v>クラーク キネン コクサイ コウトウ ガッコウ レンケイコウ オカヤマ キャンパス タンイセイ コース キボウ コウトウ ガクエン ガッコウ アンナイ</v>
      </c>
      <c r="D2085" t="str">
        <f>"クラーク記念国際高等学校連携校岡山キャンパス単位制コース希望高等学園"</f>
        <v>クラーク記念国際高等学校連携校岡山キャンパス単位制コース希望高等学園</v>
      </c>
      <c r="E2085" t="str">
        <f>"クラーク キネン コクサイ コウトウ ガッコウ レンケイコウ オカヤマ キャンパス タンイセイ コース キボウ コウトウ ガクエン"</f>
        <v>クラーク キネン コクサイ コウトウ ガッコウ レンケイコウ オカヤマ キャンパス タンイセイ コース キボウ コウトウ ガクエン</v>
      </c>
      <c r="F2085" t="str">
        <f>"岡山"</f>
        <v>岡山</v>
      </c>
      <c r="G2085" t="str">
        <f>"年刊"</f>
        <v>年刊</v>
      </c>
      <c r="H2085" t="str">
        <f>"2002222301811"</f>
        <v>2002222301811</v>
      </c>
      <c r="I2085" t="str">
        <f>HYPERLINK("#", "https://opac.libnet.pref.okayama.jp/licsxp-opac/WOpacMsgNewListToTifTilDetailAction.do?tilcod=2002222301811")</f>
        <v>https://opac.libnet.pref.okayama.jp/licsxp-opac/WOpacMsgNewListToTifTilDetailAction.do?tilcod=2002222301811</v>
      </c>
    </row>
    <row r="2086" spans="1:9" x14ac:dyDescent="0.4">
      <c r="A2086" t="str">
        <f>"クラヴェリナ"</f>
        <v>クラヴェリナ</v>
      </c>
      <c r="B2086" s="1" t="str">
        <f t="shared" si="118"/>
        <v>クラヴェリナ</v>
      </c>
      <c r="C2086" t="str">
        <f>"クラヴェリナ"</f>
        <v>クラヴェリナ</v>
      </c>
      <c r="D2086" t="str">
        <f>"クラヴェリナの会"</f>
        <v>クラヴェリナの会</v>
      </c>
      <c r="E2086" t="str">
        <f>"クラヴェリナノカイ"</f>
        <v>クラヴェリナノカイ</v>
      </c>
      <c r="F2086" t="str">
        <f>""</f>
        <v/>
      </c>
      <c r="G2086" t="str">
        <f>"頻度不明"</f>
        <v>頻度不明</v>
      </c>
      <c r="H2086" t="str">
        <f>"2002222280173"</f>
        <v>2002222280173</v>
      </c>
      <c r="I2086" t="str">
        <f>HYPERLINK("#", "https://opac.libnet.pref.okayama.jp/licsxp-opac/WOpacMsgNewListToTifTilDetailAction.do?tilcod=2002222280173")</f>
        <v>https://opac.libnet.pref.okayama.jp/licsxp-opac/WOpacMsgNewListToTifTilDetailAction.do?tilcod=2002222280173</v>
      </c>
    </row>
    <row r="2087" spans="1:9" x14ac:dyDescent="0.4">
      <c r="A2087" t="str">
        <f>"くらくる"</f>
        <v>くらくる</v>
      </c>
      <c r="B2087" s="1" t="str">
        <f t="shared" si="118"/>
        <v>くらくる</v>
      </c>
      <c r="C2087" t="str">
        <f>"クラクル"</f>
        <v>クラクル</v>
      </c>
      <c r="D2087" t="str">
        <f>"倉敷市観光客誘致協議会"</f>
        <v>倉敷市観光客誘致協議会</v>
      </c>
      <c r="E2087" t="str">
        <f>"クラシキシ カンコウキャク ユウチ キョウギカイ"</f>
        <v>クラシキシ カンコウキャク ユウチ キョウギカイ</v>
      </c>
      <c r="F2087" t="str">
        <f>"倉敷"</f>
        <v>倉敷</v>
      </c>
      <c r="G2087" t="str">
        <f>"不定期刊"</f>
        <v>不定期刊</v>
      </c>
      <c r="H2087" t="str">
        <f>"2002222301986"</f>
        <v>2002222301986</v>
      </c>
      <c r="I2087" t="str">
        <f>HYPERLINK("#", "https://opac.libnet.pref.okayama.jp/licsxp-opac/WOpacMsgNewListToTifTilDetailAction.do?tilcod=2002222301986")</f>
        <v>https://opac.libnet.pref.okayama.jp/licsxp-opac/WOpacMsgNewListToTifTilDetailAction.do?tilcod=2002222301986</v>
      </c>
    </row>
    <row r="2088" spans="1:9" x14ac:dyDescent="0.4">
      <c r="A2088" t="str">
        <f>"倉グル"</f>
        <v>倉グル</v>
      </c>
      <c r="B2088" s="1" t="str">
        <f t="shared" si="118"/>
        <v>倉グル</v>
      </c>
      <c r="C2088" t="str">
        <f>"クラグル"</f>
        <v>クラグル</v>
      </c>
      <c r="D2088" t="str">
        <f>"Foolish"</f>
        <v>Foolish</v>
      </c>
      <c r="E2088" t="str">
        <f>"フーリッシュ"</f>
        <v>フーリッシュ</v>
      </c>
      <c r="F2088" t="str">
        <f>""</f>
        <v/>
      </c>
      <c r="G2088" t="str">
        <f>"季刊"</f>
        <v>季刊</v>
      </c>
      <c r="H2088" t="str">
        <f>"2002222328246"</f>
        <v>2002222328246</v>
      </c>
      <c r="I2088" t="str">
        <f>HYPERLINK("#", "https://opac.libnet.pref.okayama.jp/licsxp-opac/WOpacMsgNewListToTifTilDetailAction.do?tilcod=2002222328246")</f>
        <v>https://opac.libnet.pref.okayama.jp/licsxp-opac/WOpacMsgNewListToTifTilDetailAction.do?tilcod=2002222328246</v>
      </c>
    </row>
    <row r="2089" spans="1:9" x14ac:dyDescent="0.4">
      <c r="A2089" t="str">
        <f>"倉工図書館報"</f>
        <v>倉工図書館報</v>
      </c>
      <c r="B2089" s="1" t="str">
        <f t="shared" si="118"/>
        <v>倉工図書館報</v>
      </c>
      <c r="C2089" t="str">
        <f>"クラコウ　トショカンポウ"</f>
        <v>クラコウ　トショカンポウ</v>
      </c>
      <c r="D2089" t="str">
        <f>"倉敷工業高等学校図書館"</f>
        <v>倉敷工業高等学校図書館</v>
      </c>
      <c r="E2089" t="str">
        <f>"クラシキコウギョウコウトウガッコウトショカン"</f>
        <v>クラシキコウギョウコウトウガッコウトショカン</v>
      </c>
      <c r="F2089" t="str">
        <f>"倉敷"</f>
        <v>倉敷</v>
      </c>
      <c r="G2089" t="str">
        <f>"年刊"</f>
        <v>年刊</v>
      </c>
      <c r="H2089" t="str">
        <f>"2002222301795"</f>
        <v>2002222301795</v>
      </c>
      <c r="I2089" t="str">
        <f>HYPERLINK("#", "https://opac.libnet.pref.okayama.jp/licsxp-opac/WOpacMsgNewListToTifTilDetailAction.do?tilcod=2002222301795")</f>
        <v>https://opac.libnet.pref.okayama.jp/licsxp-opac/WOpacMsgNewListToTifTilDetailAction.do?tilcod=2002222301795</v>
      </c>
    </row>
    <row r="2090" spans="1:9" x14ac:dyDescent="0.4">
      <c r="A2090" t="str">
        <f>"ＫＵＲＡＫＯＮ"</f>
        <v>ＫＵＲＡＫＯＮ</v>
      </c>
      <c r="B2090" s="1" t="str">
        <f t="shared" si="118"/>
        <v>ＫＵＲＡＫＯＮ</v>
      </c>
      <c r="C2090" t="str">
        <f>"クラコン"</f>
        <v>クラコン</v>
      </c>
      <c r="D2090" t="str">
        <f>"倉敷昆虫同好会"</f>
        <v>倉敷昆虫同好会</v>
      </c>
      <c r="E2090" t="str">
        <f>"クラシキコンチュウドウコウカイ"</f>
        <v>クラシキコンチュウドウコウカイ</v>
      </c>
      <c r="F2090" t="str">
        <f>"倉敷"</f>
        <v>倉敷</v>
      </c>
      <c r="G2090" t="str">
        <f>"不定期刊"</f>
        <v>不定期刊</v>
      </c>
      <c r="H2090" t="str">
        <f>"2002222292401"</f>
        <v>2002222292401</v>
      </c>
      <c r="I2090" t="str">
        <f>HYPERLINK("#", "https://opac.libnet.pref.okayama.jp/licsxp-opac/WOpacMsgNewListToTifTilDetailAction.do?tilcod=2002222292401")</f>
        <v>https://opac.libnet.pref.okayama.jp/licsxp-opac/WOpacMsgNewListToTifTilDetailAction.do?tilcod=2002222292401</v>
      </c>
    </row>
    <row r="2091" spans="1:9" x14ac:dyDescent="0.4">
      <c r="A2091" t="str">
        <f>"くらしとなかま"</f>
        <v>くらしとなかま</v>
      </c>
      <c r="B2091" s="1" t="str">
        <f t="shared" si="118"/>
        <v>くらしとなかま</v>
      </c>
      <c r="C2091" t="str">
        <f>"クラシ　ト　ナカマ"</f>
        <v>クラシ　ト　ナカマ</v>
      </c>
      <c r="D2091" t="str">
        <f>"おかやまコープ"</f>
        <v>おかやまコープ</v>
      </c>
      <c r="E2091" t="str">
        <f>"オカヤマ コープ"</f>
        <v>オカヤマ コープ</v>
      </c>
      <c r="F2091" t="str">
        <f>"岡山"</f>
        <v>岡山</v>
      </c>
      <c r="G2091" t="str">
        <f>"月刊"</f>
        <v>月刊</v>
      </c>
      <c r="H2091" t="str">
        <f>"2002222292461"</f>
        <v>2002222292461</v>
      </c>
      <c r="I2091" t="str">
        <f>HYPERLINK("#", "https://opac.libnet.pref.okayama.jp/licsxp-opac/WOpacMsgNewListToTifTilDetailAction.do?tilcod=2002222292461")</f>
        <v>https://opac.libnet.pref.okayama.jp/licsxp-opac/WOpacMsgNewListToTifTilDetailAction.do?tilcod=2002222292461</v>
      </c>
    </row>
    <row r="2092" spans="1:9" x14ac:dyDescent="0.4">
      <c r="A2092" t="str">
        <f>"くらしと仲間"</f>
        <v>くらしと仲間</v>
      </c>
      <c r="B2092" s="1" t="str">
        <f t="shared" si="118"/>
        <v>くらしと仲間</v>
      </c>
      <c r="C2092" t="str">
        <f>"クラシ　ト　ナカマ"</f>
        <v>クラシ　ト　ナカマ</v>
      </c>
      <c r="D2092" t="str">
        <f>"岡山市民生活協同組合"</f>
        <v>岡山市民生活協同組合</v>
      </c>
      <c r="E2092" t="str">
        <f>"オカヤマシミンセイカツキョウドウクミアイ"</f>
        <v>オカヤマシミンセイカツキョウドウクミアイ</v>
      </c>
      <c r="F2092" t="str">
        <f>"岡山"</f>
        <v>岡山</v>
      </c>
      <c r="G2092" t="str">
        <f>"頻度不明"</f>
        <v>頻度不明</v>
      </c>
      <c r="H2092" t="str">
        <f>"2002222300887"</f>
        <v>2002222300887</v>
      </c>
      <c r="I2092" t="str">
        <f>HYPERLINK("#", "https://opac.libnet.pref.okayama.jp/licsxp-opac/WOpacMsgNewListToTifTilDetailAction.do?tilcod=2002222300887")</f>
        <v>https://opac.libnet.pref.okayama.jp/licsxp-opac/WOpacMsgNewListToTifTilDetailAction.do?tilcod=2002222300887</v>
      </c>
    </row>
    <row r="2093" spans="1:9" x14ac:dyDescent="0.4">
      <c r="A2093" t="str">
        <f>"くらしとぽすと"</f>
        <v>くらしとぽすと</v>
      </c>
      <c r="B2093" s="1" t="str">
        <f t="shared" si="118"/>
        <v>くらしとぽすと</v>
      </c>
      <c r="C2093" t="str">
        <f>"クラシ　ト　ポスト"</f>
        <v>クラシ　ト　ポスト</v>
      </c>
      <c r="D2093" t="str">
        <f>"岡山郵便協力会"</f>
        <v>岡山郵便協力会</v>
      </c>
      <c r="E2093" t="str">
        <f>"オカヤマユウビンキョウリョクカイ"</f>
        <v>オカヤマユウビンキョウリョクカイ</v>
      </c>
      <c r="F2093" t="str">
        <f>""</f>
        <v/>
      </c>
      <c r="G2093" t="str">
        <f>"頻度不明"</f>
        <v>頻度不明</v>
      </c>
      <c r="H2093" t="str">
        <f>"2002222289983"</f>
        <v>2002222289983</v>
      </c>
      <c r="I2093" t="str">
        <f>HYPERLINK("#", "https://opac.libnet.pref.okayama.jp/licsxp-opac/WOpacMsgNewListToTifTilDetailAction.do?tilcod=2002222289983")</f>
        <v>https://opac.libnet.pref.okayama.jp/licsxp-opac/WOpacMsgNewListToTifTilDetailAction.do?tilcod=2002222289983</v>
      </c>
    </row>
    <row r="2094" spans="1:9" x14ac:dyDescent="0.4">
      <c r="A2094" t="str">
        <f>"くらしのちえ"</f>
        <v>くらしのちえ</v>
      </c>
      <c r="B2094" s="1" t="str">
        <f t="shared" si="118"/>
        <v>くらしのちえ</v>
      </c>
      <c r="C2094" t="str">
        <f>"クラシ　ノ　チエ"</f>
        <v>クラシ　ノ　チエ</v>
      </c>
      <c r="D2094" t="str">
        <f>"津山市環境生活部環境生活課生活安全係"</f>
        <v>津山市環境生活部環境生活課生活安全係</v>
      </c>
      <c r="E2094" t="str">
        <f>"ツヤマシカンキョウセイカツブカンキョウセイカツカセイカツアンゼンガカリ"</f>
        <v>ツヤマシカンキョウセイカツブカンキョウセイカツカセイカツアンゼンガカリ</v>
      </c>
      <c r="F2094" t="str">
        <f>"津山"</f>
        <v>津山</v>
      </c>
      <c r="G2094" t="str">
        <f>"年刊"</f>
        <v>年刊</v>
      </c>
      <c r="H2094" t="str">
        <f>"2002222281401"</f>
        <v>2002222281401</v>
      </c>
      <c r="I2094" t="str">
        <f>HYPERLINK("#", "https://opac.libnet.pref.okayama.jp/licsxp-opac/WOpacMsgNewListToTifTilDetailAction.do?tilcod=2002222281401")</f>
        <v>https://opac.libnet.pref.okayama.jp/licsxp-opac/WOpacMsgNewListToTifTilDetailAction.do?tilcod=2002222281401</v>
      </c>
    </row>
    <row r="2095" spans="1:9" x14ac:dyDescent="0.4">
      <c r="A2095" t="str">
        <f>"くらしのニュース"</f>
        <v>くらしのニュース</v>
      </c>
      <c r="B2095" s="1" t="str">
        <f t="shared" si="118"/>
        <v>くらしのニュース</v>
      </c>
      <c r="C2095" t="str">
        <f>"クラシ　ノ　ニュース"</f>
        <v>クラシ　ノ　ニュース</v>
      </c>
      <c r="D2095" t="str">
        <f>"岡山県消費生活センター"</f>
        <v>岡山県消費生活センター</v>
      </c>
      <c r="E2095" t="str">
        <f>"オカヤマケン ショウヒ セイカツ センター"</f>
        <v>オカヤマケン ショウヒ セイカツ センター</v>
      </c>
      <c r="F2095" t="str">
        <f>""</f>
        <v/>
      </c>
      <c r="G2095" t="str">
        <f>"隔月刊"</f>
        <v>隔月刊</v>
      </c>
      <c r="H2095" t="str">
        <f>"2002222280143"</f>
        <v>2002222280143</v>
      </c>
      <c r="I2095" t="str">
        <f>HYPERLINK("#", "https://opac.libnet.pref.okayama.jp/licsxp-opac/WOpacMsgNewListToTifTilDetailAction.do?tilcod=2002222280143")</f>
        <v>https://opac.libnet.pref.okayama.jp/licsxp-opac/WOpacMsgNewListToTifTilDetailAction.do?tilcod=2002222280143</v>
      </c>
    </row>
    <row r="2096" spans="1:9" x14ac:dyDescent="0.4">
      <c r="A2096" t="str">
        <f>"くらしの美"</f>
        <v>くらしの美</v>
      </c>
      <c r="B2096" s="1" t="str">
        <f t="shared" si="118"/>
        <v>くらしの美</v>
      </c>
      <c r="C2096" t="str">
        <f>"クラシ　ノ　ビ"</f>
        <v>クラシ　ノ　ビ</v>
      </c>
      <c r="D2096" t="str">
        <f>"くらしを楽しむ会"</f>
        <v>くらしを楽しむ会</v>
      </c>
      <c r="E2096" t="str">
        <f>"クラシヲタノシムカイ"</f>
        <v>クラシヲタノシムカイ</v>
      </c>
      <c r="F2096" t="str">
        <f>""</f>
        <v/>
      </c>
      <c r="G2096" t="str">
        <f>"頻度不明"</f>
        <v>頻度不明</v>
      </c>
      <c r="H2096" t="str">
        <f>"2002222280153"</f>
        <v>2002222280153</v>
      </c>
      <c r="I2096" t="str">
        <f>HYPERLINK("#", "https://opac.libnet.pref.okayama.jp/licsxp-opac/WOpacMsgNewListToTifTilDetailAction.do?tilcod=2002222280153")</f>
        <v>https://opac.libnet.pref.okayama.jp/licsxp-opac/WOpacMsgNewListToTifTilDetailAction.do?tilcod=2002222280153</v>
      </c>
    </row>
    <row r="2097" spans="1:9" x14ac:dyDescent="0.4">
      <c r="A2097" t="str">
        <f>"くらしの窓"</f>
        <v>くらしの窓</v>
      </c>
      <c r="B2097" s="1" t="str">
        <f t="shared" si="118"/>
        <v>くらしの窓</v>
      </c>
      <c r="C2097" t="str">
        <f>"クラシ ノ マド"</f>
        <v>クラシ ノ マド</v>
      </c>
      <c r="D2097" t="str">
        <f>"倉敷市消費生活学級連絡協議会"</f>
        <v>倉敷市消費生活学級連絡協議会</v>
      </c>
      <c r="E2097" t="str">
        <f>"クラシキシ ショウヒ セイカツ ガッキュウ レンラク キョウギカイ"</f>
        <v>クラシキシ ショウヒ セイカツ ガッキュウ レンラク キョウギカイ</v>
      </c>
      <c r="F2097" t="str">
        <f>"倉敷"</f>
        <v>倉敷</v>
      </c>
      <c r="G2097" t="str">
        <f>"年２回刊"</f>
        <v>年２回刊</v>
      </c>
      <c r="H2097" t="str">
        <f>"2002222331846"</f>
        <v>2002222331846</v>
      </c>
      <c r="I2097" t="str">
        <f>HYPERLINK("#", "https://opac.libnet.pref.okayama.jp/licsxp-opac/WOpacMsgNewListToTifTilDetailAction.do?tilcod=2002222331846")</f>
        <v>https://opac.libnet.pref.okayama.jp/licsxp-opac/WOpacMsgNewListToTifTilDetailAction.do?tilcod=2002222331846</v>
      </c>
    </row>
    <row r="2098" spans="1:9" x14ac:dyDescent="0.4">
      <c r="A2098" t="str">
        <f>"くらし復興サポート通信"</f>
        <v>くらし復興サポート通信</v>
      </c>
      <c r="B2098" s="1" t="str">
        <f t="shared" si="118"/>
        <v>くらし復興サポート通信</v>
      </c>
      <c r="C2098" t="str">
        <f>"クラシ フッコウ サポート ツウシン"</f>
        <v>クラシ フッコウ サポート ツウシン</v>
      </c>
      <c r="D2098" t="str">
        <f>"岡山県くらし復興サポートセンター"</f>
        <v>岡山県くらし復興サポートセンター</v>
      </c>
      <c r="E2098" t="str">
        <f>"オカヤマケン クラシ フッコウ サポート センター"</f>
        <v>オカヤマケン クラシ フッコウ サポート センター</v>
      </c>
      <c r="F2098" t="str">
        <f>"岡山"</f>
        <v>岡山</v>
      </c>
      <c r="G2098" t="str">
        <f>"不定期刊"</f>
        <v>不定期刊</v>
      </c>
      <c r="H2098" t="str">
        <f>"2002222343010"</f>
        <v>2002222343010</v>
      </c>
      <c r="I2098" t="str">
        <f>HYPERLINK("#", "https://opac.libnet.pref.okayama.jp/licsxp-opac/WOpacMsgNewListToTifTilDetailAction.do?tilcod=2002222343010")</f>
        <v>https://opac.libnet.pref.okayama.jp/licsxp-opac/WOpacMsgNewListToTifTilDetailAction.do?tilcod=2002222343010</v>
      </c>
    </row>
    <row r="2099" spans="1:9" x14ac:dyDescent="0.4">
      <c r="A2099" t="str">
        <f>"Kurashie"</f>
        <v>Kurashie</v>
      </c>
      <c r="B2099" s="1" t="str">
        <f t="shared" si="118"/>
        <v>Kurashie</v>
      </c>
      <c r="C2099" t="str">
        <f>"クラシエ"</f>
        <v>クラシエ</v>
      </c>
      <c r="D2099" t="str">
        <f>"セキスイハイム中四国"</f>
        <v>セキスイハイム中四国</v>
      </c>
      <c r="E2099" t="str">
        <f>"セキスイ ハイム チュウシコク"</f>
        <v>セキスイ ハイム チュウシコク</v>
      </c>
      <c r="F2099" t="str">
        <f>"岡山"</f>
        <v>岡山</v>
      </c>
      <c r="G2099" t="str">
        <f>"年２回刊"</f>
        <v>年２回刊</v>
      </c>
      <c r="H2099" t="str">
        <f>"2002222332629"</f>
        <v>2002222332629</v>
      </c>
      <c r="I2099" t="str">
        <f>HYPERLINK("#", "https://opac.libnet.pref.okayama.jp/licsxp-opac/WOpacMsgNewListToTifTilDetailAction.do?tilcod=2002222332629")</f>
        <v>https://opac.libnet.pref.okayama.jp/licsxp-opac/WOpacMsgNewListToTifTilDetailAction.do?tilcod=2002222332629</v>
      </c>
    </row>
    <row r="2100" spans="1:9" x14ac:dyDescent="0.4">
      <c r="A2100" t="str">
        <f>"倉子城"</f>
        <v>倉子城</v>
      </c>
      <c r="B2100" s="1" t="str">
        <f t="shared" si="118"/>
        <v>倉子城</v>
      </c>
      <c r="C2100" t="str">
        <f>"クラシキ"</f>
        <v>クラシキ</v>
      </c>
      <c r="D2100" t="str">
        <f>"倉敷史談会"</f>
        <v>倉敷史談会</v>
      </c>
      <c r="E2100" t="str">
        <f>"クラシキ シダンカイ"</f>
        <v>クラシキ シダンカイ</v>
      </c>
      <c r="F2100" t="str">
        <f>"倉敷"</f>
        <v>倉敷</v>
      </c>
      <c r="G2100" t="str">
        <f>"不定期刊"</f>
        <v>不定期刊</v>
      </c>
      <c r="H2100" t="str">
        <f>"2002222292411"</f>
        <v>2002222292411</v>
      </c>
      <c r="I2100" t="str">
        <f>HYPERLINK("#", "https://opac.libnet.pref.okayama.jp/licsxp-opac/WOpacMsgNewListToTifTilDetailAction.do?tilcod=2002222292411")</f>
        <v>https://opac.libnet.pref.okayama.jp/licsxp-opac/WOpacMsgNewListToTifTilDetailAction.do?tilcod=2002222292411</v>
      </c>
    </row>
    <row r="2101" spans="1:9" x14ac:dyDescent="0.4">
      <c r="A2101" t="str">
        <f>"倉式"</f>
        <v>倉式</v>
      </c>
      <c r="B2101" s="1" t="str">
        <f t="shared" si="118"/>
        <v>倉式</v>
      </c>
      <c r="C2101" t="str">
        <f>"クラシキ"</f>
        <v>クラシキ</v>
      </c>
      <c r="D2101" t="str">
        <f>"タイプ倉"</f>
        <v>タイプ倉</v>
      </c>
      <c r="E2101" t="str">
        <f>"タイプクラ"</f>
        <v>タイプクラ</v>
      </c>
      <c r="F2101" t="str">
        <f>"倉敷"</f>
        <v>倉敷</v>
      </c>
      <c r="G2101" t="str">
        <f>"年刊"</f>
        <v>年刊</v>
      </c>
      <c r="H2101" t="str">
        <f>"2002222301081"</f>
        <v>2002222301081</v>
      </c>
      <c r="I2101" t="str">
        <f>HYPERLINK("#", "https://opac.libnet.pref.okayama.jp/licsxp-opac/WOpacMsgNewListToTifTilDetailAction.do?tilcod=2002222301081")</f>
        <v>https://opac.libnet.pref.okayama.jp/licsxp-opac/WOpacMsgNewListToTifTilDetailAction.do?tilcod=2002222301081</v>
      </c>
    </row>
    <row r="2102" spans="1:9" x14ac:dyDescent="0.4">
      <c r="A2102" t="str">
        <f>"暮らしき"</f>
        <v>暮らしき</v>
      </c>
      <c r="B2102" s="1" t="str">
        <f t="shared" si="118"/>
        <v>暮らしき</v>
      </c>
      <c r="C2102" t="str">
        <f>"クラシキ"</f>
        <v>クラシキ</v>
      </c>
      <c r="D2102" t="str">
        <f>"三宅商店"</f>
        <v>三宅商店</v>
      </c>
      <c r="E2102" t="str">
        <f>"ミヤケショウテン"</f>
        <v>ミヤケショウテン</v>
      </c>
      <c r="F2102" t="str">
        <f>"〔倉敷〕"</f>
        <v>〔倉敷〕</v>
      </c>
      <c r="G2102" t="str">
        <f>"年２回刊"</f>
        <v>年２回刊</v>
      </c>
      <c r="H2102" t="str">
        <f>"2002222301164"</f>
        <v>2002222301164</v>
      </c>
      <c r="I2102" t="str">
        <f>HYPERLINK("#", "https://opac.libnet.pref.okayama.jp/licsxp-opac/WOpacMsgNewListToTifTilDetailAction.do?tilcod=2002222301164")</f>
        <v>https://opac.libnet.pref.okayama.jp/licsxp-opac/WOpacMsgNewListToTifTilDetailAction.do?tilcod=2002222301164</v>
      </c>
    </row>
    <row r="2103" spans="1:9" x14ac:dyDescent="0.4">
      <c r="A2103" t="str">
        <f>"倉敷"</f>
        <v>倉敷</v>
      </c>
      <c r="B2103" s="1" t="str">
        <f t="shared" si="118"/>
        <v>倉敷</v>
      </c>
      <c r="C2103" t="str">
        <f>"クラシキ"</f>
        <v>クラシキ</v>
      </c>
      <c r="D2103" t="str">
        <f>"倉敷文化協会"</f>
        <v>倉敷文化協会</v>
      </c>
      <c r="E2103" t="str">
        <f>"クラシキ ブンカ キョウカイ"</f>
        <v>クラシキ ブンカ キョウカイ</v>
      </c>
      <c r="F2103" t="str">
        <f t="shared" ref="F2103:F2142" si="119">"倉敷"</f>
        <v>倉敷</v>
      </c>
      <c r="G2103" t="str">
        <f>"月刊"</f>
        <v>月刊</v>
      </c>
      <c r="H2103" t="str">
        <f>"2002222319567"</f>
        <v>2002222319567</v>
      </c>
      <c r="I2103" t="str">
        <f>HYPERLINK("#", "https://opac.libnet.pref.okayama.jp/licsxp-opac/WOpacMsgNewListToTifTilDetailAction.do?tilcod=2002222319567")</f>
        <v>https://opac.libnet.pref.okayama.jp/licsxp-opac/WOpacMsgNewListToTifTilDetailAction.do?tilcod=2002222319567</v>
      </c>
    </row>
    <row r="2104" spans="1:9" x14ac:dyDescent="0.4">
      <c r="A2104" t="str">
        <f>"倉敷天城高等学校学校案内"</f>
        <v>倉敷天城高等学校学校案内</v>
      </c>
      <c r="B2104" s="1" t="str">
        <f t="shared" si="118"/>
        <v>倉敷天城高等学校学校案内</v>
      </c>
      <c r="C2104" t="str">
        <f>"クラシキ アマキ コウトウ ガッコウ ガッコウ アンナイ"</f>
        <v>クラシキ アマキ コウトウ ガッコウ ガッコウ アンナイ</v>
      </c>
      <c r="D2104" t="str">
        <f>"倉敷天城高等学校"</f>
        <v>倉敷天城高等学校</v>
      </c>
      <c r="E2104" t="str">
        <f>"クラシキ アマキ コウトウ ガッコウ"</f>
        <v>クラシキ アマキ コウトウ ガッコウ</v>
      </c>
      <c r="F2104" t="str">
        <f t="shared" si="119"/>
        <v>倉敷</v>
      </c>
      <c r="G2104" t="str">
        <f>"年刊"</f>
        <v>年刊</v>
      </c>
      <c r="H2104" t="str">
        <f>"2002222301238"</f>
        <v>2002222301238</v>
      </c>
      <c r="I2104" t="str">
        <f>HYPERLINK("#", "https://opac.libnet.pref.okayama.jp/licsxp-opac/WOpacMsgNewListToTifTilDetailAction.do?tilcod=2002222301238")</f>
        <v>https://opac.libnet.pref.okayama.jp/licsxp-opac/WOpacMsgNewListToTifTilDetailAction.do?tilcod=2002222301238</v>
      </c>
    </row>
    <row r="2105" spans="1:9" x14ac:dyDescent="0.4">
      <c r="A2105" t="str">
        <f>"倉敷天城高等学校学校要覧"</f>
        <v>倉敷天城高等学校学校要覧</v>
      </c>
      <c r="B2105" s="1" t="str">
        <f t="shared" si="118"/>
        <v>倉敷天城高等学校学校要覧</v>
      </c>
      <c r="C2105" t="str">
        <f>"クラシキ アマキ コウトウ ガッコウ ガッコウ ヨウラン"</f>
        <v>クラシキ アマキ コウトウ ガッコウ ガッコウ ヨウラン</v>
      </c>
      <c r="D2105" t="str">
        <f>"倉敷天城高等学校"</f>
        <v>倉敷天城高等学校</v>
      </c>
      <c r="E2105" t="str">
        <f>"クラシキ アマキ コウトウ ガッコウ"</f>
        <v>クラシキ アマキ コウトウ ガッコウ</v>
      </c>
      <c r="F2105" t="str">
        <f t="shared" si="119"/>
        <v>倉敷</v>
      </c>
      <c r="G2105" t="str">
        <f>"年刊"</f>
        <v>年刊</v>
      </c>
      <c r="H2105" t="str">
        <f>"2002222300495"</f>
        <v>2002222300495</v>
      </c>
      <c r="I2105" t="str">
        <f>HYPERLINK("#", "https://opac.libnet.pref.okayama.jp/licsxp-opac/WOpacMsgNewListToTifTilDetailAction.do?tilcod=2002222300495")</f>
        <v>https://opac.libnet.pref.okayama.jp/licsxp-opac/WOpacMsgNewListToTifTilDetailAction.do?tilcod=2002222300495</v>
      </c>
    </row>
    <row r="2106" spans="1:9" x14ac:dyDescent="0.4">
      <c r="A2106" t="str">
        <f>"[倉敷天城高等学校]桜山学報"</f>
        <v>[倉敷天城高等学校]桜山学報</v>
      </c>
      <c r="B2106" s="1" t="str">
        <f t="shared" si="118"/>
        <v>[倉敷天城高等学校]桜山学報</v>
      </c>
      <c r="C2106" t="str">
        <f>"クラシキ アマキ コウトウ ガッコウ サクラヤマ ガクホウ"</f>
        <v>クラシキ アマキ コウトウ ガッコウ サクラヤマ ガクホウ</v>
      </c>
      <c r="D2106" t="str">
        <f>"倉敷天城高等学校新聞部"</f>
        <v>倉敷天城高等学校新聞部</v>
      </c>
      <c r="E2106" t="str">
        <f>"クラシキアマキコウトウガッコウシンブンブ"</f>
        <v>クラシキアマキコウトウガッコウシンブンブ</v>
      </c>
      <c r="F2106" t="str">
        <f t="shared" si="119"/>
        <v>倉敷</v>
      </c>
      <c r="G2106" t="str">
        <f>"年３回刊"</f>
        <v>年３回刊</v>
      </c>
      <c r="H2106" t="str">
        <f>"2002222301882"</f>
        <v>2002222301882</v>
      </c>
      <c r="I2106" t="str">
        <f>HYPERLINK("#", "https://opac.libnet.pref.okayama.jp/licsxp-opac/WOpacMsgNewListToTifTilDetailAction.do?tilcod=2002222301882")</f>
        <v>https://opac.libnet.pref.okayama.jp/licsxp-opac/WOpacMsgNewListToTifTilDetailAction.do?tilcod=2002222301882</v>
      </c>
    </row>
    <row r="2107" spans="1:9" x14ac:dyDescent="0.4">
      <c r="A2107" t="str">
        <f>"[倉敷天城高等学校]やまひこ"</f>
        <v>[倉敷天城高等学校]やまひこ</v>
      </c>
      <c r="B2107" s="1" t="str">
        <f t="shared" si="118"/>
        <v>[倉敷天城高等学校]やまひこ</v>
      </c>
      <c r="C2107" t="str">
        <f>"クラシキ アマキ コウトウ ガッコウ＊ヤマヒコ"</f>
        <v>クラシキ アマキ コウトウ ガッコウ＊ヤマヒコ</v>
      </c>
      <c r="D2107" t="str">
        <f>"倉敷天城高等学校文芸部"</f>
        <v>倉敷天城高等学校文芸部</v>
      </c>
      <c r="E2107" t="str">
        <f>"クラシキアマキコウトウガッコウブンゲイブ"</f>
        <v>クラシキアマキコウトウガッコウブンゲイブ</v>
      </c>
      <c r="F2107" t="str">
        <f t="shared" si="119"/>
        <v>倉敷</v>
      </c>
      <c r="G2107" t="str">
        <f>"年刊"</f>
        <v>年刊</v>
      </c>
      <c r="H2107" t="str">
        <f>"2002222301523"</f>
        <v>2002222301523</v>
      </c>
      <c r="I2107" t="str">
        <f>HYPERLINK("#", "https://opac.libnet.pref.okayama.jp/licsxp-opac/WOpacMsgNewListToTifTilDetailAction.do?tilcod=2002222301523")</f>
        <v>https://opac.libnet.pref.okayama.jp/licsxp-opac/WOpacMsgNewListToTifTilDetailAction.do?tilcod=2002222301523</v>
      </c>
    </row>
    <row r="2108" spans="1:9" x14ac:dyDescent="0.4">
      <c r="A2108" t="str">
        <f>"[倉敷天城高等学校]図書館報"</f>
        <v>[倉敷天城高等学校]図書館報</v>
      </c>
      <c r="B2108" s="1" t="str">
        <f t="shared" si="118"/>
        <v>[倉敷天城高等学校]図書館報</v>
      </c>
      <c r="C2108" t="str">
        <f>"クラシキ アマキ コウトウガッコウ＊トショカンポウ"</f>
        <v>クラシキ アマキ コウトウガッコウ＊トショカンポウ</v>
      </c>
      <c r="D2108" t="str">
        <f>"倉敷天城高等学校図書館"</f>
        <v>倉敷天城高等学校図書館</v>
      </c>
      <c r="E2108" t="str">
        <f>"クラシキアマギコウトウガッコウトショカン"</f>
        <v>クラシキアマギコウトウガッコウトショカン</v>
      </c>
      <c r="F2108" t="str">
        <f t="shared" si="119"/>
        <v>倉敷</v>
      </c>
      <c r="G2108" t="str">
        <f>"頻度不明"</f>
        <v>頻度不明</v>
      </c>
      <c r="H2108" t="str">
        <f>"2002222301796"</f>
        <v>2002222301796</v>
      </c>
      <c r="I2108" t="str">
        <f>HYPERLINK("#", "https://opac.libnet.pref.okayama.jp/licsxp-opac/WOpacMsgNewListToTifTilDetailAction.do?tilcod=2002222301796")</f>
        <v>https://opac.libnet.pref.okayama.jp/licsxp-opac/WOpacMsgNewListToTifTilDetailAction.do?tilcod=2002222301796</v>
      </c>
    </row>
    <row r="2109" spans="1:9" x14ac:dyDescent="0.4">
      <c r="A2109" t="str">
        <f>"倉敷天城中学校学校案内"</f>
        <v>倉敷天城中学校学校案内</v>
      </c>
      <c r="B2109" s="1" t="str">
        <f t="shared" si="118"/>
        <v>倉敷天城中学校学校案内</v>
      </c>
      <c r="C2109" t="str">
        <f>"クラシキ アマキ チュウガッコウ ガッコウ アンナイ"</f>
        <v>クラシキ アマキ チュウガッコウ ガッコウ アンナイ</v>
      </c>
      <c r="D2109" t="str">
        <f>"倉敷天城中学校"</f>
        <v>倉敷天城中学校</v>
      </c>
      <c r="E2109" t="str">
        <f>"クラシキ アマキ チュウガッコウ"</f>
        <v>クラシキ アマキ チュウガッコウ</v>
      </c>
      <c r="F2109" t="str">
        <f t="shared" si="119"/>
        <v>倉敷</v>
      </c>
      <c r="G2109" t="str">
        <f>"年刊"</f>
        <v>年刊</v>
      </c>
      <c r="H2109" t="str">
        <f>"2002222330568"</f>
        <v>2002222330568</v>
      </c>
      <c r="I2109" t="str">
        <f>HYPERLINK("#", "https://opac.libnet.pref.okayama.jp/licsxp-opac/WOpacMsgNewListToTifTilDetailAction.do?tilcod=2002222330568")</f>
        <v>https://opac.libnet.pref.okayama.jp/licsxp-opac/WOpacMsgNewListToTifTilDetailAction.do?tilcod=2002222330568</v>
      </c>
    </row>
    <row r="2110" spans="1:9" x14ac:dyDescent="0.4">
      <c r="A2110" t="str">
        <f>"倉敷天城中学校学校要覧"</f>
        <v>倉敷天城中学校学校要覧</v>
      </c>
      <c r="B2110" s="1" t="str">
        <f t="shared" si="118"/>
        <v>倉敷天城中学校学校要覧</v>
      </c>
      <c r="C2110" t="str">
        <f>"クラシキ アマキ チュウガッコウ ガッコウ ヨウラン"</f>
        <v>クラシキ アマキ チュウガッコウ ガッコウ ヨウラン</v>
      </c>
      <c r="D2110" t="str">
        <f>"倉敷天城中学校"</f>
        <v>倉敷天城中学校</v>
      </c>
      <c r="E2110" t="str">
        <f>"クラシキ アマキ チュウガッコウ"</f>
        <v>クラシキ アマキ チュウガッコウ</v>
      </c>
      <c r="F2110" t="str">
        <f t="shared" si="119"/>
        <v>倉敷</v>
      </c>
      <c r="G2110" t="str">
        <f>"年刊"</f>
        <v>年刊</v>
      </c>
      <c r="H2110" t="str">
        <f>"2002222307467"</f>
        <v>2002222307467</v>
      </c>
      <c r="I2110" t="str">
        <f>HYPERLINK("#", "https://opac.libnet.pref.okayama.jp/licsxp-opac/WOpacMsgNewListToTifTilDetailAction.do?tilcod=2002222307467")</f>
        <v>https://opac.libnet.pref.okayama.jp/licsxp-opac/WOpacMsgNewListToTifTilDetailAction.do?tilcod=2002222307467</v>
      </c>
    </row>
    <row r="2111" spans="1:9" x14ac:dyDescent="0.4">
      <c r="A2111" t="str">
        <f>"倉敷科学センターNEWS"</f>
        <v>倉敷科学センターNEWS</v>
      </c>
      <c r="B2111" s="1" t="str">
        <f t="shared" si="118"/>
        <v>倉敷科学センターNEWS</v>
      </c>
      <c r="C2111" t="str">
        <f>"クラシキ　カガク　センター　ニュース"</f>
        <v>クラシキ　カガク　センター　ニュース</v>
      </c>
      <c r="D2111" t="str">
        <f>"倉敷科学センター"</f>
        <v>倉敷科学センター</v>
      </c>
      <c r="E2111" t="str">
        <f>"クラシキ カガク センター"</f>
        <v>クラシキ カガク センター</v>
      </c>
      <c r="F2111" t="str">
        <f t="shared" si="119"/>
        <v>倉敷</v>
      </c>
      <c r="G2111" t="str">
        <f>"頻度不明"</f>
        <v>頻度不明</v>
      </c>
      <c r="H2111" t="str">
        <f>"2002222329108"</f>
        <v>2002222329108</v>
      </c>
      <c r="I2111" t="str">
        <f>HYPERLINK("#", "https://opac.libnet.pref.okayama.jp/licsxp-opac/WOpacMsgNewListToTifTilDetailAction.do?tilcod=2002222329108")</f>
        <v>https://opac.libnet.pref.okayama.jp/licsxp-opac/WOpacMsgNewListToTifTilDetailAction.do?tilcod=2002222329108</v>
      </c>
    </row>
    <row r="2112" spans="1:9" x14ac:dyDescent="0.4">
      <c r="A2112" t="str">
        <f>"倉敷かんきょう"</f>
        <v>倉敷かんきょう</v>
      </c>
      <c r="B2112" s="1" t="str">
        <f t="shared" si="118"/>
        <v>倉敷かんきょう</v>
      </c>
      <c r="C2112" t="str">
        <f>"クラシキ　カンキョウ"</f>
        <v>クラシキ　カンキョウ</v>
      </c>
      <c r="D2112" t="str">
        <f>"倉敷市環境衛生協議会"</f>
        <v>倉敷市環境衛生協議会</v>
      </c>
      <c r="E2112" t="str">
        <f>"クラシキシカンキョウエイセイキョウギカイ"</f>
        <v>クラシキシカンキョウエイセイキョウギカイ</v>
      </c>
      <c r="F2112" t="str">
        <f t="shared" si="119"/>
        <v>倉敷</v>
      </c>
      <c r="G2112" t="str">
        <f>"年２回刊"</f>
        <v>年２回刊</v>
      </c>
      <c r="H2112" t="str">
        <f>"2002222280053"</f>
        <v>2002222280053</v>
      </c>
      <c r="I2112" t="str">
        <f>HYPERLINK("#", "https://opac.libnet.pref.okayama.jp/licsxp-opac/WOpacMsgNewListToTifTilDetailAction.do?tilcod=2002222280053")</f>
        <v>https://opac.libnet.pref.okayama.jp/licsxp-opac/WOpacMsgNewListToTifTilDetailAction.do?tilcod=2002222280053</v>
      </c>
    </row>
    <row r="2113" spans="1:9" x14ac:dyDescent="0.4">
      <c r="A2113" t="str">
        <f>"倉敷経済"</f>
        <v>倉敷経済</v>
      </c>
      <c r="B2113" s="1" t="str">
        <f t="shared" si="118"/>
        <v>倉敷経済</v>
      </c>
      <c r="C2113" t="str">
        <f>"クラシキ　ケイザイ"</f>
        <v>クラシキ　ケイザイ</v>
      </c>
      <c r="D2113" t="str">
        <f>"倉敷経済研究会"</f>
        <v>倉敷経済研究会</v>
      </c>
      <c r="E2113" t="str">
        <f>"クラシキケイザイケンキュウカイ"</f>
        <v>クラシキケイザイケンキュウカイ</v>
      </c>
      <c r="F2113" t="str">
        <f t="shared" si="119"/>
        <v>倉敷</v>
      </c>
      <c r="G2113" t="str">
        <f>"頻度不明"</f>
        <v>頻度不明</v>
      </c>
      <c r="H2113" t="str">
        <f>"2002222301349"</f>
        <v>2002222301349</v>
      </c>
      <c r="I2113" t="str">
        <f>HYPERLINK("#", "https://opac.libnet.pref.okayama.jp/licsxp-opac/WOpacMsgNewListToTifTilDetailAction.do?tilcod=2002222301349")</f>
        <v>https://opac.libnet.pref.okayama.jp/licsxp-opac/WOpacMsgNewListToTifTilDetailAction.do?tilcod=2002222301349</v>
      </c>
    </row>
    <row r="2114" spans="1:9" x14ac:dyDescent="0.4">
      <c r="A2114" t="str">
        <f>"[倉敷経済協会]会報"</f>
        <v>[倉敷経済協会]会報</v>
      </c>
      <c r="B2114" s="1" t="str">
        <f t="shared" si="118"/>
        <v>[倉敷経済協会]会報</v>
      </c>
      <c r="C2114" t="str">
        <f>"クラシキ ケイザイ キョウカイ カイホウ"</f>
        <v>クラシキ ケイザイ キョウカイ カイホウ</v>
      </c>
      <c r="D2114" t="str">
        <f>"倉敷経済協会"</f>
        <v>倉敷経済協会</v>
      </c>
      <c r="E2114" t="str">
        <f>"クラシキ ケイザイ キョウカイ"</f>
        <v>クラシキ ケイザイ キョウカイ</v>
      </c>
      <c r="F2114" t="str">
        <f t="shared" si="119"/>
        <v>倉敷</v>
      </c>
      <c r="G2114" t="str">
        <f>"月刊"</f>
        <v>月刊</v>
      </c>
      <c r="H2114" t="str">
        <f>"2002222319569"</f>
        <v>2002222319569</v>
      </c>
      <c r="I2114" t="str">
        <f>HYPERLINK("#", "https://opac.libnet.pref.okayama.jp/licsxp-opac/WOpacMsgNewListToTifTilDetailAction.do?tilcod=2002222319569")</f>
        <v>https://opac.libnet.pref.okayama.jp/licsxp-opac/WOpacMsgNewListToTifTilDetailAction.do?tilcod=2002222319569</v>
      </c>
    </row>
    <row r="2115" spans="1:9" x14ac:dyDescent="0.4">
      <c r="A2115" t="str">
        <f>"くらしき経済月報"</f>
        <v>くらしき経済月報</v>
      </c>
      <c r="B2115" s="1" t="str">
        <f t="shared" si="118"/>
        <v>くらしき経済月報</v>
      </c>
      <c r="C2115" t="str">
        <f>"クラシキ ケイザイ ゲッポウ"</f>
        <v>クラシキ ケイザイ ゲッポウ</v>
      </c>
      <c r="D2115" t="str">
        <f>"倉敷商工会議所"</f>
        <v>倉敷商工会議所</v>
      </c>
      <c r="E2115" t="str">
        <f>"クラシキ ショウコウ カイギショ"</f>
        <v>クラシキ ショウコウ カイギショ</v>
      </c>
      <c r="F2115" t="str">
        <f t="shared" si="119"/>
        <v>倉敷</v>
      </c>
      <c r="G2115" t="str">
        <f>"季刊"</f>
        <v>季刊</v>
      </c>
      <c r="H2115" t="str">
        <f>"2002222280063"</f>
        <v>2002222280063</v>
      </c>
      <c r="I2115" t="str">
        <f>HYPERLINK("#", "https://opac.libnet.pref.okayama.jp/licsxp-opac/WOpacMsgNewListToTifTilDetailAction.do?tilcod=2002222280063")</f>
        <v>https://opac.libnet.pref.okayama.jp/licsxp-opac/WOpacMsgNewListToTifTilDetailAction.do?tilcod=2002222280063</v>
      </c>
    </row>
    <row r="2116" spans="1:9" x14ac:dyDescent="0.4">
      <c r="A2116" t="str">
        <f>"倉敷芸術科学大学紀要"</f>
        <v>倉敷芸術科学大学紀要</v>
      </c>
      <c r="B2116" s="1" t="str">
        <f t="shared" ref="B2116:B2179" si="120">HYPERLINK("#", A2116)</f>
        <v>倉敷芸術科学大学紀要</v>
      </c>
      <c r="C2116" t="str">
        <f>"クラシキ　ゲイジュツ　カガク　ダイガク　キヨウ"</f>
        <v>クラシキ　ゲイジュツ　カガク　ダイガク　キヨウ</v>
      </c>
      <c r="D2116" t="str">
        <f>"倉敷芸術科学大学"</f>
        <v>倉敷芸術科学大学</v>
      </c>
      <c r="E2116" t="str">
        <f>"クラシキ ゲイジュツ カガク ダイガク"</f>
        <v>クラシキ ゲイジュツ カガク ダイガク</v>
      </c>
      <c r="F2116" t="str">
        <f t="shared" si="119"/>
        <v>倉敷</v>
      </c>
      <c r="G2116" t="str">
        <f>"年刊"</f>
        <v>年刊</v>
      </c>
      <c r="H2116" t="str">
        <f>"2002222294531"</f>
        <v>2002222294531</v>
      </c>
      <c r="I2116" t="str">
        <f>HYPERLINK("#", "https://opac.libnet.pref.okayama.jp/licsxp-opac/WOpacMsgNewListToTifTilDetailAction.do?tilcod=2002222294531")</f>
        <v>https://opac.libnet.pref.okayama.jp/licsxp-opac/WOpacMsgNewListToTifTilDetailAction.do?tilcod=2002222294531</v>
      </c>
    </row>
    <row r="2117" spans="1:9" x14ac:dyDescent="0.4">
      <c r="A2117" t="str">
        <f>"倉敷芸術科学大学図書館報；学而思"</f>
        <v>倉敷芸術科学大学図書館報；学而思</v>
      </c>
      <c r="B2117" s="1" t="str">
        <f t="shared" si="120"/>
        <v>倉敷芸術科学大学図書館報；学而思</v>
      </c>
      <c r="C2117" t="str">
        <f>"クラシキ　ゲイジュツ　カガク　ダイガク　トショカンポウ＊ガクジシ"</f>
        <v>クラシキ　ゲイジュツ　カガク　ダイガク　トショカンポウ＊ガクジシ</v>
      </c>
      <c r="D2117" t="str">
        <f>"倉敷芸術科学大学"</f>
        <v>倉敷芸術科学大学</v>
      </c>
      <c r="E2117" t="str">
        <f>"クラシキ ゲイジュツ カガク ダイガク"</f>
        <v>クラシキ ゲイジュツ カガク ダイガク</v>
      </c>
      <c r="F2117" t="str">
        <f t="shared" si="119"/>
        <v>倉敷</v>
      </c>
      <c r="G2117" t="str">
        <f>"年刊"</f>
        <v>年刊</v>
      </c>
      <c r="H2117" t="str">
        <f>"2002222283031"</f>
        <v>2002222283031</v>
      </c>
      <c r="I2117" t="str">
        <f>HYPERLINK("#", "https://opac.libnet.pref.okayama.jp/licsxp-opac/WOpacMsgNewListToTifTilDetailAction.do?tilcod=2002222283031")</f>
        <v>https://opac.libnet.pref.okayama.jp/licsxp-opac/WOpacMsgNewListToTifTilDetailAction.do?tilcod=2002222283031</v>
      </c>
    </row>
    <row r="2118" spans="1:9" x14ac:dyDescent="0.4">
      <c r="A2118" t="str">
        <f>"[倉敷ケーブルテレビ]チャンネルガイド"</f>
        <v>[倉敷ケーブルテレビ]チャンネルガイド</v>
      </c>
      <c r="B2118" s="1" t="str">
        <f t="shared" si="120"/>
        <v>[倉敷ケーブルテレビ]チャンネルガイド</v>
      </c>
      <c r="C2118" t="str">
        <f>"クラシキ ケーブル テレビ チャンネルガイド"</f>
        <v>クラシキ ケーブル テレビ チャンネルガイド</v>
      </c>
      <c r="D2118" t="str">
        <f>"倉敷ケーブルテレビ"</f>
        <v>倉敷ケーブルテレビ</v>
      </c>
      <c r="E2118" t="str">
        <f>"クラシキ ケーブルテレビ"</f>
        <v>クラシキ ケーブルテレビ</v>
      </c>
      <c r="F2118" t="str">
        <f t="shared" si="119"/>
        <v>倉敷</v>
      </c>
      <c r="G2118" t="str">
        <f>"月刊"</f>
        <v>月刊</v>
      </c>
      <c r="H2118" t="str">
        <f>"2002222316987"</f>
        <v>2002222316987</v>
      </c>
      <c r="I2118" t="str">
        <f>HYPERLINK("#", "https://opac.libnet.pref.okayama.jp/licsxp-opac/WOpacMsgNewListToTifTilDetailAction.do?tilcod=2002222316987")</f>
        <v>https://opac.libnet.pref.okayama.jp/licsxp-opac/WOpacMsgNewListToTifTilDetailAction.do?tilcod=2002222316987</v>
      </c>
    </row>
    <row r="2119" spans="1:9" x14ac:dyDescent="0.4">
      <c r="A2119" t="str">
        <f>"[倉敷ケーブルテレビ]；KCT通信"</f>
        <v>[倉敷ケーブルテレビ]；KCT通信</v>
      </c>
      <c r="B2119" s="1" t="str">
        <f t="shared" si="120"/>
        <v>[倉敷ケーブルテレビ]；KCT通信</v>
      </c>
      <c r="C2119" t="str">
        <f>"クラシキ ケーブル テレビ＊ケーシーティ ツウシン"</f>
        <v>クラシキ ケーブル テレビ＊ケーシーティ ツウシン</v>
      </c>
      <c r="D2119" t="str">
        <f>"倉敷ケーブルテレビ"</f>
        <v>倉敷ケーブルテレビ</v>
      </c>
      <c r="E2119" t="str">
        <f>"クラシキ ケーブルテレビ"</f>
        <v>クラシキ ケーブルテレビ</v>
      </c>
      <c r="F2119" t="str">
        <f t="shared" si="119"/>
        <v>倉敷</v>
      </c>
      <c r="G2119" t="str">
        <f>"月刊"</f>
        <v>月刊</v>
      </c>
      <c r="H2119" t="str">
        <f>"2002222317786"</f>
        <v>2002222317786</v>
      </c>
      <c r="I2119" t="str">
        <f>HYPERLINK("#", "https://opac.libnet.pref.okayama.jp/licsxp-opac/WOpacMsgNewListToTifTilDetailAction.do?tilcod=2002222317786")</f>
        <v>https://opac.libnet.pref.okayama.jp/licsxp-opac/WOpacMsgNewListToTifTilDetailAction.do?tilcod=2002222317786</v>
      </c>
    </row>
    <row r="2120" spans="1:9" x14ac:dyDescent="0.4">
      <c r="A2120" t="str">
        <f>"くらしき健康応援ガイド"</f>
        <v>くらしき健康応援ガイド</v>
      </c>
      <c r="B2120" s="1" t="str">
        <f t="shared" si="120"/>
        <v>くらしき健康応援ガイド</v>
      </c>
      <c r="C2120" t="str">
        <f>"クラシキ ケンコウ オウエン ガイド"</f>
        <v>クラシキ ケンコウ オウエン ガイド</v>
      </c>
      <c r="D2120" t="str">
        <f>"倉敷市保健所健康づくり課"</f>
        <v>倉敷市保健所健康づくり課</v>
      </c>
      <c r="E2120" t="str">
        <f>"クラシキシ ホケンジョ ケンコウズクリカ"</f>
        <v>クラシキシ ホケンジョ ケンコウズクリカ</v>
      </c>
      <c r="F2120" t="str">
        <f t="shared" si="119"/>
        <v>倉敷</v>
      </c>
      <c r="G2120" t="str">
        <f>"年２回刊"</f>
        <v>年２回刊</v>
      </c>
      <c r="H2120" t="str">
        <f>"2002222338351"</f>
        <v>2002222338351</v>
      </c>
      <c r="I2120" t="str">
        <f>HYPERLINK("#", "https://opac.libnet.pref.okayama.jp/licsxp-opac/WOpacMsgNewListToTifTilDetailAction.do?tilcod=2002222338351")</f>
        <v>https://opac.libnet.pref.okayama.jp/licsxp-opac/WOpacMsgNewListToTifTilDetailAction.do?tilcod=2002222338351</v>
      </c>
    </row>
    <row r="2121" spans="1:9" x14ac:dyDescent="0.4">
      <c r="A2121" t="str">
        <f>"倉敷工業高等学校学校案内"</f>
        <v>倉敷工業高等学校学校案内</v>
      </c>
      <c r="B2121" s="1" t="str">
        <f t="shared" si="120"/>
        <v>倉敷工業高等学校学校案内</v>
      </c>
      <c r="C2121" t="str">
        <f>"クラシキ　コウギョウ　コウトウ　ガッコウ　ガッコウ　アンナイ"</f>
        <v>クラシキ　コウギョウ　コウトウ　ガッコウ　ガッコウ　アンナイ</v>
      </c>
      <c r="D2121" t="str">
        <f>"倉敷工業高等学校"</f>
        <v>倉敷工業高等学校</v>
      </c>
      <c r="E2121" t="str">
        <f>"クラシキ コウギョウ コウトウ ガッコウ"</f>
        <v>クラシキ コウギョウ コウトウ ガッコウ</v>
      </c>
      <c r="F2121" t="str">
        <f t="shared" si="119"/>
        <v>倉敷</v>
      </c>
      <c r="G2121" t="str">
        <f>"年刊"</f>
        <v>年刊</v>
      </c>
      <c r="H2121" t="str">
        <f>"2002222301249"</f>
        <v>2002222301249</v>
      </c>
      <c r="I2121" t="str">
        <f>HYPERLINK("#", "https://opac.libnet.pref.okayama.jp/licsxp-opac/WOpacMsgNewListToTifTilDetailAction.do?tilcod=2002222301249")</f>
        <v>https://opac.libnet.pref.okayama.jp/licsxp-opac/WOpacMsgNewListToTifTilDetailAction.do?tilcod=2002222301249</v>
      </c>
    </row>
    <row r="2122" spans="1:9" x14ac:dyDescent="0.4">
      <c r="A2122" t="str">
        <f>"倉敷工業高等学校学校要覧"</f>
        <v>倉敷工業高等学校学校要覧</v>
      </c>
      <c r="B2122" s="1" t="str">
        <f t="shared" si="120"/>
        <v>倉敷工業高等学校学校要覧</v>
      </c>
      <c r="C2122" t="str">
        <f>"クラシキ　コウギョウ　コウトウ　ガッコウ　ガッコウ　ヨウラン"</f>
        <v>クラシキ　コウギョウ　コウトウ　ガッコウ　ガッコウ　ヨウラン</v>
      </c>
      <c r="D2122" t="str">
        <f>"倉敷工業高等学校"</f>
        <v>倉敷工業高等学校</v>
      </c>
      <c r="E2122" t="str">
        <f>"クラシキ コウギョウ コウトウ ガッコウ"</f>
        <v>クラシキ コウギョウ コウトウ ガッコウ</v>
      </c>
      <c r="F2122" t="str">
        <f t="shared" si="119"/>
        <v>倉敷</v>
      </c>
      <c r="G2122" t="str">
        <f>"年刊"</f>
        <v>年刊</v>
      </c>
      <c r="H2122" t="str">
        <f>"2002222300503"</f>
        <v>2002222300503</v>
      </c>
      <c r="I2122" t="str">
        <f>HYPERLINK("#", "https://opac.libnet.pref.okayama.jp/licsxp-opac/WOpacMsgNewListToTifTilDetailAction.do?tilcod=2002222300503")</f>
        <v>https://opac.libnet.pref.okayama.jp/licsxp-opac/WOpacMsgNewListToTifTilDetailAction.do?tilcod=2002222300503</v>
      </c>
    </row>
    <row r="2123" spans="1:9" x14ac:dyDescent="0.4">
      <c r="A2123" t="str">
        <f>"〔倉敷工業高等学校〕おいまつ"</f>
        <v>〔倉敷工業高等学校〕おいまつ</v>
      </c>
      <c r="B2123" s="1" t="str">
        <f t="shared" si="120"/>
        <v>〔倉敷工業高等学校〕おいまつ</v>
      </c>
      <c r="C2123" t="str">
        <f>"クラシキ　コウギョウ　コウトウ　ガッコウ＊オイマツ"</f>
        <v>クラシキ　コウギョウ　コウトウ　ガッコウ＊オイマツ</v>
      </c>
      <c r="D2123" t="str">
        <f>"おいまつ会本部事務局"</f>
        <v>おいまつ会本部事務局</v>
      </c>
      <c r="E2123" t="str">
        <f>"オイマツカイホンブジムキョク"</f>
        <v>オイマツカイホンブジムキョク</v>
      </c>
      <c r="F2123" t="str">
        <f t="shared" si="119"/>
        <v>倉敷</v>
      </c>
      <c r="G2123" t="str">
        <f>"頻度不明"</f>
        <v>頻度不明</v>
      </c>
      <c r="H2123" t="str">
        <f>"2002222301820"</f>
        <v>2002222301820</v>
      </c>
      <c r="I2123" t="str">
        <f>HYPERLINK("#", "https://opac.libnet.pref.okayama.jp/licsxp-opac/WOpacMsgNewListToTifTilDetailAction.do?tilcod=2002222301820")</f>
        <v>https://opac.libnet.pref.okayama.jp/licsxp-opac/WOpacMsgNewListToTifTilDetailAction.do?tilcod=2002222301820</v>
      </c>
    </row>
    <row r="2124" spans="1:9" x14ac:dyDescent="0.4">
      <c r="A2124" t="str">
        <f>"〔倉敷工業高等学校〕倉工ＰＴＡかけはし"</f>
        <v>〔倉敷工業高等学校〕倉工ＰＴＡかけはし</v>
      </c>
      <c r="B2124" s="1" t="str">
        <f t="shared" si="120"/>
        <v>〔倉敷工業高等学校〕倉工ＰＴＡかけはし</v>
      </c>
      <c r="C2124" t="str">
        <f>"クラシキ　コウギョウ　コウトウ　ガッコウ＊クラコウ　ピーティーエー　カケハシ"</f>
        <v>クラシキ　コウギョウ　コウトウ　ガッコウ＊クラコウ　ピーティーエー　カケハシ</v>
      </c>
      <c r="D2124" t="str">
        <f>"倉敷工業高等学校ＰＴＡ後援会"</f>
        <v>倉敷工業高等学校ＰＴＡ後援会</v>
      </c>
      <c r="E2124" t="str">
        <f>"クラシキコウギョウコウトウガッコウピーティーエーコウエンカイ"</f>
        <v>クラシキコウギョウコウトウガッコウピーティーエーコウエンカイ</v>
      </c>
      <c r="F2124" t="str">
        <f t="shared" si="119"/>
        <v>倉敷</v>
      </c>
      <c r="G2124" t="str">
        <f>"頻度不明"</f>
        <v>頻度不明</v>
      </c>
      <c r="H2124" t="str">
        <f>"2002222301827"</f>
        <v>2002222301827</v>
      </c>
      <c r="I2124" t="str">
        <f>HYPERLINK("#", "https://opac.libnet.pref.okayama.jp/licsxp-opac/WOpacMsgNewListToTifTilDetailAction.do?tilcod=2002222301827")</f>
        <v>https://opac.libnet.pref.okayama.jp/licsxp-opac/WOpacMsgNewListToTifTilDetailAction.do?tilcod=2002222301827</v>
      </c>
    </row>
    <row r="2125" spans="1:9" x14ac:dyDescent="0.4">
      <c r="A2125" t="str">
        <f>"[倉敷考古館]館報"</f>
        <v>[倉敷考古館]館報</v>
      </c>
      <c r="B2125" s="1" t="str">
        <f t="shared" si="120"/>
        <v>[倉敷考古館]館報</v>
      </c>
      <c r="C2125" t="str">
        <f>"クラシキ コウコカン カンポウ"</f>
        <v>クラシキ コウコカン カンポウ</v>
      </c>
      <c r="D2125" t="str">
        <f>"財団法人倉敷考古館"</f>
        <v>財団法人倉敷考古館</v>
      </c>
      <c r="E2125" t="str">
        <f>"クラシキ コウコカン"</f>
        <v>クラシキ コウコカン</v>
      </c>
      <c r="F2125" t="str">
        <f t="shared" si="119"/>
        <v>倉敷</v>
      </c>
      <c r="G2125" t="str">
        <f>"頻度不明"</f>
        <v>頻度不明</v>
      </c>
      <c r="H2125" t="str">
        <f>"2002222334669"</f>
        <v>2002222334669</v>
      </c>
      <c r="I2125" t="str">
        <f>HYPERLINK("#", "https://opac.libnet.pref.okayama.jp/licsxp-opac/WOpacMsgNewListToTifTilDetailAction.do?tilcod=2002222334669")</f>
        <v>https://opac.libnet.pref.okayama.jp/licsxp-opac/WOpacMsgNewListToTifTilDetailAction.do?tilcod=2002222334669</v>
      </c>
    </row>
    <row r="2126" spans="1:9" x14ac:dyDescent="0.4">
      <c r="A2126" t="str">
        <f>"倉敷考古館研究集報"</f>
        <v>倉敷考古館研究集報</v>
      </c>
      <c r="B2126" s="1" t="str">
        <f t="shared" si="120"/>
        <v>倉敷考古館研究集報</v>
      </c>
      <c r="C2126" t="str">
        <f>"クラシキ　コウコカン　ケンキュウ　シュウホウ"</f>
        <v>クラシキ　コウコカン　ケンキュウ　シュウホウ</v>
      </c>
      <c r="D2126" t="str">
        <f>"倉敷考古館"</f>
        <v>倉敷考古館</v>
      </c>
      <c r="E2126" t="str">
        <f>"クラシキ コウコカン"</f>
        <v>クラシキ コウコカン</v>
      </c>
      <c r="F2126" t="str">
        <f t="shared" si="119"/>
        <v>倉敷</v>
      </c>
      <c r="G2126" t="str">
        <f>"不定期刊"</f>
        <v>不定期刊</v>
      </c>
      <c r="H2126" t="str">
        <f>"2002222280073"</f>
        <v>2002222280073</v>
      </c>
      <c r="I2126" t="str">
        <f>HYPERLINK("#", "https://opac.libnet.pref.okayama.jp/licsxp-opac/WOpacMsgNewListToTifTilDetailAction.do?tilcod=2002222280073")</f>
        <v>https://opac.libnet.pref.okayama.jp/licsxp-opac/WOpacMsgNewListToTifTilDetailAction.do?tilcod=2002222280073</v>
      </c>
    </row>
    <row r="2127" spans="1:9" x14ac:dyDescent="0.4">
      <c r="A2127" t="str">
        <f>"倉敷高等学校学校案内"</f>
        <v>倉敷高等学校学校案内</v>
      </c>
      <c r="B2127" s="1" t="str">
        <f t="shared" si="120"/>
        <v>倉敷高等学校学校案内</v>
      </c>
      <c r="C2127" t="str">
        <f>"クラシキ　コウトウ　ガッコウ　ガッコウ　アンナイ"</f>
        <v>クラシキ　コウトウ　ガッコウ　ガッコウ　アンナイ</v>
      </c>
      <c r="D2127" t="str">
        <f>"倉敷高等学校"</f>
        <v>倉敷高等学校</v>
      </c>
      <c r="E2127" t="str">
        <f>"クラシキコウトウガッコウ"</f>
        <v>クラシキコウトウガッコウ</v>
      </c>
      <c r="F2127" t="str">
        <f t="shared" si="119"/>
        <v>倉敷</v>
      </c>
      <c r="G2127" t="str">
        <f>"年刊"</f>
        <v>年刊</v>
      </c>
      <c r="H2127" t="str">
        <f>"2002222301269"</f>
        <v>2002222301269</v>
      </c>
      <c r="I2127" t="str">
        <f>HYPERLINK("#", "https://opac.libnet.pref.okayama.jp/licsxp-opac/WOpacMsgNewListToTifTilDetailAction.do?tilcod=2002222301269")</f>
        <v>https://opac.libnet.pref.okayama.jp/licsxp-opac/WOpacMsgNewListToTifTilDetailAction.do?tilcod=2002222301269</v>
      </c>
    </row>
    <row r="2128" spans="1:9" x14ac:dyDescent="0.4">
      <c r="A2128" t="str">
        <f>"[倉敷高等学校] 学校要覧"</f>
        <v>[倉敷高等学校] 学校要覧</v>
      </c>
      <c r="B2128" s="1" t="str">
        <f t="shared" si="120"/>
        <v>[倉敷高等学校] 学校要覧</v>
      </c>
      <c r="C2128" t="str">
        <f>"クラシキ　コウトウ　ガッコウ　ガッコウ　ヨウラン"</f>
        <v>クラシキ　コウトウ　ガッコウ　ガッコウ　ヨウラン</v>
      </c>
      <c r="D2128" t="str">
        <f>"倉敷高等学校"</f>
        <v>倉敷高等学校</v>
      </c>
      <c r="E2128" t="str">
        <f>"クラシキコウトウガッコウ"</f>
        <v>クラシキコウトウガッコウ</v>
      </c>
      <c r="F2128" t="str">
        <f t="shared" si="119"/>
        <v>倉敷</v>
      </c>
      <c r="G2128" t="str">
        <f>"年刊"</f>
        <v>年刊</v>
      </c>
      <c r="H2128" t="str">
        <f>"2002222300581"</f>
        <v>2002222300581</v>
      </c>
      <c r="I2128" t="str">
        <f>HYPERLINK("#", "https://opac.libnet.pref.okayama.jp/licsxp-opac/WOpacMsgNewListToTifTilDetailAction.do?tilcod=2002222300581")</f>
        <v>https://opac.libnet.pref.okayama.jp/licsxp-opac/WOpacMsgNewListToTifTilDetailAction.do?tilcod=2002222300581</v>
      </c>
    </row>
    <row r="2129" spans="1:9" x14ac:dyDescent="0.4">
      <c r="A2129" t="str">
        <f>"[倉敷高等女学校]校友"</f>
        <v>[倉敷高等女学校]校友</v>
      </c>
      <c r="B2129" s="1" t="str">
        <f t="shared" si="120"/>
        <v>[倉敷高等女学校]校友</v>
      </c>
      <c r="C2129" t="str">
        <f>"クラシキ コウトウ ジョガッコウ コウユウ "</f>
        <v xml:space="preserve">クラシキ コウトウ ジョガッコウ コウユウ </v>
      </c>
      <c r="D2129" t="str">
        <f>"倉敷高等女学校校友会"</f>
        <v>倉敷高等女学校校友会</v>
      </c>
      <c r="E2129" t="str">
        <f>"クラシキ コウトウ ジョガッコウ コウユウカイ"</f>
        <v>クラシキ コウトウ ジョガッコウ コウユウカイ</v>
      </c>
      <c r="F2129" t="str">
        <f t="shared" si="119"/>
        <v>倉敷</v>
      </c>
      <c r="G2129" t="str">
        <f>"頻度不明"</f>
        <v>頻度不明</v>
      </c>
      <c r="H2129" t="str">
        <f>"2002222310266"</f>
        <v>2002222310266</v>
      </c>
      <c r="I2129" t="str">
        <f>HYPERLINK("#", "https://opac.libnet.pref.okayama.jp/licsxp-opac/WOpacMsgNewListToTifTilDetailAction.do?tilcod=2002222310266")</f>
        <v>https://opac.libnet.pref.okayama.jp/licsxp-opac/WOpacMsgNewListToTifTilDetailAction.do?tilcod=2002222310266</v>
      </c>
    </row>
    <row r="2130" spans="1:9" x14ac:dyDescent="0.4">
      <c r="A2130" t="str">
        <f>"[倉敷古城池高等学校] 学校案内"</f>
        <v>[倉敷古城池高等学校] 学校案内</v>
      </c>
      <c r="B2130" s="1" t="str">
        <f t="shared" si="120"/>
        <v>[倉敷古城池高等学校] 学校案内</v>
      </c>
      <c r="C2130" t="str">
        <f>"クラシキ　コジョウイケ　コウトウ　ガッコウ　ガッコウ　アンナイ"</f>
        <v>クラシキ　コジョウイケ　コウトウ　ガッコウ　ガッコウ　アンナイ</v>
      </c>
      <c r="D2130" t="str">
        <f t="shared" ref="D2130:D2135" si="121">"倉敷古城池高等学校"</f>
        <v>倉敷古城池高等学校</v>
      </c>
      <c r="E2130" t="str">
        <f t="shared" ref="E2130:E2135" si="122">"クラシキ コジョウイケ コウトウ ガッコウ"</f>
        <v>クラシキ コジョウイケ コウトウ ガッコウ</v>
      </c>
      <c r="F2130" t="str">
        <f t="shared" si="119"/>
        <v>倉敷</v>
      </c>
      <c r="G2130" t="str">
        <f>"年刊"</f>
        <v>年刊</v>
      </c>
      <c r="H2130" t="str">
        <f>"2002222301241"</f>
        <v>2002222301241</v>
      </c>
      <c r="I2130" t="str">
        <f>HYPERLINK("#", "https://opac.libnet.pref.okayama.jp/licsxp-opac/WOpacMsgNewListToTifTilDetailAction.do?tilcod=2002222301241")</f>
        <v>https://opac.libnet.pref.okayama.jp/licsxp-opac/WOpacMsgNewListToTifTilDetailAction.do?tilcod=2002222301241</v>
      </c>
    </row>
    <row r="2131" spans="1:9" x14ac:dyDescent="0.4">
      <c r="A2131" t="str">
        <f>"[倉敷古城池高等学校] 学校要覧"</f>
        <v>[倉敷古城池高等学校] 学校要覧</v>
      </c>
      <c r="B2131" s="1" t="str">
        <f t="shared" si="120"/>
        <v>[倉敷古城池高等学校] 学校要覧</v>
      </c>
      <c r="C2131" t="str">
        <f>"クラシキ　コジョウイケ　コウトウ　ガッコウ　ガッコウ　ヨウラン"</f>
        <v>クラシキ　コジョウイケ　コウトウ　ガッコウ　ガッコウ　ヨウラン</v>
      </c>
      <c r="D2131" t="str">
        <f t="shared" si="121"/>
        <v>倉敷古城池高等学校</v>
      </c>
      <c r="E2131" t="str">
        <f t="shared" si="122"/>
        <v>クラシキ コジョウイケ コウトウ ガッコウ</v>
      </c>
      <c r="F2131" t="str">
        <f t="shared" si="119"/>
        <v>倉敷</v>
      </c>
      <c r="G2131" t="str">
        <f>"年刊"</f>
        <v>年刊</v>
      </c>
      <c r="H2131" t="str">
        <f>"2002222300603"</f>
        <v>2002222300603</v>
      </c>
      <c r="I2131" t="str">
        <f>HYPERLINK("#", "https://opac.libnet.pref.okayama.jp/licsxp-opac/WOpacMsgNewListToTifTilDetailAction.do?tilcod=2002222300603")</f>
        <v>https://opac.libnet.pref.okayama.jp/licsxp-opac/WOpacMsgNewListToTifTilDetailAction.do?tilcod=2002222300603</v>
      </c>
    </row>
    <row r="2132" spans="1:9" x14ac:dyDescent="0.4">
      <c r="A2132" t="str">
        <f>"〔倉敷古城池高等学校〕館報ふじ"</f>
        <v>〔倉敷古城池高等学校〕館報ふじ</v>
      </c>
      <c r="B2132" s="1" t="str">
        <f t="shared" si="120"/>
        <v>〔倉敷古城池高等学校〕館報ふじ</v>
      </c>
      <c r="C2132" t="str">
        <f>"クラシキ　コジョウイケ　コウトウ　ガッコウ　カンポウ　フジ"</f>
        <v>クラシキ　コジョウイケ　コウトウ　ガッコウ　カンポウ　フジ</v>
      </c>
      <c r="D2132" t="str">
        <f t="shared" si="121"/>
        <v>倉敷古城池高等学校</v>
      </c>
      <c r="E2132" t="str">
        <f t="shared" si="122"/>
        <v>クラシキ コジョウイケ コウトウ ガッコウ</v>
      </c>
      <c r="F2132" t="str">
        <f t="shared" si="119"/>
        <v>倉敷</v>
      </c>
      <c r="G2132" t="str">
        <f>"年刊"</f>
        <v>年刊</v>
      </c>
      <c r="H2132" t="str">
        <f>"2002222326968"</f>
        <v>2002222326968</v>
      </c>
      <c r="I2132" t="str">
        <f>HYPERLINK("#", "https://opac.libnet.pref.okayama.jp/licsxp-opac/WOpacMsgNewListToTifTilDetailAction.do?tilcod=2002222326968")</f>
        <v>https://opac.libnet.pref.okayama.jp/licsxp-opac/WOpacMsgNewListToTifTilDetailAction.do?tilcod=2002222326968</v>
      </c>
    </row>
    <row r="2133" spans="1:9" x14ac:dyDescent="0.4">
      <c r="A2133" t="str">
        <f>"〔倉敷古城池高等学校〕図書月報ふじ"</f>
        <v>〔倉敷古城池高等学校〕図書月報ふじ</v>
      </c>
      <c r="B2133" s="1" t="str">
        <f t="shared" si="120"/>
        <v>〔倉敷古城池高等学校〕図書月報ふじ</v>
      </c>
      <c r="C2133" t="str">
        <f>"クラシキ　コジョウイケ　コウトウ　ガッコウ　トショゲッポウ　フジ"</f>
        <v>クラシキ　コジョウイケ　コウトウ　ガッコウ　トショゲッポウ　フジ</v>
      </c>
      <c r="D2133" t="str">
        <f t="shared" si="121"/>
        <v>倉敷古城池高等学校</v>
      </c>
      <c r="E2133" t="str">
        <f t="shared" si="122"/>
        <v>クラシキ コジョウイケ コウトウ ガッコウ</v>
      </c>
      <c r="F2133" t="str">
        <f t="shared" si="119"/>
        <v>倉敷</v>
      </c>
      <c r="G2133" t="str">
        <f>"頻度不明"</f>
        <v>頻度不明</v>
      </c>
      <c r="H2133" t="str">
        <f>"2002222326967"</f>
        <v>2002222326967</v>
      </c>
      <c r="I2133" t="str">
        <f>HYPERLINK("#", "https://opac.libnet.pref.okayama.jp/licsxp-opac/WOpacMsgNewListToTifTilDetailAction.do?tilcod=2002222326967")</f>
        <v>https://opac.libnet.pref.okayama.jp/licsxp-opac/WOpacMsgNewListToTifTilDetailAction.do?tilcod=2002222326967</v>
      </c>
    </row>
    <row r="2134" spans="1:9" x14ac:dyDescent="0.4">
      <c r="A2134" t="str">
        <f>"〔倉敷古城池高等学校〕Ｍｏｎｔｈｌｙ　ふじ"</f>
        <v>〔倉敷古城池高等学校〕Ｍｏｎｔｈｌｙ　ふじ</v>
      </c>
      <c r="B2134" s="1" t="str">
        <f t="shared" si="120"/>
        <v>〔倉敷古城池高等学校〕Ｍｏｎｔｈｌｙ　ふじ</v>
      </c>
      <c r="C2134" t="str">
        <f>"クラシキ　コジョウイケ　コウトウ　ガッコウ　マンスリー　フジ"</f>
        <v>クラシキ　コジョウイケ　コウトウ　ガッコウ　マンスリー　フジ</v>
      </c>
      <c r="D2134" t="str">
        <f t="shared" si="121"/>
        <v>倉敷古城池高等学校</v>
      </c>
      <c r="E2134" t="str">
        <f t="shared" si="122"/>
        <v>クラシキ コジョウイケ コウトウ ガッコウ</v>
      </c>
      <c r="F2134" t="str">
        <f t="shared" si="119"/>
        <v>倉敷</v>
      </c>
      <c r="G2134" t="str">
        <f>"頻度不明"</f>
        <v>頻度不明</v>
      </c>
      <c r="H2134" t="str">
        <f>"2002222284721"</f>
        <v>2002222284721</v>
      </c>
      <c r="I2134" t="str">
        <f>HYPERLINK("#", "https://opac.libnet.pref.okayama.jp/licsxp-opac/WOpacMsgNewListToTifTilDetailAction.do?tilcod=2002222284721")</f>
        <v>https://opac.libnet.pref.okayama.jp/licsxp-opac/WOpacMsgNewListToTifTilDetailAction.do?tilcod=2002222284721</v>
      </c>
    </row>
    <row r="2135" spans="1:9" x14ac:dyDescent="0.4">
      <c r="A2135" t="str">
        <f>"〔倉敷古城池高等学校〕古城池Ｌｉｎｅｒ（古城池ライナー）"</f>
        <v>〔倉敷古城池高等学校〕古城池Ｌｉｎｅｒ（古城池ライナー）</v>
      </c>
      <c r="B2135" s="1" t="str">
        <f t="shared" si="120"/>
        <v>〔倉敷古城池高等学校〕古城池Ｌｉｎｅｒ（古城池ライナー）</v>
      </c>
      <c r="C2135" t="str">
        <f>"クラシキ　コジョウイケ　コウトウ　ガッコウ＊コジョウイケ　ライナー"</f>
        <v>クラシキ　コジョウイケ　コウトウ　ガッコウ＊コジョウイケ　ライナー</v>
      </c>
      <c r="D2135" t="str">
        <f t="shared" si="121"/>
        <v>倉敷古城池高等学校</v>
      </c>
      <c r="E2135" t="str">
        <f t="shared" si="122"/>
        <v>クラシキ コジョウイケ コウトウ ガッコウ</v>
      </c>
      <c r="F2135" t="str">
        <f t="shared" si="119"/>
        <v>倉敷</v>
      </c>
      <c r="G2135" t="str">
        <f>"隔月刊"</f>
        <v>隔月刊</v>
      </c>
      <c r="H2135" t="str">
        <f>"2002222301947"</f>
        <v>2002222301947</v>
      </c>
      <c r="I2135" t="str">
        <f>HYPERLINK("#", "https://opac.libnet.pref.okayama.jp/licsxp-opac/WOpacMsgNewListToTifTilDetailAction.do?tilcod=2002222301947")</f>
        <v>https://opac.libnet.pref.okayama.jp/licsxp-opac/WOpacMsgNewListToTifTilDetailAction.do?tilcod=2002222301947</v>
      </c>
    </row>
    <row r="2136" spans="1:9" x14ac:dyDescent="0.4">
      <c r="A2136" t="str">
        <f>"[倉敷古城池高等学校] 藤花"</f>
        <v>[倉敷古城池高等学校] 藤花</v>
      </c>
      <c r="B2136" s="1" t="str">
        <f t="shared" si="120"/>
        <v>[倉敷古城池高等学校] 藤花</v>
      </c>
      <c r="C2136" t="str">
        <f>"クラシキ コジョウイケ コウトウ ガッコウ＊トウカ"</f>
        <v>クラシキ コジョウイケ コウトウ ガッコウ＊トウカ</v>
      </c>
      <c r="D2136" t="str">
        <f>"倉敷古城池高等学校文芸部"</f>
        <v>倉敷古城池高等学校文芸部</v>
      </c>
      <c r="E2136" t="str">
        <f>"クラシキ コジョウイケ コウトウ ガッコウ ブンゲイブ"</f>
        <v>クラシキ コジョウイケ コウトウ ガッコウ ブンゲイブ</v>
      </c>
      <c r="F2136" t="str">
        <f t="shared" si="119"/>
        <v>倉敷</v>
      </c>
      <c r="G2136" t="str">
        <f>"年刊"</f>
        <v>年刊</v>
      </c>
      <c r="H2136" t="str">
        <f>"2002222339510"</f>
        <v>2002222339510</v>
      </c>
      <c r="I2136" t="str">
        <f>HYPERLINK("#", "https://opac.libnet.pref.okayama.jp/licsxp-opac/WOpacMsgNewListToTifTilDetailAction.do?tilcod=2002222339510")</f>
        <v>https://opac.libnet.pref.okayama.jp/licsxp-opac/WOpacMsgNewListToTifTilDetailAction.do?tilcod=2002222339510</v>
      </c>
    </row>
    <row r="2137" spans="1:9" x14ac:dyDescent="0.4">
      <c r="A2137" t="str">
        <f>"くらしきコンサート"</f>
        <v>くらしきコンサート</v>
      </c>
      <c r="B2137" s="1" t="str">
        <f t="shared" si="120"/>
        <v>くらしきコンサート</v>
      </c>
      <c r="C2137" t="str">
        <f>"クラシキ　コンサート"</f>
        <v>クラシキ　コンサート</v>
      </c>
      <c r="D2137" t="str">
        <f>"くらしきコンサート"</f>
        <v>くらしきコンサート</v>
      </c>
      <c r="E2137" t="str">
        <f>"クラシキコンサート"</f>
        <v>クラシキコンサート</v>
      </c>
      <c r="F2137" t="str">
        <f t="shared" si="119"/>
        <v>倉敷</v>
      </c>
      <c r="G2137" t="str">
        <f>"年刊"</f>
        <v>年刊</v>
      </c>
      <c r="H2137" t="str">
        <f>"2002222282071"</f>
        <v>2002222282071</v>
      </c>
      <c r="I2137" t="str">
        <f>HYPERLINK("#", "https://opac.libnet.pref.okayama.jp/licsxp-opac/WOpacMsgNewListToTifTilDetailAction.do?tilcod=2002222282071")</f>
        <v>https://opac.libnet.pref.okayama.jp/licsxp-opac/WOpacMsgNewListToTifTilDetailAction.do?tilcod=2002222282071</v>
      </c>
    </row>
    <row r="2138" spans="1:9" x14ac:dyDescent="0.4">
      <c r="A2138" t="str">
        <f>"くらしき作陽大学　作陽音楽短期大学　研究紀要"</f>
        <v>くらしき作陽大学　作陽音楽短期大学　研究紀要</v>
      </c>
      <c r="B2138" s="1" t="str">
        <f t="shared" si="120"/>
        <v>くらしき作陽大学　作陽音楽短期大学　研究紀要</v>
      </c>
      <c r="C2138" t="str">
        <f>"クラシキ　サクヨウ　ダイガク　サクヨウ　オンガク　タンキ　ダイガク　ケンキュウ　キヨウ"</f>
        <v>クラシキ　サクヨウ　ダイガク　サクヨウ　オンガク　タンキ　ダイガク　ケンキュウ　キヨウ</v>
      </c>
      <c r="D2138" t="str">
        <f>"くらしき作陽大学・作陽音楽短期大学"</f>
        <v>くらしき作陽大学・作陽音楽短期大学</v>
      </c>
      <c r="E2138" t="str">
        <f>"クラシキ サクヨウ ダイガク サクヨウ オンガク タンキ ダイガク"</f>
        <v>クラシキ サクヨウ ダイガク サクヨウ オンガク タンキ ダイガク</v>
      </c>
      <c r="F2138" t="str">
        <f t="shared" si="119"/>
        <v>倉敷</v>
      </c>
      <c r="G2138" t="str">
        <f>"年２回刊"</f>
        <v>年２回刊</v>
      </c>
      <c r="H2138" t="str">
        <f>"2002222302160"</f>
        <v>2002222302160</v>
      </c>
      <c r="I2138" t="str">
        <f>HYPERLINK("#", "https://opac.libnet.pref.okayama.jp/licsxp-opac/WOpacMsgNewListToTifTilDetailAction.do?tilcod=2002222302160")</f>
        <v>https://opac.libnet.pref.okayama.jp/licsxp-opac/WOpacMsgNewListToTifTilDetailAction.do?tilcod=2002222302160</v>
      </c>
    </row>
    <row r="2139" spans="1:9" x14ac:dyDescent="0.4">
      <c r="A2139" t="str">
        <f>"くらしき作陽大学　作陽短期大学　研究紀要"</f>
        <v>くらしき作陽大学　作陽短期大学　研究紀要</v>
      </c>
      <c r="B2139" s="1" t="str">
        <f t="shared" si="120"/>
        <v>くらしき作陽大学　作陽短期大学　研究紀要</v>
      </c>
      <c r="C2139" t="str">
        <f>"クラシキ　サクヨウ　ダイガク　サクヨウ　タンキ　ダイガク　ケンキュウ　キヨウ"</f>
        <v>クラシキ　サクヨウ　ダイガク　サクヨウ　タンキ　ダイガク　ケンキュウ　キヨウ</v>
      </c>
      <c r="D2139" t="str">
        <f>"くらしき作陽大学・作陽短期大学"</f>
        <v>くらしき作陽大学・作陽短期大学</v>
      </c>
      <c r="E2139" t="str">
        <f>"クラシキ サクヨウ ダイガク サクヨウ タンキ ダイガク"</f>
        <v>クラシキ サクヨウ ダイガク サクヨウ タンキ ダイガク</v>
      </c>
      <c r="F2139" t="str">
        <f t="shared" si="119"/>
        <v>倉敷</v>
      </c>
      <c r="G2139" t="str">
        <f>"年２回刊"</f>
        <v>年２回刊</v>
      </c>
      <c r="H2139" t="str">
        <f>"2002222293101"</f>
        <v>2002222293101</v>
      </c>
      <c r="I2139" t="str">
        <f>HYPERLINK("#", "https://opac.libnet.pref.okayama.jp/licsxp-opac/WOpacMsgNewListToTifTilDetailAction.do?tilcod=2002222293101")</f>
        <v>https://opac.libnet.pref.okayama.jp/licsxp-opac/WOpacMsgNewListToTifTilDetailAction.do?tilcod=2002222293101</v>
      </c>
    </row>
    <row r="2140" spans="1:9" x14ac:dyDescent="0.4">
      <c r="A2140" t="str">
        <f>"倉敷市史だより"</f>
        <v>倉敷市史だより</v>
      </c>
      <c r="B2140" s="1" t="str">
        <f t="shared" si="120"/>
        <v>倉敷市史だより</v>
      </c>
      <c r="C2140" t="str">
        <f>"クラシキ　シシ　ダヨリ"</f>
        <v>クラシキ　シシ　ダヨリ</v>
      </c>
      <c r="D2140" t="str">
        <f>"倉敷市総務局総務部市史編さん室"</f>
        <v>倉敷市総務局総務部市史編さん室</v>
      </c>
      <c r="E2140" t="str">
        <f>"クラシキシソウムキョクソウムブシシヘンサンシツ"</f>
        <v>クラシキシソウムキョクソウムブシシヘンサンシツ</v>
      </c>
      <c r="F2140" t="str">
        <f t="shared" si="119"/>
        <v>倉敷</v>
      </c>
      <c r="G2140" t="str">
        <f>"年刊"</f>
        <v>年刊</v>
      </c>
      <c r="H2140" t="str">
        <f>"2002222292421"</f>
        <v>2002222292421</v>
      </c>
      <c r="I2140" t="str">
        <f>HYPERLINK("#", "https://opac.libnet.pref.okayama.jp/licsxp-opac/WOpacMsgNewListToTifTilDetailAction.do?tilcod=2002222292421")</f>
        <v>https://opac.libnet.pref.okayama.jp/licsxp-opac/WOpacMsgNewListToTifTilDetailAction.do?tilcod=2002222292421</v>
      </c>
    </row>
    <row r="2141" spans="1:9" x14ac:dyDescent="0.4">
      <c r="A2141" t="str">
        <f>"倉敷視聴覚ニュース"</f>
        <v>倉敷視聴覚ニュース</v>
      </c>
      <c r="B2141" s="1" t="str">
        <f t="shared" si="120"/>
        <v>倉敷視聴覚ニュース</v>
      </c>
      <c r="C2141" t="str">
        <f>"クラシキ　シチョウカク　ニュース"</f>
        <v>クラシキ　シチョウカク　ニュース</v>
      </c>
      <c r="D2141" t="str">
        <f>"倉敷市視聴覚教育研究協会"</f>
        <v>倉敷市視聴覚教育研究協会</v>
      </c>
      <c r="E2141" t="str">
        <f>"クラシキシシチョウカクキョウイクケンキュウキョウカイ"</f>
        <v>クラシキシシチョウカクキョウイクケンキュウキョウカイ</v>
      </c>
      <c r="F2141" t="str">
        <f t="shared" si="119"/>
        <v>倉敷</v>
      </c>
      <c r="G2141" t="str">
        <f>"頻度不明"</f>
        <v>頻度不明</v>
      </c>
      <c r="H2141" t="str">
        <f>"2002222280083"</f>
        <v>2002222280083</v>
      </c>
      <c r="I2141" t="str">
        <f>HYPERLINK("#", "https://opac.libnet.pref.okayama.jp/licsxp-opac/WOpacMsgNewListToTifTilDetailAction.do?tilcod=2002222280083")</f>
        <v>https://opac.libnet.pref.okayama.jp/licsxp-opac/WOpacMsgNewListToTifTilDetailAction.do?tilcod=2002222280083</v>
      </c>
    </row>
    <row r="2142" spans="1:9" x14ac:dyDescent="0.4">
      <c r="A2142" t="str">
        <f>"倉敷市民会館　催しものご案内"</f>
        <v>倉敷市民会館　催しものご案内</v>
      </c>
      <c r="B2142" s="1" t="str">
        <f t="shared" si="120"/>
        <v>倉敷市民会館　催しものご案内</v>
      </c>
      <c r="C2142" t="str">
        <f>"クラシキ　シミンカイカン　モヨオシモノ　ゴアンナイ"</f>
        <v>クラシキ　シミンカイカン　モヨオシモノ　ゴアンナイ</v>
      </c>
      <c r="D2142" t="str">
        <f>"倉敷市民会館"</f>
        <v>倉敷市民会館</v>
      </c>
      <c r="E2142" t="str">
        <f>"クラシキシミンカイカン"</f>
        <v>クラシキシミンカイカン</v>
      </c>
      <c r="F2142" t="str">
        <f t="shared" si="119"/>
        <v>倉敷</v>
      </c>
      <c r="G2142" t="str">
        <f>"月刊"</f>
        <v>月刊</v>
      </c>
      <c r="H2142" t="str">
        <f>"2002222293811"</f>
        <v>2002222293811</v>
      </c>
      <c r="I2142" t="str">
        <f>HYPERLINK("#", "https://opac.libnet.pref.okayama.jp/licsxp-opac/WOpacMsgNewListToTifTilDetailAction.do?tilcod=2002222293811")</f>
        <v>https://opac.libnet.pref.okayama.jp/licsxp-opac/WOpacMsgNewListToTifTilDetailAction.do?tilcod=2002222293811</v>
      </c>
    </row>
    <row r="2143" spans="1:9" x14ac:dyDescent="0.4">
      <c r="A2143" t="str">
        <f>"倉敷春秋"</f>
        <v>倉敷春秋</v>
      </c>
      <c r="B2143" s="1" t="str">
        <f t="shared" si="120"/>
        <v>倉敷春秋</v>
      </c>
      <c r="C2143" t="str">
        <f>"クラシキ　シュンジュウ"</f>
        <v>クラシキ　シュンジュウ</v>
      </c>
      <c r="D2143" t="str">
        <f>"倉敷春秋発行所"</f>
        <v>倉敷春秋発行所</v>
      </c>
      <c r="E2143" t="str">
        <f>"クラシキシュンジュウハッコウジョ"</f>
        <v>クラシキシュンジュウハッコウジョ</v>
      </c>
      <c r="F2143" t="str">
        <f>""</f>
        <v/>
      </c>
      <c r="G2143" t="str">
        <f>"頻度不明"</f>
        <v>頻度不明</v>
      </c>
      <c r="H2143" t="str">
        <f>"2002222280103"</f>
        <v>2002222280103</v>
      </c>
      <c r="I2143" t="str">
        <f>HYPERLINK("#", "https://opac.libnet.pref.okayama.jp/licsxp-opac/WOpacMsgNewListToTifTilDetailAction.do?tilcod=2002222280103")</f>
        <v>https://opac.libnet.pref.okayama.jp/licsxp-opac/WOpacMsgNewListToTifTilDetailAction.do?tilcod=2002222280103</v>
      </c>
    </row>
    <row r="2144" spans="1:9" x14ac:dyDescent="0.4">
      <c r="A2144" t="str">
        <f>"[倉敷商業学校]学友会誌"</f>
        <v>[倉敷商業学校]学友会誌</v>
      </c>
      <c r="B2144" s="1" t="str">
        <f t="shared" si="120"/>
        <v>[倉敷商業学校]学友会誌</v>
      </c>
      <c r="C2144" t="str">
        <f>"クラシキ ショウギョウ ガッコウ ガクユウ カイシ"</f>
        <v>クラシキ ショウギョウ ガッコウ ガクユウ カイシ</v>
      </c>
      <c r="D2144" t="str">
        <f>"倉敷商業学校学友会"</f>
        <v>倉敷商業学校学友会</v>
      </c>
      <c r="E2144" t="str">
        <f>"クラシキショウギョウガッコウガクユウカイ"</f>
        <v>クラシキショウギョウガッコウガクユウカイ</v>
      </c>
      <c r="F2144" t="str">
        <f>"倉敷町(岡山県)"</f>
        <v>倉敷町(岡山県)</v>
      </c>
      <c r="G2144" t="str">
        <f>"頻度不明"</f>
        <v>頻度不明</v>
      </c>
      <c r="H2144" t="str">
        <f>"2002222300787"</f>
        <v>2002222300787</v>
      </c>
      <c r="I2144" t="str">
        <f>HYPERLINK("#", "https://opac.libnet.pref.okayama.jp/licsxp-opac/WOpacMsgNewListToTifTilDetailAction.do?tilcod=2002222300787")</f>
        <v>https://opac.libnet.pref.okayama.jp/licsxp-opac/WOpacMsgNewListToTifTilDetailAction.do?tilcod=2002222300787</v>
      </c>
    </row>
    <row r="2145" spans="1:9" x14ac:dyDescent="0.4">
      <c r="A2145" t="str">
        <f>"倉敷商業高等学校学校案内"</f>
        <v>倉敷商業高等学校学校案内</v>
      </c>
      <c r="B2145" s="1" t="str">
        <f t="shared" si="120"/>
        <v>倉敷商業高等学校学校案内</v>
      </c>
      <c r="C2145" t="str">
        <f>"クラシキ ショウギョウ コウトウ ガッコウ ガッコウ アンナイ"</f>
        <v>クラシキ ショウギョウ コウトウ ガッコウ ガッコウ アンナイ</v>
      </c>
      <c r="D2145" t="str">
        <f>"倉敷商業高等学校"</f>
        <v>倉敷商業高等学校</v>
      </c>
      <c r="E2145" t="str">
        <f>"クラシキ ショウギョウ コウトウ ガッコウ"</f>
        <v>クラシキ ショウギョウ コウトウ ガッコウ</v>
      </c>
      <c r="F2145" t="str">
        <f t="shared" ref="F2145:F2157" si="123">"倉敷"</f>
        <v>倉敷</v>
      </c>
      <c r="G2145" t="str">
        <f>"年刊"</f>
        <v>年刊</v>
      </c>
      <c r="H2145" t="str">
        <f>"2002222301252"</f>
        <v>2002222301252</v>
      </c>
      <c r="I2145" t="str">
        <f>HYPERLINK("#", "https://opac.libnet.pref.okayama.jp/licsxp-opac/WOpacMsgNewListToTifTilDetailAction.do?tilcod=2002222301252")</f>
        <v>https://opac.libnet.pref.okayama.jp/licsxp-opac/WOpacMsgNewListToTifTilDetailAction.do?tilcod=2002222301252</v>
      </c>
    </row>
    <row r="2146" spans="1:9" x14ac:dyDescent="0.4">
      <c r="A2146" t="str">
        <f>"倉敷商業高等学校学校要覧"</f>
        <v>倉敷商業高等学校学校要覧</v>
      </c>
      <c r="B2146" s="1" t="str">
        <f t="shared" si="120"/>
        <v>倉敷商業高等学校学校要覧</v>
      </c>
      <c r="C2146" t="str">
        <f>"クラシキ ショウギョウ コウトウ ガッコウ ガッコウ ヨウラン"</f>
        <v>クラシキ ショウギョウ コウトウ ガッコウ ガッコウ ヨウラン</v>
      </c>
      <c r="D2146" t="str">
        <f>"倉敷商業高等学校"</f>
        <v>倉敷商業高等学校</v>
      </c>
      <c r="E2146" t="str">
        <f>"クラシキ ショウギョウ コウトウ ガッコウ"</f>
        <v>クラシキ ショウギョウ コウトウ ガッコウ</v>
      </c>
      <c r="F2146" t="str">
        <f t="shared" si="123"/>
        <v>倉敷</v>
      </c>
      <c r="G2146" t="str">
        <f>"年刊"</f>
        <v>年刊</v>
      </c>
      <c r="H2146" t="str">
        <f>"2002222300505"</f>
        <v>2002222300505</v>
      </c>
      <c r="I2146" t="str">
        <f>HYPERLINK("#", "https://opac.libnet.pref.okayama.jp/licsxp-opac/WOpacMsgNewListToTifTilDetailAction.do?tilcod=2002222300505")</f>
        <v>https://opac.libnet.pref.okayama.jp/licsxp-opac/WOpacMsgNewListToTifTilDetailAction.do?tilcod=2002222300505</v>
      </c>
    </row>
    <row r="2147" spans="1:9" x14ac:dyDescent="0.4">
      <c r="A2147" t="str">
        <f>"[倉敷商業高等学校]倉商新聞"</f>
        <v>[倉敷商業高等学校]倉商新聞</v>
      </c>
      <c r="B2147" s="1" t="str">
        <f t="shared" si="120"/>
        <v>[倉敷商業高等学校]倉商新聞</v>
      </c>
      <c r="C2147" t="str">
        <f>"クラシキ ショウギョウ コウトウ ガッコウ＊クラショウ シンブン"</f>
        <v>クラシキ ショウギョウ コウトウ ガッコウ＊クラショウ シンブン</v>
      </c>
      <c r="D2147" t="str">
        <f>"倉敷商業高等学校"</f>
        <v>倉敷商業高等学校</v>
      </c>
      <c r="E2147" t="str">
        <f>"クラシキ ショウギョウ コウトウ ガッコウ"</f>
        <v>クラシキ ショウギョウ コウトウ ガッコウ</v>
      </c>
      <c r="F2147" t="str">
        <f t="shared" si="123"/>
        <v>倉敷</v>
      </c>
      <c r="G2147" t="str">
        <f>"年刊"</f>
        <v>年刊</v>
      </c>
      <c r="H2147" t="str">
        <f>"2002222282061"</f>
        <v>2002222282061</v>
      </c>
      <c r="I2147" t="str">
        <f>HYPERLINK("#", "https://opac.libnet.pref.okayama.jp/licsxp-opac/WOpacMsgNewListToTifTilDetailAction.do?tilcod=2002222282061")</f>
        <v>https://opac.libnet.pref.okayama.jp/licsxp-opac/WOpacMsgNewListToTifTilDetailAction.do?tilcod=2002222282061</v>
      </c>
    </row>
    <row r="2148" spans="1:9" x14ac:dyDescent="0.4">
      <c r="A2148" t="str">
        <f>"倉敷商工会議所所報"</f>
        <v>倉敷商工会議所所報</v>
      </c>
      <c r="B2148" s="1" t="str">
        <f t="shared" si="120"/>
        <v>倉敷商工会議所所報</v>
      </c>
      <c r="C2148" t="str">
        <f>"クラシキ ショウコウ カイギショ ショホウ"</f>
        <v>クラシキ ショウコウ カイギショ ショホウ</v>
      </c>
      <c r="D2148" t="str">
        <f>"倉敷商工会議所"</f>
        <v>倉敷商工会議所</v>
      </c>
      <c r="E2148" t="str">
        <f>"クラシキ ショウコウ カイギショ"</f>
        <v>クラシキ ショウコウ カイギショ</v>
      </c>
      <c r="F2148" t="str">
        <f t="shared" si="123"/>
        <v>倉敷</v>
      </c>
      <c r="G2148" t="str">
        <f>"頻度不明"</f>
        <v>頻度不明</v>
      </c>
      <c r="H2148" t="str">
        <f>"2002222310047"</f>
        <v>2002222310047</v>
      </c>
      <c r="I2148" t="str">
        <f>HYPERLINK("#", "https://opac.libnet.pref.okayama.jp/licsxp-opac/WOpacMsgNewListToTifTilDetailAction.do?tilcod=2002222310047")</f>
        <v>https://opac.libnet.pref.okayama.jp/licsxp-opac/WOpacMsgNewListToTifTilDetailAction.do?tilcod=2002222310047</v>
      </c>
    </row>
    <row r="2149" spans="1:9" x14ac:dyDescent="0.4">
      <c r="A2149" t="str">
        <f>"倉敷市立倉敷支援学校学校要覧"</f>
        <v>倉敷市立倉敷支援学校学校要覧</v>
      </c>
      <c r="B2149" s="1" t="str">
        <f t="shared" si="120"/>
        <v>倉敷市立倉敷支援学校学校要覧</v>
      </c>
      <c r="C2149" t="str">
        <f>"クラシキ　シリツ　クラシキ　シエン　ガッコウ　ガッコウ　ヨウラン"</f>
        <v>クラシキ　シリツ　クラシキ　シエン　ガッコウ　ガッコウ　ヨウラン</v>
      </c>
      <c r="D2149" t="str">
        <f>"倉敷市立倉敷支援学校"</f>
        <v>倉敷市立倉敷支援学校</v>
      </c>
      <c r="E2149" t="str">
        <f>"クラシキシリツ クラシキ シエン ガッコウ"</f>
        <v>クラシキシリツ クラシキ シエン ガッコウ</v>
      </c>
      <c r="F2149" t="str">
        <f t="shared" si="123"/>
        <v>倉敷</v>
      </c>
      <c r="G2149" t="str">
        <f>"年刊"</f>
        <v>年刊</v>
      </c>
      <c r="H2149" t="str">
        <f>"2002222302225"</f>
        <v>2002222302225</v>
      </c>
      <c r="I2149" t="str">
        <f>HYPERLINK("#", "https://opac.libnet.pref.okayama.jp/licsxp-opac/WOpacMsgNewListToTifTilDetailAction.do?tilcod=2002222302225")</f>
        <v>https://opac.libnet.pref.okayama.jp/licsxp-opac/WOpacMsgNewListToTifTilDetailAction.do?tilcod=2002222302225</v>
      </c>
    </row>
    <row r="2150" spans="1:9" x14ac:dyDescent="0.4">
      <c r="A2150" t="str">
        <f>"[倉敷市立工業高等学校] 紀要"</f>
        <v>[倉敷市立工業高等学校] 紀要</v>
      </c>
      <c r="B2150" s="1" t="str">
        <f t="shared" si="120"/>
        <v>[倉敷市立工業高等学校] 紀要</v>
      </c>
      <c r="C2150" t="str">
        <f>"クラシキ シリツ コウギョウ コウトウ ガッコウ＊キヨウ"</f>
        <v>クラシキ シリツ コウギョウ コウトウ ガッコウ＊キヨウ</v>
      </c>
      <c r="D2150" t="str">
        <f>"岡山県倉敷市立工業高等学校"</f>
        <v>岡山県倉敷市立工業高等学校</v>
      </c>
      <c r="E2150" t="str">
        <f>"クラシキシリツ コウギョウ コウトウ ガッコウ"</f>
        <v>クラシキシリツ コウギョウ コウトウ ガッコウ</v>
      </c>
      <c r="F2150" t="str">
        <f t="shared" si="123"/>
        <v>倉敷</v>
      </c>
      <c r="G2150" t="str">
        <f>"年刊"</f>
        <v>年刊</v>
      </c>
      <c r="H2150" t="str">
        <f>"2002222339311"</f>
        <v>2002222339311</v>
      </c>
      <c r="I2150" t="str">
        <f>HYPERLINK("#", "https://opac.libnet.pref.okayama.jp/licsxp-opac/WOpacMsgNewListToTifTilDetailAction.do?tilcod=2002222339311")</f>
        <v>https://opac.libnet.pref.okayama.jp/licsxp-opac/WOpacMsgNewListToTifTilDetailAction.do?tilcod=2002222339311</v>
      </c>
    </row>
    <row r="2151" spans="1:9" x14ac:dyDescent="0.4">
      <c r="A2151" t="str">
        <f>"倉敷市立自然史博物館報"</f>
        <v>倉敷市立自然史博物館報</v>
      </c>
      <c r="B2151" s="1" t="str">
        <f t="shared" si="120"/>
        <v>倉敷市立自然史博物館報</v>
      </c>
      <c r="C2151" t="str">
        <f>"クラシキ　シリツ　シゼンシ　ハクブツカンホウ"</f>
        <v>クラシキ　シリツ　シゼンシ　ハクブツカンホウ</v>
      </c>
      <c r="D2151" t="str">
        <f>"倉敷市立自然史博物館"</f>
        <v>倉敷市立自然史博物館</v>
      </c>
      <c r="E2151" t="str">
        <f>"クラシキシリツシゼンシハクブツカン"</f>
        <v>クラシキシリツシゼンシハクブツカン</v>
      </c>
      <c r="F2151" t="str">
        <f t="shared" si="123"/>
        <v>倉敷</v>
      </c>
      <c r="G2151" t="str">
        <f>"年刊"</f>
        <v>年刊</v>
      </c>
      <c r="H2151" t="str">
        <f>"2002222294131"</f>
        <v>2002222294131</v>
      </c>
      <c r="I2151" t="str">
        <f>HYPERLINK("#", "https://opac.libnet.pref.okayama.jp/licsxp-opac/WOpacMsgNewListToTifTilDetailAction.do?tilcod=2002222294131")</f>
        <v>https://opac.libnet.pref.okayama.jp/licsxp-opac/WOpacMsgNewListToTifTilDetailAction.do?tilcod=2002222294131</v>
      </c>
    </row>
    <row r="2152" spans="1:9" x14ac:dyDescent="0.4">
      <c r="A2152" t="str">
        <f>"［倉敷市立］自然史博物館だより"</f>
        <v>［倉敷市立］自然史博物館だより</v>
      </c>
      <c r="B2152" s="1" t="str">
        <f t="shared" si="120"/>
        <v>［倉敷市立］自然史博物館だより</v>
      </c>
      <c r="C2152" t="str">
        <f>"クラシキ　シリツ＊シゼンシ　ハクブツカン　ダヨリ"</f>
        <v>クラシキ　シリツ＊シゼンシ　ハクブツカン　ダヨリ</v>
      </c>
      <c r="D2152" t="str">
        <f>"倉敷市立自然史博物館"</f>
        <v>倉敷市立自然史博物館</v>
      </c>
      <c r="E2152" t="str">
        <f>"クラシキシリツシゼンシハクブツカン"</f>
        <v>クラシキシリツシゼンシハクブツカン</v>
      </c>
      <c r="F2152" t="str">
        <f t="shared" si="123"/>
        <v>倉敷</v>
      </c>
      <c r="G2152" t="str">
        <f>"季刊"</f>
        <v>季刊</v>
      </c>
      <c r="H2152" t="str">
        <f>"2002222292651"</f>
        <v>2002222292651</v>
      </c>
      <c r="I2152" t="str">
        <f>HYPERLINK("#", "https://opac.libnet.pref.okayama.jp/licsxp-opac/WOpacMsgNewListToTifTilDetailAction.do?tilcod=2002222292651")</f>
        <v>https://opac.libnet.pref.okayama.jp/licsxp-opac/WOpacMsgNewListToTifTilDetailAction.do?tilcod=2002222292651</v>
      </c>
    </row>
    <row r="2153" spans="1:9" x14ac:dyDescent="0.4">
      <c r="A2153" t="str">
        <f>"くらしき振興局だより"</f>
        <v>くらしき振興局だより</v>
      </c>
      <c r="B2153" s="1" t="str">
        <f t="shared" si="120"/>
        <v>くらしき振興局だより</v>
      </c>
      <c r="C2153" t="str">
        <f>"クラシキ　シンコウキョク　ダヨリ"</f>
        <v>クラシキ　シンコウキョク　ダヨリ</v>
      </c>
      <c r="D2153" t="str">
        <f>"岡山県倉敷地方振興局地域振興室"</f>
        <v>岡山県倉敷地方振興局地域振興室</v>
      </c>
      <c r="E2153" t="str">
        <f>"オカヤマケンクラシキチホウシンコウキョクチイキシンコウシツ"</f>
        <v>オカヤマケンクラシキチホウシンコウキョクチイキシンコウシツ</v>
      </c>
      <c r="F2153" t="str">
        <f t="shared" si="123"/>
        <v>倉敷</v>
      </c>
      <c r="G2153" t="str">
        <f>"季刊"</f>
        <v>季刊</v>
      </c>
      <c r="H2153" t="str">
        <f>"2002222300889"</f>
        <v>2002222300889</v>
      </c>
      <c r="I2153" t="str">
        <f>HYPERLINK("#", "https://opac.libnet.pref.okayama.jp/licsxp-opac/WOpacMsgNewListToTifTilDetailAction.do?tilcod=2002222300889")</f>
        <v>https://opac.libnet.pref.okayama.jp/licsxp-opac/WOpacMsgNewListToTifTilDetailAction.do?tilcod=2002222300889</v>
      </c>
    </row>
    <row r="2154" spans="1:9" x14ac:dyDescent="0.4">
      <c r="A2154" t="str">
        <f>"倉敷新聞"</f>
        <v>倉敷新聞</v>
      </c>
      <c r="B2154" s="1" t="str">
        <f t="shared" si="120"/>
        <v>倉敷新聞</v>
      </c>
      <c r="C2154" t="str">
        <f>"クラシキ　シンブン"</f>
        <v>クラシキ　シンブン</v>
      </c>
      <c r="D2154" t="str">
        <f>"倉敷新聞社"</f>
        <v>倉敷新聞社</v>
      </c>
      <c r="E2154" t="str">
        <f>"クラシキ シンブンシャ"</f>
        <v>クラシキ シンブンシャ</v>
      </c>
      <c r="F2154" t="str">
        <f t="shared" si="123"/>
        <v>倉敷</v>
      </c>
      <c r="G2154" t="str">
        <f>"日刊"</f>
        <v>日刊</v>
      </c>
      <c r="H2154" t="str">
        <f>"2002222300865"</f>
        <v>2002222300865</v>
      </c>
      <c r="I2154" t="str">
        <f>HYPERLINK("#", "https://opac.libnet.pref.okayama.jp/licsxp-opac/WOpacMsgNewListToTifTilDetailAction.do?tilcod=2002222300865")</f>
        <v>https://opac.libnet.pref.okayama.jp/licsxp-opac/WOpacMsgNewListToTifTilDetailAction.do?tilcod=2002222300865</v>
      </c>
    </row>
    <row r="2155" spans="1:9" x14ac:dyDescent="0.4">
      <c r="A2155" t="str">
        <f>"[倉敷翠松高等学校] 学校案内"</f>
        <v>[倉敷翠松高等学校] 学校案内</v>
      </c>
      <c r="B2155" s="1" t="str">
        <f t="shared" si="120"/>
        <v>[倉敷翠松高等学校] 学校案内</v>
      </c>
      <c r="C2155" t="str">
        <f>"クラシキ　スイショウ　コウトウ　ガッコウ　ガッコウ　アンナイ"</f>
        <v>クラシキ　スイショウ　コウトウ　ガッコウ　ガッコウ　アンナイ</v>
      </c>
      <c r="D2155" t="str">
        <f>"倉敷翠松高等学校"</f>
        <v>倉敷翠松高等学校</v>
      </c>
      <c r="E2155" t="str">
        <f>"クラシキスイショウコウトウガッコウ"</f>
        <v>クラシキスイショウコウトウガッコウ</v>
      </c>
      <c r="F2155" t="str">
        <f t="shared" si="123"/>
        <v>倉敷</v>
      </c>
      <c r="G2155" t="str">
        <f>"年刊"</f>
        <v>年刊</v>
      </c>
      <c r="H2155" t="str">
        <f>"2002222301266"</f>
        <v>2002222301266</v>
      </c>
      <c r="I2155" t="str">
        <f>HYPERLINK("#", "https://opac.libnet.pref.okayama.jp/licsxp-opac/WOpacMsgNewListToTifTilDetailAction.do?tilcod=2002222301266")</f>
        <v>https://opac.libnet.pref.okayama.jp/licsxp-opac/WOpacMsgNewListToTifTilDetailAction.do?tilcod=2002222301266</v>
      </c>
    </row>
    <row r="2156" spans="1:9" x14ac:dyDescent="0.4">
      <c r="A2156" t="str">
        <f>"[倉敷翠松高等学校] 学校要覧"</f>
        <v>[倉敷翠松高等学校] 学校要覧</v>
      </c>
      <c r="B2156" s="1" t="str">
        <f t="shared" si="120"/>
        <v>[倉敷翠松高等学校] 学校要覧</v>
      </c>
      <c r="C2156" t="str">
        <f>"クラシキ　スイショウ　コウトウ　ガッコウ　ガッコウ　ヨウラン"</f>
        <v>クラシキ　スイショウ　コウトウ　ガッコウ　ガッコウ　ヨウラン</v>
      </c>
      <c r="D2156" t="str">
        <f>"倉敷翠松高等学校"</f>
        <v>倉敷翠松高等学校</v>
      </c>
      <c r="E2156" t="str">
        <f>"クラシキスイショウコウトウガッコウ"</f>
        <v>クラシキスイショウコウトウガッコウ</v>
      </c>
      <c r="F2156" t="str">
        <f t="shared" si="123"/>
        <v>倉敷</v>
      </c>
      <c r="G2156" t="str">
        <f>"年刊"</f>
        <v>年刊</v>
      </c>
      <c r="H2156" t="str">
        <f>"2002222300580"</f>
        <v>2002222300580</v>
      </c>
      <c r="I2156" t="str">
        <f>HYPERLINK("#", "https://opac.libnet.pref.okayama.jp/licsxp-opac/WOpacMsgNewListToTifTilDetailAction.do?tilcod=2002222300580")</f>
        <v>https://opac.libnet.pref.okayama.jp/licsxp-opac/WOpacMsgNewListToTifTilDetailAction.do?tilcod=2002222300580</v>
      </c>
    </row>
    <row r="2157" spans="1:9" x14ac:dyDescent="0.4">
      <c r="A2157" t="str">
        <f>"〔倉敷翠松高等学校〕翠松"</f>
        <v>〔倉敷翠松高等学校〕翠松</v>
      </c>
      <c r="B2157" s="1" t="str">
        <f t="shared" si="120"/>
        <v>〔倉敷翠松高等学校〕翠松</v>
      </c>
      <c r="C2157" t="str">
        <f>"クラシキ　スイショウ　コウトウ　ガッコウ＊スイショウ"</f>
        <v>クラシキ　スイショウ　コウトウ　ガッコウ＊スイショウ</v>
      </c>
      <c r="D2157" t="str">
        <f>"倉敷翠松高等学校"</f>
        <v>倉敷翠松高等学校</v>
      </c>
      <c r="E2157" t="str">
        <f>"クラシキスイショウコウトウガッコウ"</f>
        <v>クラシキスイショウコウトウガッコウ</v>
      </c>
      <c r="F2157" t="str">
        <f t="shared" si="123"/>
        <v>倉敷</v>
      </c>
      <c r="G2157" t="str">
        <f>"頻度不明"</f>
        <v>頻度不明</v>
      </c>
      <c r="H2157" t="str">
        <f>"2002222301960"</f>
        <v>2002222301960</v>
      </c>
      <c r="I2157" t="str">
        <f>HYPERLINK("#", "https://opac.libnet.pref.okayama.jp/licsxp-opac/WOpacMsgNewListToTifTilDetailAction.do?tilcod=2002222301960")</f>
        <v>https://opac.libnet.pref.okayama.jp/licsxp-opac/WOpacMsgNewListToTifTilDetailAction.do?tilcod=2002222301960</v>
      </c>
    </row>
    <row r="2158" spans="1:9" x14ac:dyDescent="0.4">
      <c r="A2158" t="str">
        <f>"倉敷スイッチ"</f>
        <v>倉敷スイッチ</v>
      </c>
      <c r="B2158" s="1" t="str">
        <f t="shared" si="120"/>
        <v>倉敷スイッチ</v>
      </c>
      <c r="C2158" t="str">
        <f>"クラシキ　スイッチ"</f>
        <v>クラシキ　スイッチ</v>
      </c>
      <c r="D2158" t="str">
        <f>"岡山ＮＰＯセンター"</f>
        <v>岡山ＮＰＯセンター</v>
      </c>
      <c r="E2158" t="str">
        <f>"オカヤマエヌピーオーセンター"</f>
        <v>オカヤマエヌピーオーセンター</v>
      </c>
      <c r="F2158" t="str">
        <f>"岡山"</f>
        <v>岡山</v>
      </c>
      <c r="G2158" t="str">
        <f>"不定期刊"</f>
        <v>不定期刊</v>
      </c>
      <c r="H2158" t="str">
        <f>"2002222301645"</f>
        <v>2002222301645</v>
      </c>
      <c r="I2158" t="str">
        <f>HYPERLINK("#", "https://opac.libnet.pref.okayama.jp/licsxp-opac/WOpacMsgNewListToTifTilDetailAction.do?tilcod=2002222301645")</f>
        <v>https://opac.libnet.pref.okayama.jp/licsxp-opac/WOpacMsgNewListToTifTilDetailAction.do?tilcod=2002222301645</v>
      </c>
    </row>
    <row r="2159" spans="1:9" x14ac:dyDescent="0.4">
      <c r="A2159" t="str">
        <f>"[倉敷税務署管内納税貯蓄組合連合会]会報"</f>
        <v>[倉敷税務署管内納税貯蓄組合連合会]会報</v>
      </c>
      <c r="B2159" s="1" t="str">
        <f t="shared" si="120"/>
        <v>[倉敷税務署管内納税貯蓄組合連合会]会報</v>
      </c>
      <c r="C2159" t="str">
        <f>"クラシキ ゼイムショ カンナイ ノウゼイ チョチク クミアイ レンゴウカイ カイホウ"</f>
        <v>クラシキ ゼイムショ カンナイ ノウゼイ チョチク クミアイ レンゴウカイ カイホウ</v>
      </c>
      <c r="D2159" t="str">
        <f>"倉敷税務署管内納税貯蓄組合連合会"</f>
        <v>倉敷税務署管内納税貯蓄組合連合会</v>
      </c>
      <c r="E2159" t="str">
        <f>"クラシキ ゼイムショ カンナイ ノウゼイ チョチク クミアイ レンゴウカイ"</f>
        <v>クラシキ ゼイムショ カンナイ ノウゼイ チョチク クミアイ レンゴウカイ</v>
      </c>
      <c r="F2159" t="str">
        <f t="shared" ref="F2159:F2172" si="124">"倉敷"</f>
        <v>倉敷</v>
      </c>
      <c r="G2159" t="str">
        <f>"頻度不明"</f>
        <v>頻度不明</v>
      </c>
      <c r="H2159" t="str">
        <f>"2002222340730"</f>
        <v>2002222340730</v>
      </c>
      <c r="I2159" t="str">
        <f>HYPERLINK("#", "https://opac.libnet.pref.okayama.jp/licsxp-opac/WOpacMsgNewListToTifTilDetailAction.do?tilcod=2002222340730")</f>
        <v>https://opac.libnet.pref.okayama.jp/licsxp-opac/WOpacMsgNewListToTifTilDetailAction.do?tilcod=2002222340730</v>
      </c>
    </row>
    <row r="2160" spans="1:9" x14ac:dyDescent="0.4">
      <c r="A2160" t="str">
        <f>"倉敷市税務部だより;タックス隊長からのおしらせ"</f>
        <v>倉敷市税務部だより;タックス隊長からのおしらせ</v>
      </c>
      <c r="B2160" s="1" t="str">
        <f t="shared" si="120"/>
        <v>倉敷市税務部だより;タックス隊長からのおしらせ</v>
      </c>
      <c r="C2160" t="str">
        <f>"クラシキ　ゼイムブ　ダヨリ＊タックス　タイチョウ　カラ　ノ　オシラセ"</f>
        <v>クラシキ　ゼイムブ　ダヨリ＊タックス　タイチョウ　カラ　ノ　オシラセ</v>
      </c>
      <c r="D2160" t="str">
        <f>"倉敷市税務部税制課"</f>
        <v>倉敷市税務部税制課</v>
      </c>
      <c r="E2160" t="str">
        <f>"クラシキシ ゼイムブ ゼイセイカ"</f>
        <v>クラシキシ ゼイムブ ゼイセイカ</v>
      </c>
      <c r="F2160" t="str">
        <f t="shared" si="124"/>
        <v>倉敷</v>
      </c>
      <c r="G2160" t="str">
        <f>"年刊"</f>
        <v>年刊</v>
      </c>
      <c r="H2160" t="str">
        <f>"2002222323826"</f>
        <v>2002222323826</v>
      </c>
      <c r="I2160" t="str">
        <f>HYPERLINK("#", "https://opac.libnet.pref.okayama.jp/licsxp-opac/WOpacMsgNewListToTifTilDetailAction.do?tilcod=2002222323826")</f>
        <v>https://opac.libnet.pref.okayama.jp/licsxp-opac/WOpacMsgNewListToTifTilDetailAction.do?tilcod=2002222323826</v>
      </c>
    </row>
    <row r="2161" spans="1:9" x14ac:dyDescent="0.4">
      <c r="A2161" t="str">
        <f>"倉敷青陵高等学校学校案内"</f>
        <v>倉敷青陵高等学校学校案内</v>
      </c>
      <c r="B2161" s="1" t="str">
        <f t="shared" si="120"/>
        <v>倉敷青陵高等学校学校案内</v>
      </c>
      <c r="C2161" t="str">
        <f>"クラシキ　セイリョウ　コウトウ　ガッコウ　ガッコウ　アンナイ"</f>
        <v>クラシキ　セイリョウ　コウトウ　ガッコウ　ガッコウ　アンナイ</v>
      </c>
      <c r="D2161" t="str">
        <f>"倉敷青陵高等学校"</f>
        <v>倉敷青陵高等学校</v>
      </c>
      <c r="E2161" t="str">
        <f>"クラシキ セイリョウ コウトウ ガッコウ"</f>
        <v>クラシキ セイリョウ コウトウ ガッコウ</v>
      </c>
      <c r="F2161" t="str">
        <f t="shared" si="124"/>
        <v>倉敷</v>
      </c>
      <c r="G2161" t="str">
        <f>"年刊"</f>
        <v>年刊</v>
      </c>
      <c r="H2161" t="str">
        <f>"2002222301239"</f>
        <v>2002222301239</v>
      </c>
      <c r="I2161" t="str">
        <f>HYPERLINK("#", "https://opac.libnet.pref.okayama.jp/licsxp-opac/WOpacMsgNewListToTifTilDetailAction.do?tilcod=2002222301239")</f>
        <v>https://opac.libnet.pref.okayama.jp/licsxp-opac/WOpacMsgNewListToTifTilDetailAction.do?tilcod=2002222301239</v>
      </c>
    </row>
    <row r="2162" spans="1:9" x14ac:dyDescent="0.4">
      <c r="A2162" t="str">
        <f>"倉敷青陵高等学校学校要覧"</f>
        <v>倉敷青陵高等学校学校要覧</v>
      </c>
      <c r="B2162" s="1" t="str">
        <f t="shared" si="120"/>
        <v>倉敷青陵高等学校学校要覧</v>
      </c>
      <c r="C2162" t="str">
        <f>"クラシキ　セイリョウ　コウトウ　ガッコウ　ガッコウ　ヨウラン"</f>
        <v>クラシキ　セイリョウ　コウトウ　ガッコウ　ガッコウ　ヨウラン</v>
      </c>
      <c r="D2162" t="str">
        <f>"倉敷青陵高等学校"</f>
        <v>倉敷青陵高等学校</v>
      </c>
      <c r="E2162" t="str">
        <f>"クラシキ セイリョウ コウトウ ガッコウ"</f>
        <v>クラシキ セイリョウ コウトウ ガッコウ</v>
      </c>
      <c r="F2162" t="str">
        <f t="shared" si="124"/>
        <v>倉敷</v>
      </c>
      <c r="G2162" t="str">
        <f>"年刊"</f>
        <v>年刊</v>
      </c>
      <c r="H2162" t="str">
        <f>"2002222300494"</f>
        <v>2002222300494</v>
      </c>
      <c r="I2162" t="str">
        <f>HYPERLINK("#", "https://opac.libnet.pref.okayama.jp/licsxp-opac/WOpacMsgNewListToTifTilDetailAction.do?tilcod=2002222300494")</f>
        <v>https://opac.libnet.pref.okayama.jp/licsxp-opac/WOpacMsgNewListToTifTilDetailAction.do?tilcod=2002222300494</v>
      </c>
    </row>
    <row r="2163" spans="1:9" x14ac:dyDescent="0.4">
      <c r="A2163" t="str">
        <f>"倉敷青陵高等学校図書館報〔復刻版〕"</f>
        <v>倉敷青陵高等学校図書館報〔復刻版〕</v>
      </c>
      <c r="B2163" s="1" t="str">
        <f t="shared" si="120"/>
        <v>倉敷青陵高等学校図書館報〔復刻版〕</v>
      </c>
      <c r="C2163" t="str">
        <f>"クラシキ　セイリョウ　コウトウ　ガッコウ　トショカンポウ＊フッコクバン"</f>
        <v>クラシキ　セイリョウ　コウトウ　ガッコウ　トショカンポウ＊フッコクバン</v>
      </c>
      <c r="D2163" t="str">
        <f>"倉敷青陵高等学校図書館"</f>
        <v>倉敷青陵高等学校図書館</v>
      </c>
      <c r="E2163" t="str">
        <f>"クラシキ セイリョウ コウトウ ガッコウ トショカン"</f>
        <v>クラシキ セイリョウ コウトウ ガッコウ トショカン</v>
      </c>
      <c r="F2163" t="str">
        <f t="shared" si="124"/>
        <v>倉敷</v>
      </c>
      <c r="G2163" t="str">
        <f>"頻度不明"</f>
        <v>頻度不明</v>
      </c>
      <c r="H2163" t="str">
        <f>"2002222300902"</f>
        <v>2002222300902</v>
      </c>
      <c r="I2163" t="str">
        <f>HYPERLINK("#", "https://opac.libnet.pref.okayama.jp/licsxp-opac/WOpacMsgNewListToTifTilDetailAction.do?tilcod=2002222300902")</f>
        <v>https://opac.libnet.pref.okayama.jp/licsxp-opac/WOpacMsgNewListToTifTilDetailAction.do?tilcod=2002222300902</v>
      </c>
    </row>
    <row r="2164" spans="1:9" x14ac:dyDescent="0.4">
      <c r="A2164" t="str">
        <f>"〔倉敷青陵高等学校〕図書館報"</f>
        <v>〔倉敷青陵高等学校〕図書館報</v>
      </c>
      <c r="B2164" s="1" t="str">
        <f t="shared" si="120"/>
        <v>〔倉敷青陵高等学校〕図書館報</v>
      </c>
      <c r="C2164" t="str">
        <f>"クラシキ　セイリョウ　コウトウ　ガッコウ＊トショカンポウ"</f>
        <v>クラシキ　セイリョウ　コウトウ　ガッコウ＊トショカンポウ</v>
      </c>
      <c r="D2164" t="str">
        <f>"倉敷青陵高等学校図書館"</f>
        <v>倉敷青陵高等学校図書館</v>
      </c>
      <c r="E2164" t="str">
        <f>"クラシキ セイリョウ コウトウ ガッコウ トショカン"</f>
        <v>クラシキ セイリョウ コウトウ ガッコウ トショカン</v>
      </c>
      <c r="F2164" t="str">
        <f t="shared" si="124"/>
        <v>倉敷</v>
      </c>
      <c r="G2164" t="str">
        <f>"季刊"</f>
        <v>季刊</v>
      </c>
      <c r="H2164" t="str">
        <f>"2002222301782"</f>
        <v>2002222301782</v>
      </c>
      <c r="I2164" t="str">
        <f>HYPERLINK("#", "https://opac.libnet.pref.okayama.jp/licsxp-opac/WOpacMsgNewListToTifTilDetailAction.do?tilcod=2002222301782")</f>
        <v>https://opac.libnet.pref.okayama.jp/licsxp-opac/WOpacMsgNewListToTifTilDetailAction.do?tilcod=2002222301782</v>
      </c>
    </row>
    <row r="2165" spans="1:9" x14ac:dyDescent="0.4">
      <c r="A2165" t="str">
        <f>"KURA式育ち(くらしきそだち)；広報くらしき別冊"</f>
        <v>KURA式育ち(くらしきそだち)；広報くらしき別冊</v>
      </c>
      <c r="B2165" s="1" t="str">
        <f t="shared" si="120"/>
        <v>KURA式育ち(くらしきそだち)；広報くらしき別冊</v>
      </c>
      <c r="C2165" t="str">
        <f>"クラシキ　ソダチ"</f>
        <v>クラシキ　ソダチ</v>
      </c>
      <c r="D2165" t="str">
        <f>"倉敷市子育て支援課"</f>
        <v>倉敷市子育て支援課</v>
      </c>
      <c r="E2165" t="str">
        <f>"クラシキシ コソダテ シエンカ"</f>
        <v>クラシキシ コソダテ シエンカ</v>
      </c>
      <c r="F2165" t="str">
        <f t="shared" si="124"/>
        <v>倉敷</v>
      </c>
      <c r="G2165" t="str">
        <f>"不定期刊"</f>
        <v>不定期刊</v>
      </c>
      <c r="H2165" t="str">
        <f>"2002222309927"</f>
        <v>2002222309927</v>
      </c>
      <c r="I2165" t="str">
        <f>HYPERLINK("#", "https://opac.libnet.pref.okayama.jp/licsxp-opac/WOpacMsgNewListToTifTilDetailAction.do?tilcod=2002222309927")</f>
        <v>https://opac.libnet.pref.okayama.jp/licsxp-opac/WOpacMsgNewListToTifTilDetailAction.do?tilcod=2002222309927</v>
      </c>
    </row>
    <row r="2166" spans="1:9" x14ac:dyDescent="0.4">
      <c r="A2166" t="str">
        <f>"倉敷地域合併協議会だより"</f>
        <v>倉敷地域合併協議会だより</v>
      </c>
      <c r="B2166" s="1" t="str">
        <f t="shared" si="120"/>
        <v>倉敷地域合併協議会だより</v>
      </c>
      <c r="C2166" t="str">
        <f>"クラシキ　チイキ　ガッペイ　キョウギカイ　ダヨリ"</f>
        <v>クラシキ　チイキ　ガッペイ　キョウギカイ　ダヨリ</v>
      </c>
      <c r="D2166" t="str">
        <f>"倉敷地域合併協議会"</f>
        <v>倉敷地域合併協議会</v>
      </c>
      <c r="E2166" t="str">
        <f>"クラシキチイキガッペイキョウギカイ"</f>
        <v>クラシキチイキガッペイキョウギカイ</v>
      </c>
      <c r="F2166" t="str">
        <f t="shared" si="124"/>
        <v>倉敷</v>
      </c>
      <c r="G2166" t="str">
        <f>"不定期刊"</f>
        <v>不定期刊</v>
      </c>
      <c r="H2166" t="str">
        <f>"2002222281724"</f>
        <v>2002222281724</v>
      </c>
      <c r="I2166" t="str">
        <f>HYPERLINK("#", "https://opac.libnet.pref.okayama.jp/licsxp-opac/WOpacMsgNewListToTifTilDetailAction.do?tilcod=2002222281724")</f>
        <v>https://opac.libnet.pref.okayama.jp/licsxp-opac/WOpacMsgNewListToTifTilDetailAction.do?tilcod=2002222281724</v>
      </c>
    </row>
    <row r="2167" spans="1:9" x14ac:dyDescent="0.4">
      <c r="A2167" t="str">
        <f>"倉敷中央高校新聞"</f>
        <v>倉敷中央高校新聞</v>
      </c>
      <c r="B2167" s="1" t="str">
        <f t="shared" si="120"/>
        <v>倉敷中央高校新聞</v>
      </c>
      <c r="C2167" t="str">
        <f>"クラシキ　チュウオウ　コウコウ　シンブン"</f>
        <v>クラシキ　チュウオウ　コウコウ　シンブン</v>
      </c>
      <c r="D2167" t="str">
        <f>"倉敷中央高等学校生徒会執行部"</f>
        <v>倉敷中央高等学校生徒会執行部</v>
      </c>
      <c r="E2167" t="str">
        <f>"クラシキチュウオウコウトウガッコウセイトカイシッコウブ"</f>
        <v>クラシキチュウオウコウトウガッコウセイトカイシッコウブ</v>
      </c>
      <c r="F2167" t="str">
        <f t="shared" si="124"/>
        <v>倉敷</v>
      </c>
      <c r="G2167" t="str">
        <f>"頻度不明"</f>
        <v>頻度不明</v>
      </c>
      <c r="H2167" t="str">
        <f>"2002222301884"</f>
        <v>2002222301884</v>
      </c>
      <c r="I2167" t="str">
        <f>HYPERLINK("#", "https://opac.libnet.pref.okayama.jp/licsxp-opac/WOpacMsgNewListToTifTilDetailAction.do?tilcod=2002222301884")</f>
        <v>https://opac.libnet.pref.okayama.jp/licsxp-opac/WOpacMsgNewListToTifTilDetailAction.do?tilcod=2002222301884</v>
      </c>
    </row>
    <row r="2168" spans="1:9" x14ac:dyDescent="0.4">
      <c r="A2168" t="str">
        <f>"倉敷中央高等学校学校案内"</f>
        <v>倉敷中央高等学校学校案内</v>
      </c>
      <c r="B2168" s="1" t="str">
        <f t="shared" si="120"/>
        <v>倉敷中央高等学校学校案内</v>
      </c>
      <c r="C2168" t="str">
        <f>"クラシキ　チュウオウ　コウトウ　ガッコウ　ガッコウ　アンナイ"</f>
        <v>クラシキ　チュウオウ　コウトウ　ガッコウ　ガッコウ　アンナイ</v>
      </c>
      <c r="D2168" t="str">
        <f>"倉敷中央高等学校"</f>
        <v>倉敷中央高等学校</v>
      </c>
      <c r="E2168" t="str">
        <f>"クラシキ チュウオウ コウトウ ガッコウ"</f>
        <v>クラシキ チュウオウ コウトウ ガッコウ</v>
      </c>
      <c r="F2168" t="str">
        <f t="shared" si="124"/>
        <v>倉敷</v>
      </c>
      <c r="G2168" t="str">
        <f>"年刊"</f>
        <v>年刊</v>
      </c>
      <c r="H2168" t="str">
        <f>"2002222301242"</f>
        <v>2002222301242</v>
      </c>
      <c r="I2168" t="str">
        <f>HYPERLINK("#", "https://opac.libnet.pref.okayama.jp/licsxp-opac/WOpacMsgNewListToTifTilDetailAction.do?tilcod=2002222301242")</f>
        <v>https://opac.libnet.pref.okayama.jp/licsxp-opac/WOpacMsgNewListToTifTilDetailAction.do?tilcod=2002222301242</v>
      </c>
    </row>
    <row r="2169" spans="1:9" x14ac:dyDescent="0.4">
      <c r="A2169" t="str">
        <f>"倉敷中央高等学校学校要覧"</f>
        <v>倉敷中央高等学校学校要覧</v>
      </c>
      <c r="B2169" s="1" t="str">
        <f t="shared" si="120"/>
        <v>倉敷中央高等学校学校要覧</v>
      </c>
      <c r="C2169" t="str">
        <f>"クラシキ　チュウオウ　コウトウ　ガッコウ　ガッコウ　ヨウラン"</f>
        <v>クラシキ　チュウオウ　コウトウ　ガッコウ　ガッコウ　ヨウラン</v>
      </c>
      <c r="D2169" t="str">
        <f>"倉敷中央高等学校"</f>
        <v>倉敷中央高等学校</v>
      </c>
      <c r="E2169" t="str">
        <f>"クラシキ チュウオウ コウトウ ガッコウ"</f>
        <v>クラシキ チュウオウ コウトウ ガッコウ</v>
      </c>
      <c r="F2169" t="str">
        <f t="shared" si="124"/>
        <v>倉敷</v>
      </c>
      <c r="G2169" t="str">
        <f>"年刊"</f>
        <v>年刊</v>
      </c>
      <c r="H2169" t="str">
        <f>"2002222300498"</f>
        <v>2002222300498</v>
      </c>
      <c r="I2169" t="str">
        <f>HYPERLINK("#", "https://opac.libnet.pref.okayama.jp/licsxp-opac/WOpacMsgNewListToTifTilDetailAction.do?tilcod=2002222300498")</f>
        <v>https://opac.libnet.pref.okayama.jp/licsxp-opac/WOpacMsgNewListToTifTilDetailAction.do?tilcod=2002222300498</v>
      </c>
    </row>
    <row r="2170" spans="1:9" x14ac:dyDescent="0.4">
      <c r="A2170" t="str">
        <f>"〔倉敷中央高等学校〕生徒会新聞"</f>
        <v>〔倉敷中央高等学校〕生徒会新聞</v>
      </c>
      <c r="B2170" s="1" t="str">
        <f t="shared" si="120"/>
        <v>〔倉敷中央高等学校〕生徒会新聞</v>
      </c>
      <c r="C2170" t="str">
        <f>"クラシキ　チュウオウ　コウトウ　ガッコウ＊セイトカイ　シンブン"</f>
        <v>クラシキ　チュウオウ　コウトウ　ガッコウ＊セイトカイ　シンブン</v>
      </c>
      <c r="D2170" t="str">
        <f>"倉敷中央高等学校新聞委員"</f>
        <v>倉敷中央高等学校新聞委員</v>
      </c>
      <c r="E2170" t="str">
        <f>"クラシキチュウオウコウトウガッコウシンブンイイン"</f>
        <v>クラシキチュウオウコウトウガッコウシンブンイイン</v>
      </c>
      <c r="F2170" t="str">
        <f t="shared" si="124"/>
        <v>倉敷</v>
      </c>
      <c r="G2170" t="str">
        <f>"頻度不明"</f>
        <v>頻度不明</v>
      </c>
      <c r="H2170" t="str">
        <f>"2002222301883"</f>
        <v>2002222301883</v>
      </c>
      <c r="I2170" t="str">
        <f>HYPERLINK("#", "https://opac.libnet.pref.okayama.jp/licsxp-opac/WOpacMsgNewListToTifTilDetailAction.do?tilcod=2002222301883")</f>
        <v>https://opac.libnet.pref.okayama.jp/licsxp-opac/WOpacMsgNewListToTifTilDetailAction.do?tilcod=2002222301883</v>
      </c>
    </row>
    <row r="2171" spans="1:9" x14ac:dyDescent="0.4">
      <c r="A2171" t="str">
        <f>"〔倉敷中央高等学校〕図書館だより"</f>
        <v>〔倉敷中央高等学校〕図書館だより</v>
      </c>
      <c r="B2171" s="1" t="str">
        <f t="shared" si="120"/>
        <v>〔倉敷中央高等学校〕図書館だより</v>
      </c>
      <c r="C2171" t="str">
        <f>"クラシキ　チュウオウ　コウトウ　ガッコウ＊トショカン　ダヨリ"</f>
        <v>クラシキ　チュウオウ　コウトウ　ガッコウ＊トショカン　ダヨリ</v>
      </c>
      <c r="D2171" t="str">
        <f>"倉敷中央高等学校図書館"</f>
        <v>倉敷中央高等学校図書館</v>
      </c>
      <c r="E2171" t="str">
        <f>"クラシキチュウオウコウトウガッコウトショカン"</f>
        <v>クラシキチュウオウコウトウガッコウトショカン</v>
      </c>
      <c r="F2171" t="str">
        <f t="shared" si="124"/>
        <v>倉敷</v>
      </c>
      <c r="G2171" t="str">
        <f>"頻度不明"</f>
        <v>頻度不明</v>
      </c>
      <c r="H2171" t="str">
        <f>"2002222301951"</f>
        <v>2002222301951</v>
      </c>
      <c r="I2171" t="str">
        <f>HYPERLINK("#", "https://opac.libnet.pref.okayama.jp/licsxp-opac/WOpacMsgNewListToTifTilDetailAction.do?tilcod=2002222301951")</f>
        <v>https://opac.libnet.pref.okayama.jp/licsxp-opac/WOpacMsgNewListToTifTilDetailAction.do?tilcod=2002222301951</v>
      </c>
    </row>
    <row r="2172" spans="1:9" x14ac:dyDescent="0.4">
      <c r="A2172" t="str">
        <f>"倉敷中央病院年報"</f>
        <v>倉敷中央病院年報</v>
      </c>
      <c r="B2172" s="1" t="str">
        <f t="shared" si="120"/>
        <v>倉敷中央病院年報</v>
      </c>
      <c r="C2172" t="str">
        <f>"クラシキ チュウオウ ビョウイン ネンポウ"</f>
        <v>クラシキ チュウオウ ビョウイン ネンポウ</v>
      </c>
      <c r="D2172" t="str">
        <f>"倉敷中央病院"</f>
        <v>倉敷中央病院</v>
      </c>
      <c r="E2172" t="str">
        <f>"クラシキ チュウオウ ビョウイン"</f>
        <v>クラシキ チュウオウ ビョウイン</v>
      </c>
      <c r="F2172" t="str">
        <f t="shared" si="124"/>
        <v>倉敷</v>
      </c>
      <c r="G2172" t="str">
        <f>"年刊"</f>
        <v>年刊</v>
      </c>
      <c r="H2172" t="str">
        <f>"2002222294981"</f>
        <v>2002222294981</v>
      </c>
      <c r="I2172" t="str">
        <f>HYPERLINK("#", "https://opac.libnet.pref.okayama.jp/licsxp-opac/WOpacMsgNewListToTifTilDetailAction.do?tilcod=2002222294981")</f>
        <v>https://opac.libnet.pref.okayama.jp/licsxp-opac/WOpacMsgNewListToTifTilDetailAction.do?tilcod=2002222294981</v>
      </c>
    </row>
    <row r="2173" spans="1:9" x14ac:dyDescent="0.4">
      <c r="A2173" t="str">
        <f>"倉敷日曜講演"</f>
        <v>倉敷日曜講演</v>
      </c>
      <c r="B2173" s="1" t="str">
        <f t="shared" si="120"/>
        <v>倉敷日曜講演</v>
      </c>
      <c r="C2173" t="str">
        <f>"クラシキ　ニチヨウ　コウエン"</f>
        <v>クラシキ　ニチヨウ　コウエン</v>
      </c>
      <c r="D2173" t="str">
        <f>"林源十郎"</f>
        <v>林源十郎</v>
      </c>
      <c r="E2173" t="str">
        <f>"ハヤシゲンジュウロウ"</f>
        <v>ハヤシゲンジュウロウ</v>
      </c>
      <c r="F2173" t="str">
        <f>""</f>
        <v/>
      </c>
      <c r="G2173" t="str">
        <f>"頻度不明"</f>
        <v>頻度不明</v>
      </c>
      <c r="H2173" t="str">
        <f>"2002222280113"</f>
        <v>2002222280113</v>
      </c>
      <c r="I2173" t="str">
        <f>HYPERLINK("#", "https://opac.libnet.pref.okayama.jp/licsxp-opac/WOpacMsgNewListToTifTilDetailAction.do?tilcod=2002222280113")</f>
        <v>https://opac.libnet.pref.okayama.jp/licsxp-opac/WOpacMsgNewListToTifTilDetailAction.do?tilcod=2002222280113</v>
      </c>
    </row>
    <row r="2174" spans="1:9" x14ac:dyDescent="0.4">
      <c r="A2174" t="str">
        <f>"くらしきのくらしがもっと好きになるマガジンBe"</f>
        <v>くらしきのくらしがもっと好きになるマガジンBe</v>
      </c>
      <c r="B2174" s="1" t="str">
        <f t="shared" si="120"/>
        <v>くらしきのくらしがもっと好きになるマガジンBe</v>
      </c>
      <c r="C2174" t="str">
        <f>"クラシキ ノ クラシ ガ モット スキニナル マガジン ビー"</f>
        <v>クラシキ ノ クラシ ガ モット スキニナル マガジン ビー</v>
      </c>
      <c r="D2174" t="str">
        <f>"AEONMALL KURASHIKI"</f>
        <v>AEONMALL KURASHIKI</v>
      </c>
      <c r="E2174" t="str">
        <f>"イオン モール クラシキ"</f>
        <v>イオン モール クラシキ</v>
      </c>
      <c r="F2174" t="str">
        <f>""</f>
        <v/>
      </c>
      <c r="G2174" t="str">
        <f>"季刊"</f>
        <v>季刊</v>
      </c>
      <c r="H2174" t="str">
        <f>"2002222331506"</f>
        <v>2002222331506</v>
      </c>
      <c r="I2174" t="str">
        <f>HYPERLINK("#", "https://opac.libnet.pref.okayama.jp/licsxp-opac/WOpacMsgNewListToTifTilDetailAction.do?tilcod=2002222331506")</f>
        <v>https://opac.libnet.pref.okayama.jp/licsxp-opac/WOpacMsgNewListToTifTilDetailAction.do?tilcod=2002222331506</v>
      </c>
    </row>
    <row r="2175" spans="1:9" x14ac:dyDescent="0.4">
      <c r="A2175" t="str">
        <f>"倉敷の自然"</f>
        <v>倉敷の自然</v>
      </c>
      <c r="B2175" s="1" t="str">
        <f t="shared" si="120"/>
        <v>倉敷の自然</v>
      </c>
      <c r="C2175" t="str">
        <f>"クラシキ　ノ　シゼン"</f>
        <v>クラシキ　ノ　シゼン</v>
      </c>
      <c r="D2175" t="str">
        <f>"倉敷の自然をまもる会"</f>
        <v>倉敷の自然をまもる会</v>
      </c>
      <c r="E2175" t="str">
        <f>"クラシキノシゼンオマモルカイ"</f>
        <v>クラシキノシゼンオマモルカイ</v>
      </c>
      <c r="F2175" t="str">
        <f t="shared" ref="F2175:F2184" si="125">"倉敷"</f>
        <v>倉敷</v>
      </c>
      <c r="G2175" t="str">
        <f>"年２回刊"</f>
        <v>年２回刊</v>
      </c>
      <c r="H2175" t="str">
        <f>"2002222291311"</f>
        <v>2002222291311</v>
      </c>
      <c r="I2175" t="str">
        <f>HYPERLINK("#", "https://opac.libnet.pref.okayama.jp/licsxp-opac/WOpacMsgNewListToTifTilDetailAction.do?tilcod=2002222291311")</f>
        <v>https://opac.libnet.pref.okayama.jp/licsxp-opac/WOpacMsgNewListToTifTilDetailAction.do?tilcod=2002222291311</v>
      </c>
    </row>
    <row r="2176" spans="1:9" x14ac:dyDescent="0.4">
      <c r="A2176" t="str">
        <f>"倉敷の歴史"</f>
        <v>倉敷の歴史</v>
      </c>
      <c r="B2176" s="1" t="str">
        <f t="shared" si="120"/>
        <v>倉敷の歴史</v>
      </c>
      <c r="C2176" t="str">
        <f>"クラシキ　ノ　レキシ"</f>
        <v>クラシキ　ノ　レキシ</v>
      </c>
      <c r="D2176" t="str">
        <f>"倉敷市総務局総務部総務課"</f>
        <v>倉敷市総務局総務部総務課</v>
      </c>
      <c r="E2176" t="str">
        <f>"クラシキシソウムキョクソウムブソウムカ"</f>
        <v>クラシキシソウムキョクソウムブソウムカ</v>
      </c>
      <c r="F2176" t="str">
        <f t="shared" si="125"/>
        <v>倉敷</v>
      </c>
      <c r="G2176" t="str">
        <f>"年刊"</f>
        <v>年刊</v>
      </c>
      <c r="H2176" t="str">
        <f>"2002222291321"</f>
        <v>2002222291321</v>
      </c>
      <c r="I2176" t="str">
        <f>HYPERLINK("#", "https://opac.libnet.pref.okayama.jp/licsxp-opac/WOpacMsgNewListToTifTilDetailAction.do?tilcod=2002222291321")</f>
        <v>https://opac.libnet.pref.okayama.jp/licsxp-opac/WOpacMsgNewListToTifTilDetailAction.do?tilcod=2002222291321</v>
      </c>
    </row>
    <row r="2177" spans="1:9" x14ac:dyDescent="0.4">
      <c r="A2177" t="str">
        <f>"くらしき農業委員会だより"</f>
        <v>くらしき農業委員会だより</v>
      </c>
      <c r="B2177" s="1" t="str">
        <f t="shared" si="120"/>
        <v>くらしき農業委員会だより</v>
      </c>
      <c r="C2177" t="str">
        <f>"クラシキ　ノウギョウ　イインカイ　ダヨリ"</f>
        <v>クラシキ　ノウギョウ　イインカイ　ダヨリ</v>
      </c>
      <c r="D2177" t="str">
        <f>"倉敷市農業委員会"</f>
        <v>倉敷市農業委員会</v>
      </c>
      <c r="E2177" t="str">
        <f>"クラシキシノウギョウイインカイ"</f>
        <v>クラシキシノウギョウイインカイ</v>
      </c>
      <c r="F2177" t="str">
        <f t="shared" si="125"/>
        <v>倉敷</v>
      </c>
      <c r="G2177" t="str">
        <f>"年刊"</f>
        <v>年刊</v>
      </c>
      <c r="H2177" t="str">
        <f>"2002222329107"</f>
        <v>2002222329107</v>
      </c>
      <c r="I2177" t="str">
        <f>HYPERLINK("#", "https://opac.libnet.pref.okayama.jp/licsxp-opac/WOpacMsgNewListToTifTilDetailAction.do?tilcod=2002222329107")</f>
        <v>https://opac.libnet.pref.okayama.jp/licsxp-opac/WOpacMsgNewListToTifTilDetailAction.do?tilcod=2002222329107</v>
      </c>
    </row>
    <row r="2178" spans="1:9" x14ac:dyDescent="0.4">
      <c r="A2178" t="str">
        <f>"倉敷ビジネス"</f>
        <v>倉敷ビジネス</v>
      </c>
      <c r="B2178" s="1" t="str">
        <f t="shared" si="120"/>
        <v>倉敷ビジネス</v>
      </c>
      <c r="C2178" t="str">
        <f>"クラシキ　ビジネス"</f>
        <v>クラシキ　ビジネス</v>
      </c>
      <c r="D2178" t="str">
        <f>"倉敷ビジネスセンター"</f>
        <v>倉敷ビジネスセンター</v>
      </c>
      <c r="E2178" t="str">
        <f>"クラシキビジネスセンター"</f>
        <v>クラシキビジネスセンター</v>
      </c>
      <c r="F2178" t="str">
        <f t="shared" si="125"/>
        <v>倉敷</v>
      </c>
      <c r="G2178" t="str">
        <f>"頻度不明"</f>
        <v>頻度不明</v>
      </c>
      <c r="H2178" t="str">
        <f>"2002222302422"</f>
        <v>2002222302422</v>
      </c>
      <c r="I2178" t="str">
        <f>HYPERLINK("#", "https://opac.libnet.pref.okayama.jp/licsxp-opac/WOpacMsgNewListToTifTilDetailAction.do?tilcod=2002222302422")</f>
        <v>https://opac.libnet.pref.okayama.jp/licsxp-opac/WOpacMsgNewListToTifTilDetailAction.do?tilcod=2002222302422</v>
      </c>
    </row>
    <row r="2179" spans="1:9" x14ac:dyDescent="0.4">
      <c r="A2179" t="str">
        <f>"倉敷ファッションセンター　催しご案内"</f>
        <v>倉敷ファッションセンター　催しご案内</v>
      </c>
      <c r="B2179" s="1" t="str">
        <f t="shared" si="120"/>
        <v>倉敷ファッションセンター　催しご案内</v>
      </c>
      <c r="C2179" t="str">
        <f>"クラシキ　ファッション　センター　モヨオシ　ゴアンナイ"</f>
        <v>クラシキ　ファッション　センター　モヨオシ　ゴアンナイ</v>
      </c>
      <c r="D2179" t="str">
        <f>"倉敷ファッションセンター"</f>
        <v>倉敷ファッションセンター</v>
      </c>
      <c r="E2179" t="str">
        <f>"クラシキ ファッション センター"</f>
        <v>クラシキ ファッション センター</v>
      </c>
      <c r="F2179" t="str">
        <f t="shared" si="125"/>
        <v>倉敷</v>
      </c>
      <c r="G2179" t="str">
        <f>"隔月刊"</f>
        <v>隔月刊</v>
      </c>
      <c r="H2179" t="str">
        <f>"2002222281581"</f>
        <v>2002222281581</v>
      </c>
      <c r="I2179" t="str">
        <f>HYPERLINK("#", "https://opac.libnet.pref.okayama.jp/licsxp-opac/WOpacMsgNewListToTifTilDetailAction.do?tilcod=2002222281581")</f>
        <v>https://opac.libnet.pref.okayama.jp/licsxp-opac/WOpacMsgNewListToTifTilDetailAction.do?tilcod=2002222281581</v>
      </c>
    </row>
    <row r="2180" spans="1:9" x14ac:dyDescent="0.4">
      <c r="A2180" t="str">
        <f>"倉敷南高校図書館報"</f>
        <v>倉敷南高校図書館報</v>
      </c>
      <c r="B2180" s="1" t="str">
        <f t="shared" ref="B2180:B2243" si="126">HYPERLINK("#", A2180)</f>
        <v>倉敷南高校図書館報</v>
      </c>
      <c r="C2180" t="str">
        <f>"クラシキ　ミナミ　コウコウ　トショカンポウ"</f>
        <v>クラシキ　ミナミ　コウコウ　トショカンポウ</v>
      </c>
      <c r="D2180" t="str">
        <f>"倉敷南高等学校図書委員会"</f>
        <v>倉敷南高等学校図書委員会</v>
      </c>
      <c r="E2180" t="str">
        <f>"クラシキミナミコウトウガッコウトショイインカイ"</f>
        <v>クラシキミナミコウトウガッコウトショイインカイ</v>
      </c>
      <c r="F2180" t="str">
        <f t="shared" si="125"/>
        <v>倉敷</v>
      </c>
      <c r="G2180" t="str">
        <f>"年２回刊"</f>
        <v>年２回刊</v>
      </c>
      <c r="H2180" t="str">
        <f>"2002222301978"</f>
        <v>2002222301978</v>
      </c>
      <c r="I2180" t="str">
        <f>HYPERLINK("#", "https://opac.libnet.pref.okayama.jp/licsxp-opac/WOpacMsgNewListToTifTilDetailAction.do?tilcod=2002222301978")</f>
        <v>https://opac.libnet.pref.okayama.jp/licsxp-opac/WOpacMsgNewListToTifTilDetailAction.do?tilcod=2002222301978</v>
      </c>
    </row>
    <row r="2181" spans="1:9" x14ac:dyDescent="0.4">
      <c r="A2181" t="str">
        <f>"倉敷南高等学校学校案内"</f>
        <v>倉敷南高等学校学校案内</v>
      </c>
      <c r="B2181" s="1" t="str">
        <f t="shared" si="126"/>
        <v>倉敷南高等学校学校案内</v>
      </c>
      <c r="C2181" t="str">
        <f>"クラシキ　ミナミ　コウトウ　ガッコウ　ガッコウ　アンナイ"</f>
        <v>クラシキ　ミナミ　コウトウ　ガッコウ　ガッコウ　アンナイ</v>
      </c>
      <c r="D2181" t="str">
        <f>"倉敷南高等学校"</f>
        <v>倉敷南高等学校</v>
      </c>
      <c r="E2181" t="str">
        <f>"クラシキ ミナミ コウトウ ガッコウ"</f>
        <v>クラシキ ミナミ コウトウ ガッコウ</v>
      </c>
      <c r="F2181" t="str">
        <f t="shared" si="125"/>
        <v>倉敷</v>
      </c>
      <c r="G2181" t="str">
        <f>"年刊"</f>
        <v>年刊</v>
      </c>
      <c r="H2181" t="str">
        <f>"2002222301240"</f>
        <v>2002222301240</v>
      </c>
      <c r="I2181" t="str">
        <f>HYPERLINK("#", "https://opac.libnet.pref.okayama.jp/licsxp-opac/WOpacMsgNewListToTifTilDetailAction.do?tilcod=2002222301240")</f>
        <v>https://opac.libnet.pref.okayama.jp/licsxp-opac/WOpacMsgNewListToTifTilDetailAction.do?tilcod=2002222301240</v>
      </c>
    </row>
    <row r="2182" spans="1:9" x14ac:dyDescent="0.4">
      <c r="A2182" t="str">
        <f>"倉敷南高等学校学校要覧"</f>
        <v>倉敷南高等学校学校要覧</v>
      </c>
      <c r="B2182" s="1" t="str">
        <f t="shared" si="126"/>
        <v>倉敷南高等学校学校要覧</v>
      </c>
      <c r="C2182" t="str">
        <f>"クラシキ　ミナミ　コウトウ　ガッコウ　ガッコウ　ヨウラン"</f>
        <v>クラシキ　ミナミ　コウトウ　ガッコウ　ガッコウ　ヨウラン</v>
      </c>
      <c r="D2182" t="str">
        <f>"倉敷南高等学校"</f>
        <v>倉敷南高等学校</v>
      </c>
      <c r="E2182" t="str">
        <f>"クラシキ ミナミ コウトウ ガッコウ"</f>
        <v>クラシキ ミナミ コウトウ ガッコウ</v>
      </c>
      <c r="F2182" t="str">
        <f t="shared" si="125"/>
        <v>倉敷</v>
      </c>
      <c r="G2182" t="str">
        <f>"年刊"</f>
        <v>年刊</v>
      </c>
      <c r="H2182" t="str">
        <f>"2002222300497"</f>
        <v>2002222300497</v>
      </c>
      <c r="I2182" t="str">
        <f>HYPERLINK("#", "https://opac.libnet.pref.okayama.jp/licsxp-opac/WOpacMsgNewListToTifTilDetailAction.do?tilcod=2002222300497")</f>
        <v>https://opac.libnet.pref.okayama.jp/licsxp-opac/WOpacMsgNewListToTifTilDetailAction.do?tilcod=2002222300497</v>
      </c>
    </row>
    <row r="2183" spans="1:9" x14ac:dyDescent="0.4">
      <c r="A2183" t="str">
        <f>"〔倉敷南高等学校〕週刊フライデー；新着情報"</f>
        <v>〔倉敷南高等学校〕週刊フライデー；新着情報</v>
      </c>
      <c r="B2183" s="1" t="str">
        <f t="shared" si="126"/>
        <v>〔倉敷南高等学校〕週刊フライデー；新着情報</v>
      </c>
      <c r="C2183" t="str">
        <f>"クラシキ　ミナミ　コウトウ　ガッコウ　シュウカン　フライデー　シンチャク　ジョウホウ"</f>
        <v>クラシキ　ミナミ　コウトウ　ガッコウ　シュウカン　フライデー　シンチャク　ジョウホウ</v>
      </c>
      <c r="D2183" t="str">
        <f>"倉敷南高等学校図書館"</f>
        <v>倉敷南高等学校図書館</v>
      </c>
      <c r="E2183" t="str">
        <f>"クラシキミナミコウトウガッコウトショカン"</f>
        <v>クラシキミナミコウトウガッコウトショカン</v>
      </c>
      <c r="F2183" t="str">
        <f t="shared" si="125"/>
        <v>倉敷</v>
      </c>
      <c r="G2183" t="str">
        <f>"週刊"</f>
        <v>週刊</v>
      </c>
      <c r="H2183" t="str">
        <f>"2002222301979"</f>
        <v>2002222301979</v>
      </c>
      <c r="I2183" t="str">
        <f>HYPERLINK("#", "https://opac.libnet.pref.okayama.jp/licsxp-opac/WOpacMsgNewListToTifTilDetailAction.do?tilcod=2002222301979")</f>
        <v>https://opac.libnet.pref.okayama.jp/licsxp-opac/WOpacMsgNewListToTifTilDetailAction.do?tilcod=2002222301979</v>
      </c>
    </row>
    <row r="2184" spans="1:9" x14ac:dyDescent="0.4">
      <c r="A2184" t="str">
        <f>"〔倉敷南高等学校〕Ｓｅｖｅｎ　Ｓｅｎｓｅｓ（セブンセンシズ）"</f>
        <v>〔倉敷南高等学校〕Ｓｅｖｅｎ　Ｓｅｎｓｅｓ（セブンセンシズ）</v>
      </c>
      <c r="B2184" s="1" t="str">
        <f t="shared" si="126"/>
        <v>〔倉敷南高等学校〕Ｓｅｖｅｎ　Ｓｅｎｓｅｓ（セブンセンシズ）</v>
      </c>
      <c r="C2184" t="str">
        <f>"クラシキ　ミナミ　コウトウ　ガッコウ＊セブン　センシズ"</f>
        <v>クラシキ　ミナミ　コウトウ　ガッコウ＊セブン　センシズ</v>
      </c>
      <c r="D2184" t="str">
        <f>"倉敷南高等学校図書館"</f>
        <v>倉敷南高等学校図書館</v>
      </c>
      <c r="E2184" t="str">
        <f>"クラシキミナミコウトウガッコウトショカン"</f>
        <v>クラシキミナミコウトウガッコウトショカン</v>
      </c>
      <c r="F2184" t="str">
        <f t="shared" si="125"/>
        <v>倉敷</v>
      </c>
      <c r="G2184" t="str">
        <f>"不定期刊"</f>
        <v>不定期刊</v>
      </c>
      <c r="H2184" t="str">
        <f>"2002222301980"</f>
        <v>2002222301980</v>
      </c>
      <c r="I2184" t="str">
        <f>HYPERLINK("#", "https://opac.libnet.pref.okayama.jp/licsxp-opac/WOpacMsgNewListToTifTilDetailAction.do?tilcod=2002222301980")</f>
        <v>https://opac.libnet.pref.okayama.jp/licsxp-opac/WOpacMsgNewListToTifTilDetailAction.do?tilcod=2002222301980</v>
      </c>
    </row>
    <row r="2185" spans="1:9" x14ac:dyDescent="0.4">
      <c r="A2185" t="str">
        <f>"倉敷民文"</f>
        <v>倉敷民文</v>
      </c>
      <c r="B2185" s="1" t="str">
        <f t="shared" si="126"/>
        <v>倉敷民文</v>
      </c>
      <c r="C2185" t="str">
        <f>"クラシキ　ミンブン"</f>
        <v>クラシキ　ミンブン</v>
      </c>
      <c r="D2185" t="str">
        <f>"倉敷民主文学会"</f>
        <v>倉敷民主文学会</v>
      </c>
      <c r="E2185" t="str">
        <f>"クラシキミンシュブンガクカイ"</f>
        <v>クラシキミンシュブンガクカイ</v>
      </c>
      <c r="F2185" t="str">
        <f>""</f>
        <v/>
      </c>
      <c r="G2185" t="str">
        <f>"頻度不明"</f>
        <v>頻度不明</v>
      </c>
      <c r="H2185" t="str">
        <f>"2002222280133"</f>
        <v>2002222280133</v>
      </c>
      <c r="I2185" t="str">
        <f>HYPERLINK("#", "https://opac.libnet.pref.okayama.jp/licsxp-opac/WOpacMsgNewListToTifTilDetailAction.do?tilcod=2002222280133")</f>
        <v>https://opac.libnet.pref.okayama.jp/licsxp-opac/WOpacMsgNewListToTifTilDetailAction.do?tilcod=2002222280133</v>
      </c>
    </row>
    <row r="2186" spans="1:9" x14ac:dyDescent="0.4">
      <c r="A2186" t="str">
        <f>"倉敷レイヨン時報"</f>
        <v>倉敷レイヨン時報</v>
      </c>
      <c r="B2186" s="1" t="str">
        <f t="shared" si="126"/>
        <v>倉敷レイヨン時報</v>
      </c>
      <c r="C2186" t="str">
        <f>"クラシキ　レイヨン　ジホウ"</f>
        <v>クラシキ　レイヨン　ジホウ</v>
      </c>
      <c r="D2186" t="str">
        <f>"倉敷レイヨン"</f>
        <v>倉敷レイヨン</v>
      </c>
      <c r="E2186" t="str">
        <f>"クラシキレイヨン"</f>
        <v>クラシキレイヨン</v>
      </c>
      <c r="F2186" t="str">
        <f>"大阪"</f>
        <v>大阪</v>
      </c>
      <c r="G2186" t="str">
        <f>"月刊"</f>
        <v>月刊</v>
      </c>
      <c r="H2186" t="str">
        <f>"2002222322390"</f>
        <v>2002222322390</v>
      </c>
      <c r="I2186" t="str">
        <f>HYPERLINK("#", "https://opac.libnet.pref.okayama.jp/licsxp-opac/WOpacMsgNewListToTifTilDetailAction.do?tilcod=2002222322390")</f>
        <v>https://opac.libnet.pref.okayama.jp/licsxp-opac/WOpacMsgNewListToTifTilDetailAction.do?tilcod=2002222322390</v>
      </c>
    </row>
    <row r="2187" spans="1:9" x14ac:dyDescent="0.4">
      <c r="A2187" t="str">
        <f>"ＫＵＲＡＳＨＩＫＩ　ＲＡＹＯＮ連絡月報（倉敷レイヨン連絡月報）"</f>
        <v>ＫＵＲＡＳＨＩＫＩ　ＲＡＹＯＮ連絡月報（倉敷レイヨン連絡月報）</v>
      </c>
      <c r="B2187" s="1" t="str">
        <f t="shared" si="126"/>
        <v>ＫＵＲＡＳＨＩＫＩ　ＲＡＹＯＮ連絡月報（倉敷レイヨン連絡月報）</v>
      </c>
      <c r="C2187" t="str">
        <f>"クラシキ　レイヨン　レンラク　ゲッポウ"</f>
        <v>クラシキ　レイヨン　レンラク　ゲッポウ</v>
      </c>
      <c r="D2187" t="str">
        <f>"倉敷レイヨン"</f>
        <v>倉敷レイヨン</v>
      </c>
      <c r="E2187" t="str">
        <f>"クラシキレイヨン"</f>
        <v>クラシキレイヨン</v>
      </c>
      <c r="F2187" t="str">
        <f>"大阪"</f>
        <v>大阪</v>
      </c>
      <c r="G2187" t="str">
        <f>"月刊"</f>
        <v>月刊</v>
      </c>
      <c r="H2187" t="str">
        <f>"2002222300456"</f>
        <v>2002222300456</v>
      </c>
      <c r="I2187" t="str">
        <f>HYPERLINK("#", "https://opac.libnet.pref.okayama.jp/licsxp-opac/WOpacMsgNewListToTifTilDetailAction.do?tilcod=2002222300456")</f>
        <v>https://opac.libnet.pref.okayama.jp/licsxp-opac/WOpacMsgNewListToTifTilDetailAction.do?tilcod=2002222300456</v>
      </c>
    </row>
    <row r="2188" spans="1:9" x14ac:dyDescent="0.4">
      <c r="A2188" t="str">
        <f>"くらしき 輪と和"</f>
        <v>くらしき 輪と和</v>
      </c>
      <c r="B2188" s="1" t="str">
        <f t="shared" si="126"/>
        <v>くらしき 輪と和</v>
      </c>
      <c r="C2188" t="str">
        <f>"クラシキ ワ ト ワ"</f>
        <v>クラシキ ワ ト ワ</v>
      </c>
      <c r="D2188" t="str">
        <f>"倉敷地方農村生活改善クラブ協議会"</f>
        <v>倉敷地方農村生活改善クラブ協議会</v>
      </c>
      <c r="E2188" t="str">
        <f>"クラシキ チホウ ノウソン セイカツ カイゼン クラブ キョウギカイ"</f>
        <v>クラシキ チホウ ノウソン セイカツ カイゼン クラブ キョウギカイ</v>
      </c>
      <c r="F2188" t="str">
        <f t="shared" ref="F2188:F2222" si="127">"倉敷"</f>
        <v>倉敷</v>
      </c>
      <c r="G2188" t="str">
        <f>"頻度不明"</f>
        <v>頻度不明</v>
      </c>
      <c r="H2188" t="str">
        <f>"2002222309989"</f>
        <v>2002222309989</v>
      </c>
      <c r="I2188" t="str">
        <f>HYPERLINK("#", "https://opac.libnet.pref.okayama.jp/licsxp-opac/WOpacMsgNewListToTifTilDetailAction.do?tilcod=2002222309989")</f>
        <v>https://opac.libnet.pref.okayama.jp/licsxp-opac/WOpacMsgNewListToTifTilDetailAction.do?tilcod=2002222309989</v>
      </c>
    </row>
    <row r="2189" spans="1:9" x14ac:dyDescent="0.4">
      <c r="A2189" t="str">
        <f>"[倉敷鷲羽高等学校] 学校案内"</f>
        <v>[倉敷鷲羽高等学校] 学校案内</v>
      </c>
      <c r="B2189" s="1" t="str">
        <f t="shared" si="126"/>
        <v>[倉敷鷲羽高等学校] 学校案内</v>
      </c>
      <c r="C2189" t="str">
        <f>"クラシキ　ワシュウ　コウトウ　ガッコウ　ガッコウ　アンナイ"</f>
        <v>クラシキ　ワシュウ　コウトウ　ガッコウ　ガッコウ　アンナイ</v>
      </c>
      <c r="D2189" t="str">
        <f>"倉敷鷲羽高等学校"</f>
        <v>倉敷鷲羽高等学校</v>
      </c>
      <c r="E2189" t="str">
        <f>"クラシキワシュウコウトウガッコウ"</f>
        <v>クラシキワシュウコウトウガッコウ</v>
      </c>
      <c r="F2189" t="str">
        <f t="shared" si="127"/>
        <v>倉敷</v>
      </c>
      <c r="G2189" t="str">
        <f>"年刊"</f>
        <v>年刊</v>
      </c>
      <c r="H2189" t="str">
        <f>"2002222301246"</f>
        <v>2002222301246</v>
      </c>
      <c r="I2189" t="str">
        <f>HYPERLINK("#", "https://opac.libnet.pref.okayama.jp/licsxp-opac/WOpacMsgNewListToTifTilDetailAction.do?tilcod=2002222301246")</f>
        <v>https://opac.libnet.pref.okayama.jp/licsxp-opac/WOpacMsgNewListToTifTilDetailAction.do?tilcod=2002222301246</v>
      </c>
    </row>
    <row r="2190" spans="1:9" x14ac:dyDescent="0.4">
      <c r="A2190" t="str">
        <f>"[倉敷鷲羽高等学校] 学校要覧"</f>
        <v>[倉敷鷲羽高等学校] 学校要覧</v>
      </c>
      <c r="B2190" s="1" t="str">
        <f t="shared" si="126"/>
        <v>[倉敷鷲羽高等学校] 学校要覧</v>
      </c>
      <c r="C2190" t="str">
        <f>"クラシキ　ワシュウ　コウトウ　ガッコウ　ガッコウ　ヨウラン"</f>
        <v>クラシキ　ワシュウ　コウトウ　ガッコウ　ガッコウ　ヨウラン</v>
      </c>
      <c r="D2190" t="str">
        <f>"倉敷鷲羽高等学校"</f>
        <v>倉敷鷲羽高等学校</v>
      </c>
      <c r="E2190" t="str">
        <f>"クラシキワシュウコウトウガッコウ"</f>
        <v>クラシキワシュウコウトウガッコウ</v>
      </c>
      <c r="F2190" t="str">
        <f t="shared" si="127"/>
        <v>倉敷</v>
      </c>
      <c r="G2190" t="str">
        <f>"年刊"</f>
        <v>年刊</v>
      </c>
      <c r="H2190" t="str">
        <f>"2002222300500"</f>
        <v>2002222300500</v>
      </c>
      <c r="I2190" t="str">
        <f>HYPERLINK("#", "https://opac.libnet.pref.okayama.jp/licsxp-opac/WOpacMsgNewListToTifTilDetailAction.do?tilcod=2002222300500")</f>
        <v>https://opac.libnet.pref.okayama.jp/licsxp-opac/WOpacMsgNewListToTifTilDetailAction.do?tilcod=2002222300500</v>
      </c>
    </row>
    <row r="2191" spans="1:9" x14ac:dyDescent="0.4">
      <c r="A2191" t="str">
        <f>"〔倉敷鷲羽高等学校〕図書館報"</f>
        <v>〔倉敷鷲羽高等学校〕図書館報</v>
      </c>
      <c r="B2191" s="1" t="str">
        <f t="shared" si="126"/>
        <v>〔倉敷鷲羽高等学校〕図書館報</v>
      </c>
      <c r="C2191" t="str">
        <f>"クラシキ　ワシュウ　コウトウ　ガッコウ＊トショカン　ポウ"</f>
        <v>クラシキ　ワシュウ　コウトウ　ガッコウ＊トショカン　ポウ</v>
      </c>
      <c r="D2191" t="str">
        <f>"倉敷鷲羽高等学校図書課"</f>
        <v>倉敷鷲羽高等学校図書課</v>
      </c>
      <c r="E2191" t="str">
        <f>"クラシキワシュウコウトウガッコウトショカ"</f>
        <v>クラシキワシュウコウトウガッコウトショカ</v>
      </c>
      <c r="F2191" t="str">
        <f t="shared" si="127"/>
        <v>倉敷</v>
      </c>
      <c r="G2191" t="str">
        <f>"年刊"</f>
        <v>年刊</v>
      </c>
      <c r="H2191" t="str">
        <f>"2002222302045"</f>
        <v>2002222302045</v>
      </c>
      <c r="I2191" t="str">
        <f>HYPERLINK("#", "https://opac.libnet.pref.okayama.jp/licsxp-opac/WOpacMsgNewListToTifTilDetailAction.do?tilcod=2002222302045")</f>
        <v>https://opac.libnet.pref.okayama.jp/licsxp-opac/WOpacMsgNewListToTifTilDetailAction.do?tilcod=2002222302045</v>
      </c>
    </row>
    <row r="2192" spans="1:9" x14ac:dyDescent="0.4">
      <c r="A2192" t="str">
        <f>"〔倉敷鷲羽高等学校〕みちしるべ；進路の手引き"</f>
        <v>〔倉敷鷲羽高等学校〕みちしるべ；進路の手引き</v>
      </c>
      <c r="B2192" s="1" t="str">
        <f t="shared" si="126"/>
        <v>〔倉敷鷲羽高等学校〕みちしるべ；進路の手引き</v>
      </c>
      <c r="C2192" t="str">
        <f>"クラシキ　ワシュウ　コウトウ　ガッコウ＊ミチ　シルベ＊シンロ　ノ　テビキ"</f>
        <v>クラシキ　ワシュウ　コウトウ　ガッコウ＊ミチ　シルベ＊シンロ　ノ　テビキ</v>
      </c>
      <c r="D2192" t="str">
        <f>"倉敷鷲羽高等学校進路課"</f>
        <v>倉敷鷲羽高等学校進路課</v>
      </c>
      <c r="E2192" t="str">
        <f>"クラシキワシュウコウトウガッコウシンロカ"</f>
        <v>クラシキワシュウコウトウガッコウシンロカ</v>
      </c>
      <c r="F2192" t="str">
        <f t="shared" si="127"/>
        <v>倉敷</v>
      </c>
      <c r="G2192" t="str">
        <f>"年刊"</f>
        <v>年刊</v>
      </c>
      <c r="H2192" t="str">
        <f>"2002222302046"</f>
        <v>2002222302046</v>
      </c>
      <c r="I2192" t="str">
        <f>HYPERLINK("#", "https://opac.libnet.pref.okayama.jp/licsxp-opac/WOpacMsgNewListToTifTilDetailAction.do?tilcod=2002222302046")</f>
        <v>https://opac.libnet.pref.okayama.jp/licsxp-opac/WOpacMsgNewListToTifTilDetailAction.do?tilcod=2002222302046</v>
      </c>
    </row>
    <row r="2193" spans="1:9" x14ac:dyDescent="0.4">
      <c r="A2193" t="str">
        <f>"〔倉敷鷲羽高等学校〕鷲羽"</f>
        <v>〔倉敷鷲羽高等学校〕鷲羽</v>
      </c>
      <c r="B2193" s="1" t="str">
        <f t="shared" si="126"/>
        <v>〔倉敷鷲羽高等学校〕鷲羽</v>
      </c>
      <c r="C2193" t="str">
        <f>"クラシキ　ワシュウ　コウトウ　ガッコウ＊ワシュウ"</f>
        <v>クラシキ　ワシュウ　コウトウ　ガッコウ＊ワシュウ</v>
      </c>
      <c r="D2193" t="str">
        <f>"倉敷鷲羽高等学校"</f>
        <v>倉敷鷲羽高等学校</v>
      </c>
      <c r="E2193" t="str">
        <f>"クラシキワシュウコウトウガッコウ"</f>
        <v>クラシキワシュウコウトウガッコウ</v>
      </c>
      <c r="F2193" t="str">
        <f t="shared" si="127"/>
        <v>倉敷</v>
      </c>
      <c r="G2193" t="str">
        <f>"年刊"</f>
        <v>年刊</v>
      </c>
      <c r="H2193" t="str">
        <f>"2002222301103"</f>
        <v>2002222301103</v>
      </c>
      <c r="I2193" t="str">
        <f>HYPERLINK("#", "https://opac.libnet.pref.okayama.jp/licsxp-opac/WOpacMsgNewListToTifTilDetailAction.do?tilcod=2002222301103")</f>
        <v>https://opac.libnet.pref.okayama.jp/licsxp-opac/WOpacMsgNewListToTifTilDetailAction.do?tilcod=2002222301103</v>
      </c>
    </row>
    <row r="2194" spans="1:9" x14ac:dyDescent="0.4">
      <c r="A2194" t="str">
        <f>"倉敷；倉敷商工会議所会報"</f>
        <v>倉敷；倉敷商工会議所会報</v>
      </c>
      <c r="B2194" s="1" t="str">
        <f t="shared" si="126"/>
        <v>倉敷；倉敷商工会議所会報</v>
      </c>
      <c r="C2194" t="str">
        <f>"クラシキ＊クラシキ ショウコウ カイギショ カイホウ"</f>
        <v>クラシキ＊クラシキ ショウコウ カイギショ カイホウ</v>
      </c>
      <c r="D2194" t="str">
        <f>"倉敷商工会議所"</f>
        <v>倉敷商工会議所</v>
      </c>
      <c r="E2194" t="str">
        <f>"クラシキ ショウコウ カイギショ"</f>
        <v>クラシキ ショウコウ カイギショ</v>
      </c>
      <c r="F2194" t="str">
        <f t="shared" si="127"/>
        <v>倉敷</v>
      </c>
      <c r="G2194" t="str">
        <f>"月刊"</f>
        <v>月刊</v>
      </c>
      <c r="H2194" t="str">
        <f>"2002222291301"</f>
        <v>2002222291301</v>
      </c>
      <c r="I2194" t="str">
        <f>HYPERLINK("#", "https://opac.libnet.pref.okayama.jp/licsxp-opac/WOpacMsgNewListToTifTilDetailAction.do?tilcod=2002222291301")</f>
        <v>https://opac.libnet.pref.okayama.jp/licsxp-opac/WOpacMsgNewListToTifTilDetailAction.do?tilcod=2002222291301</v>
      </c>
    </row>
    <row r="2195" spans="1:9" x14ac:dyDescent="0.4">
      <c r="A2195" t="str">
        <f>"倉敷市児島産業振興センター通信"</f>
        <v>倉敷市児島産業振興センター通信</v>
      </c>
      <c r="B2195" s="1" t="str">
        <f t="shared" si="126"/>
        <v>倉敷市児島産業振興センター通信</v>
      </c>
      <c r="C2195" t="str">
        <f>"クラシキシ コジマ サンギョウ シンコウ センター ツウシン"</f>
        <v>クラシキシ コジマ サンギョウ シンコウ センター ツウシン</v>
      </c>
      <c r="D2195" t="str">
        <f>"倉敷市児島産業振興センター"</f>
        <v>倉敷市児島産業振興センター</v>
      </c>
      <c r="E2195" t="str">
        <f>"クラシキシ コジマ サンギョウ シンコウ センター"</f>
        <v>クラシキシ コジマ サンギョウ シンコウ センター</v>
      </c>
      <c r="F2195" t="str">
        <f t="shared" si="127"/>
        <v>倉敷</v>
      </c>
      <c r="G2195" t="str">
        <f>"年２回刊"</f>
        <v>年２回刊</v>
      </c>
      <c r="H2195" t="str">
        <f>"2002222336086"</f>
        <v>2002222336086</v>
      </c>
      <c r="I2195" t="str">
        <f>HYPERLINK("#", "https://opac.libnet.pref.okayama.jp/licsxp-opac/WOpacMsgNewListToTifTilDetailAction.do?tilcod=2002222336086")</f>
        <v>https://opac.libnet.pref.okayama.jp/licsxp-opac/WOpacMsgNewListToTifTilDetailAction.do?tilcod=2002222336086</v>
      </c>
    </row>
    <row r="2196" spans="1:9" x14ac:dyDescent="0.4">
      <c r="A2196" t="str">
        <f>"倉敷市食協だより"</f>
        <v>倉敷市食協だより</v>
      </c>
      <c r="B2196" s="1" t="str">
        <f t="shared" si="126"/>
        <v>倉敷市食協だより</v>
      </c>
      <c r="C2196" t="str">
        <f>"クラシキシ ショクキョウ ダヨリ "</f>
        <v xml:space="preserve">クラシキシ ショクキョウ ダヨリ </v>
      </c>
      <c r="D2196" t="str">
        <f>"倉敷市食品衛生協会"</f>
        <v>倉敷市食品衛生協会</v>
      </c>
      <c r="E2196" t="str">
        <f>"クラシキシ ショクヒン エイセイ キョウカイ"</f>
        <v>クラシキシ ショクヒン エイセイ キョウカイ</v>
      </c>
      <c r="F2196" t="str">
        <f t="shared" si="127"/>
        <v>倉敷</v>
      </c>
      <c r="G2196" t="str">
        <f>"頻度不明"</f>
        <v>頻度不明</v>
      </c>
      <c r="H2196" t="str">
        <f>"2002222320487"</f>
        <v>2002222320487</v>
      </c>
      <c r="I2196" t="str">
        <f>HYPERLINK("#", "https://opac.libnet.pref.okayama.jp/licsxp-opac/WOpacMsgNewListToTifTilDetailAction.do?tilcod=2002222320487")</f>
        <v>https://opac.libnet.pref.okayama.jp/licsxp-opac/WOpacMsgNewListToTifTilDetailAction.do?tilcod=2002222320487</v>
      </c>
    </row>
    <row r="2197" spans="1:9" x14ac:dyDescent="0.4">
      <c r="A2197" t="str">
        <f>"倉敷市体協ニュース"</f>
        <v>倉敷市体協ニュース</v>
      </c>
      <c r="B2197" s="1" t="str">
        <f t="shared" si="126"/>
        <v>倉敷市体協ニュース</v>
      </c>
      <c r="C2197" t="str">
        <f>"クラシキシ タイキョウ ニュース"</f>
        <v>クラシキシ タイキョウ ニュース</v>
      </c>
      <c r="D2197" t="str">
        <f>"倉敷市体育協会"</f>
        <v>倉敷市体育協会</v>
      </c>
      <c r="E2197" t="str">
        <f>"クラシキシ タイイク キョウカイ"</f>
        <v>クラシキシ タイイク キョウカイ</v>
      </c>
      <c r="F2197" t="str">
        <f t="shared" si="127"/>
        <v>倉敷</v>
      </c>
      <c r="G2197" t="str">
        <f>"年刊"</f>
        <v>年刊</v>
      </c>
      <c r="H2197" t="str">
        <f>"2002222326126"</f>
        <v>2002222326126</v>
      </c>
      <c r="I2197" t="str">
        <f>HYPERLINK("#", "https://opac.libnet.pref.okayama.jp/licsxp-opac/WOpacMsgNewListToTifTilDetailAction.do?tilcod=2002222326126")</f>
        <v>https://opac.libnet.pref.okayama.jp/licsxp-opac/WOpacMsgNewListToTifTilDetailAction.do?tilcod=2002222326126</v>
      </c>
    </row>
    <row r="2198" spans="1:9" x14ac:dyDescent="0.4">
      <c r="A2198" t="str">
        <f>"倉敷市だより"</f>
        <v>倉敷市だより</v>
      </c>
      <c r="B2198" s="1" t="str">
        <f t="shared" si="126"/>
        <v>倉敷市だより</v>
      </c>
      <c r="C2198" t="str">
        <f>"クラシキシ ダヨリ"</f>
        <v>クラシキシ ダヨリ</v>
      </c>
      <c r="D2198" t="str">
        <f>"倉敷市役所"</f>
        <v>倉敷市役所</v>
      </c>
      <c r="E2198" t="str">
        <f>"クラシキシヤクショ"</f>
        <v>クラシキシヤクショ</v>
      </c>
      <c r="F2198" t="str">
        <f t="shared" si="127"/>
        <v>倉敷</v>
      </c>
      <c r="G2198" t="str">
        <f>"隔月刊"</f>
        <v>隔月刊</v>
      </c>
      <c r="H2198" t="str">
        <f>"2002222336776"</f>
        <v>2002222336776</v>
      </c>
      <c r="I2198" t="str">
        <f>HYPERLINK("#", "https://opac.libnet.pref.okayama.jp/licsxp-opac/WOpacMsgNewListToTifTilDetailAction.do?tilcod=2002222336776")</f>
        <v>https://opac.libnet.pref.okayama.jp/licsxp-opac/WOpacMsgNewListToTifTilDetailAction.do?tilcod=2002222336776</v>
      </c>
    </row>
    <row r="2199" spans="1:9" x14ac:dyDescent="0.4">
      <c r="A2199" t="str">
        <f>"倉敷市の障害児教育"</f>
        <v>倉敷市の障害児教育</v>
      </c>
      <c r="B2199" s="1" t="str">
        <f t="shared" si="126"/>
        <v>倉敷市の障害児教育</v>
      </c>
      <c r="C2199" t="str">
        <f>"クラシキシ　ノ　ショウガイジ　キョウイク"</f>
        <v>クラシキシ　ノ　ショウガイジ　キョウイク</v>
      </c>
      <c r="D2199" t="str">
        <f>"倉敷市立教育研修所"</f>
        <v>倉敷市立教育研修所</v>
      </c>
      <c r="E2199" t="str">
        <f>"クラシキシリツ キョウイク ケンシュウジョ"</f>
        <v>クラシキシリツ キョウイク ケンシュウジョ</v>
      </c>
      <c r="F2199" t="str">
        <f t="shared" si="127"/>
        <v>倉敷</v>
      </c>
      <c r="G2199" t="str">
        <f>"頻度不明"</f>
        <v>頻度不明</v>
      </c>
      <c r="H2199" t="str">
        <f>"2002222280093"</f>
        <v>2002222280093</v>
      </c>
      <c r="I2199" t="str">
        <f>HYPERLINK("#", "https://opac.libnet.pref.okayama.jp/licsxp-opac/WOpacMsgNewListToTifTilDetailAction.do?tilcod=2002222280093")</f>
        <v>https://opac.libnet.pref.okayama.jp/licsxp-opac/WOpacMsgNewListToTifTilDetailAction.do?tilcod=2002222280093</v>
      </c>
    </row>
    <row r="2200" spans="1:9" x14ac:dyDescent="0.4">
      <c r="A2200" t="str">
        <f>"倉敷市・船穂町合併協議会だより"</f>
        <v>倉敷市・船穂町合併協議会だより</v>
      </c>
      <c r="B2200" s="1" t="str">
        <f t="shared" si="126"/>
        <v>倉敷市・船穂町合併協議会だより</v>
      </c>
      <c r="C2200" t="str">
        <f>"クラシキシ　フナオチョウ　ガッペイ　キョウギカイ　ダヨリ"</f>
        <v>クラシキシ　フナオチョウ　ガッペイ　キョウギカイ　ダヨリ</v>
      </c>
      <c r="D2200" t="str">
        <f>"倉敷市・船穂町合併協議会"</f>
        <v>倉敷市・船穂町合併協議会</v>
      </c>
      <c r="E2200" t="str">
        <f>"クラシキシフナオチョウガッペイキョウギカイ"</f>
        <v>クラシキシフナオチョウガッペイキョウギカイ</v>
      </c>
      <c r="F2200" t="str">
        <f t="shared" si="127"/>
        <v>倉敷</v>
      </c>
      <c r="G2200" t="str">
        <f>"不定期刊"</f>
        <v>不定期刊</v>
      </c>
      <c r="H2200" t="str">
        <f>"2002222300245"</f>
        <v>2002222300245</v>
      </c>
      <c r="I2200" t="str">
        <f>HYPERLINK("#", "https://opac.libnet.pref.okayama.jp/licsxp-opac/WOpacMsgNewListToTifTilDetailAction.do?tilcod=2002222300245")</f>
        <v>https://opac.libnet.pref.okayama.jp/licsxp-opac/WOpacMsgNewListToTifTilDetailAction.do?tilcod=2002222300245</v>
      </c>
    </row>
    <row r="2201" spans="1:9" x14ac:dyDescent="0.4">
      <c r="A2201" t="str">
        <f>"倉敷市文化財総合調査Newsletter"</f>
        <v>倉敷市文化財総合調査Newsletter</v>
      </c>
      <c r="B2201" s="1" t="str">
        <f t="shared" si="126"/>
        <v>倉敷市文化財総合調査Newsletter</v>
      </c>
      <c r="C2201" t="str">
        <f>"クラシキシ ブンカザイ ソウゴウ チョウサ ニュース レター"</f>
        <v>クラシキシ ブンカザイ ソウゴウ チョウサ ニュース レター</v>
      </c>
      <c r="D2201" t="str">
        <f>"倉敷市文化財総合調査委員会事務局"</f>
        <v>倉敷市文化財総合調査委員会事務局</v>
      </c>
      <c r="E2201" t="str">
        <f>"クラシキシブンカザイソウゴウチョウサイインカイジムキョク"</f>
        <v>クラシキシブンカザイソウゴウチョウサイインカイジムキョク</v>
      </c>
      <c r="F2201" t="str">
        <f t="shared" si="127"/>
        <v>倉敷</v>
      </c>
      <c r="G2201" t="str">
        <f>"頻度不明"</f>
        <v>頻度不明</v>
      </c>
      <c r="H2201" t="str">
        <f>"2002222284441"</f>
        <v>2002222284441</v>
      </c>
      <c r="I2201" t="str">
        <f>HYPERLINK("#", "https://opac.libnet.pref.okayama.jp/licsxp-opac/WOpacMsgNewListToTifTilDetailAction.do?tilcod=2002222284441")</f>
        <v>https://opac.libnet.pref.okayama.jp/licsxp-opac/WOpacMsgNewListToTifTilDetailAction.do?tilcod=2002222284441</v>
      </c>
    </row>
    <row r="2202" spans="1:9" x14ac:dyDescent="0.4">
      <c r="A2202" t="str">
        <f>"倉敷市文化財だより"</f>
        <v>倉敷市文化財だより</v>
      </c>
      <c r="B2202" s="1" t="str">
        <f t="shared" si="126"/>
        <v>倉敷市文化財だより</v>
      </c>
      <c r="C2202" t="str">
        <f>"クラシキシ　ブンカザイ　ダヨリ"</f>
        <v>クラシキシ　ブンカザイ　ダヨリ</v>
      </c>
      <c r="D2202" t="str">
        <f>"倉敷市教育委員会文化財保護課"</f>
        <v>倉敷市教育委員会文化財保護課</v>
      </c>
      <c r="E2202" t="str">
        <f>"クラシキシ キョウイク イインカイ ブンカザイ ホゴカ"</f>
        <v>クラシキシ キョウイク イインカイ ブンカザイ ホゴカ</v>
      </c>
      <c r="F2202" t="str">
        <f t="shared" si="127"/>
        <v>倉敷</v>
      </c>
      <c r="G2202" t="str">
        <f>"年刊"</f>
        <v>年刊</v>
      </c>
      <c r="H2202" t="str">
        <f>"2002222292431"</f>
        <v>2002222292431</v>
      </c>
      <c r="I2202" t="str">
        <f>HYPERLINK("#", "https://opac.libnet.pref.okayama.jp/licsxp-opac/WOpacMsgNewListToTifTilDetailAction.do?tilcod=2002222292431")</f>
        <v>https://opac.libnet.pref.okayama.jp/licsxp-opac/WOpacMsgNewListToTifTilDetailAction.do?tilcod=2002222292431</v>
      </c>
    </row>
    <row r="2203" spans="1:9" x14ac:dyDescent="0.4">
      <c r="A2203" t="str">
        <f>"倉敷市・真備町合併協議会だより"</f>
        <v>倉敷市・真備町合併協議会だより</v>
      </c>
      <c r="B2203" s="1" t="str">
        <f t="shared" si="126"/>
        <v>倉敷市・真備町合併協議会だより</v>
      </c>
      <c r="C2203" t="str">
        <f>"クラシキシ　マビチョウ　ガッペイ　キョウギカイ　ダヨリ"</f>
        <v>クラシキシ　マビチョウ　ガッペイ　キョウギカイ　ダヨリ</v>
      </c>
      <c r="D2203" t="str">
        <f>"倉敷市・真備町合併協議会"</f>
        <v>倉敷市・真備町合併協議会</v>
      </c>
      <c r="E2203" t="str">
        <f>"クラシキシマビチョウガッペイキョウギカイ"</f>
        <v>クラシキシマビチョウガッペイキョウギカイ</v>
      </c>
      <c r="F2203" t="str">
        <f t="shared" si="127"/>
        <v>倉敷</v>
      </c>
      <c r="G2203" t="str">
        <f>"不定期刊"</f>
        <v>不定期刊</v>
      </c>
      <c r="H2203" t="str">
        <f>"2002222300246"</f>
        <v>2002222300246</v>
      </c>
      <c r="I2203" t="str">
        <f>HYPERLINK("#", "https://opac.libnet.pref.okayama.jp/licsxp-opac/WOpacMsgNewListToTifTilDetailAction.do?tilcod=2002222300246")</f>
        <v>https://opac.libnet.pref.okayama.jp/licsxp-opac/WOpacMsgNewListToTifTilDetailAction.do?tilcod=2002222300246</v>
      </c>
    </row>
    <row r="2204" spans="1:9" x14ac:dyDescent="0.4">
      <c r="A2204" t="str">
        <f>"kurashiki（くらしき）市議会だより"</f>
        <v>kurashiki（くらしき）市議会だより</v>
      </c>
      <c r="B2204" s="1" t="str">
        <f t="shared" si="126"/>
        <v>kurashiki（くらしき）市議会だより</v>
      </c>
      <c r="C2204" t="str">
        <f>"クラシキシギカイ　ダヨリ"</f>
        <v>クラシキシギカイ　ダヨリ</v>
      </c>
      <c r="D2204" t="str">
        <f>"倉敷市議会事務局"</f>
        <v>倉敷市議会事務局</v>
      </c>
      <c r="E2204" t="str">
        <f>"クラシキシギカイ ジムキョク"</f>
        <v>クラシキシギカイ ジムキョク</v>
      </c>
      <c r="F2204" t="str">
        <f t="shared" si="127"/>
        <v>倉敷</v>
      </c>
      <c r="G2204" t="str">
        <f>"季刊"</f>
        <v>季刊</v>
      </c>
      <c r="H2204" t="str">
        <f>"2002222281751"</f>
        <v>2002222281751</v>
      </c>
      <c r="I2204" t="str">
        <f>HYPERLINK("#", "https://opac.libnet.pref.okayama.jp/licsxp-opac/WOpacMsgNewListToTifTilDetailAction.do?tilcod=2002222281751")</f>
        <v>https://opac.libnet.pref.okayama.jp/licsxp-opac/WOpacMsgNewListToTifTilDetailAction.do?tilcod=2002222281751</v>
      </c>
    </row>
    <row r="2205" spans="1:9" x14ac:dyDescent="0.4">
      <c r="A2205" t="str">
        <f>"倉敷市史ニュース"</f>
        <v>倉敷市史ニュース</v>
      </c>
      <c r="B2205" s="1" t="str">
        <f t="shared" si="126"/>
        <v>倉敷市史ニュース</v>
      </c>
      <c r="C2205" t="str">
        <f>"クラシキシシ ニュース"</f>
        <v>クラシキシシ ニュース</v>
      </c>
      <c r="D2205" t="str">
        <f>"倉敷市史編さん室"</f>
        <v>倉敷市史編さん室</v>
      </c>
      <c r="E2205" t="str">
        <f>""</f>
        <v/>
      </c>
      <c r="F2205" t="str">
        <f t="shared" si="127"/>
        <v>倉敷</v>
      </c>
      <c r="G2205" t="str">
        <f>"月刊"</f>
        <v>月刊</v>
      </c>
      <c r="H2205" t="str">
        <f>"2002222333828"</f>
        <v>2002222333828</v>
      </c>
      <c r="I2205" t="str">
        <f>HYPERLINK("#", "https://opac.libnet.pref.okayama.jp/licsxp-opac/WOpacMsgNewListToTifTilDetailAction.do?tilcod=2002222333828")</f>
        <v>https://opac.libnet.pref.okayama.jp/licsxp-opac/WOpacMsgNewListToTifTilDetailAction.do?tilcod=2002222333828</v>
      </c>
    </row>
    <row r="2206" spans="1:9" x14ac:dyDescent="0.4">
      <c r="A2206" t="str">
        <f>"〔倉敷市立大高小学校〕研究の歩み"</f>
        <v>〔倉敷市立大高小学校〕研究の歩み</v>
      </c>
      <c r="B2206" s="1" t="str">
        <f t="shared" si="126"/>
        <v>〔倉敷市立大高小学校〕研究の歩み</v>
      </c>
      <c r="C2206" t="str">
        <f>"クラシキシリツ　オオタカ　ショウガッコウ＊ケンキュウ　ノ　アユミ"</f>
        <v>クラシキシリツ　オオタカ　ショウガッコウ＊ケンキュウ　ノ　アユミ</v>
      </c>
      <c r="D2206" t="str">
        <f>"倉敷市立大高小学校"</f>
        <v>倉敷市立大高小学校</v>
      </c>
      <c r="E2206" t="str">
        <f>"クラシキシリツ オオタカ ショウガッコウ"</f>
        <v>クラシキシリツ オオタカ ショウガッコウ</v>
      </c>
      <c r="F2206" t="str">
        <f t="shared" si="127"/>
        <v>倉敷</v>
      </c>
      <c r="G2206" t="str">
        <f t="shared" ref="G2206:G2214" si="128">"年刊"</f>
        <v>年刊</v>
      </c>
      <c r="H2206" t="str">
        <f>"2002222289603"</f>
        <v>2002222289603</v>
      </c>
      <c r="I2206" t="str">
        <f>HYPERLINK("#", "https://opac.libnet.pref.okayama.jp/licsxp-opac/WOpacMsgNewListToTifTilDetailAction.do?tilcod=2002222289603")</f>
        <v>https://opac.libnet.pref.okayama.jp/licsxp-opac/WOpacMsgNewListToTifTilDetailAction.do?tilcod=2002222289603</v>
      </c>
    </row>
    <row r="2207" spans="1:9" x14ac:dyDescent="0.4">
      <c r="A2207" t="str">
        <f>"[倉敷市立倉敷翔南高等学校] 学校案内"</f>
        <v>[倉敷市立倉敷翔南高等学校] 学校案内</v>
      </c>
      <c r="B2207" s="1" t="str">
        <f t="shared" si="126"/>
        <v>[倉敷市立倉敷翔南高等学校] 学校案内</v>
      </c>
      <c r="C2207" t="str">
        <f>"クラシキシリツ　クラシキ　ショウナン　コウトウ　ガッコウ　ガッコウ　アンナイ"</f>
        <v>クラシキシリツ　クラシキ　ショウナン　コウトウ　ガッコウ　ガッコウ　アンナイ</v>
      </c>
      <c r="D2207" t="str">
        <f>"倉敷市立倉敷翔南高等学校"</f>
        <v>倉敷市立倉敷翔南高等学校</v>
      </c>
      <c r="E2207" t="str">
        <f>"クラシキシリツ クラシキ ショウナン コウトウ ガッコウ"</f>
        <v>クラシキシリツ クラシキ ショウナン コウトウ ガッコウ</v>
      </c>
      <c r="F2207" t="str">
        <f t="shared" si="127"/>
        <v>倉敷</v>
      </c>
      <c r="G2207" t="str">
        <f t="shared" si="128"/>
        <v>年刊</v>
      </c>
      <c r="H2207" t="str">
        <f>"2002222301271"</f>
        <v>2002222301271</v>
      </c>
      <c r="I2207" t="str">
        <f>HYPERLINK("#", "https://opac.libnet.pref.okayama.jp/licsxp-opac/WOpacMsgNewListToTifTilDetailAction.do?tilcod=2002222301271")</f>
        <v>https://opac.libnet.pref.okayama.jp/licsxp-opac/WOpacMsgNewListToTifTilDetailAction.do?tilcod=2002222301271</v>
      </c>
    </row>
    <row r="2208" spans="1:9" x14ac:dyDescent="0.4">
      <c r="A2208" t="str">
        <f>"[倉敷市立倉敷翔南高等学校] 学校要覧"</f>
        <v>[倉敷市立倉敷翔南高等学校] 学校要覧</v>
      </c>
      <c r="B2208" s="1" t="str">
        <f t="shared" si="126"/>
        <v>[倉敷市立倉敷翔南高等学校] 学校要覧</v>
      </c>
      <c r="C2208" t="str">
        <f>"クラシキシリツ　クラシキ　ショウナン　コウトウ　ガッコウ　ガッコウ　ヨウラン"</f>
        <v>クラシキシリツ　クラシキ　ショウナン　コウトウ　ガッコウ　ガッコウ　ヨウラン</v>
      </c>
      <c r="D2208" t="str">
        <f>"倉敷市立倉敷翔南高等学校"</f>
        <v>倉敷市立倉敷翔南高等学校</v>
      </c>
      <c r="E2208" t="str">
        <f>"クラシキシリツ クラシキ ショウナン コウトウ ガッコウ"</f>
        <v>クラシキシリツ クラシキ ショウナン コウトウ ガッコウ</v>
      </c>
      <c r="F2208" t="str">
        <f t="shared" si="127"/>
        <v>倉敷</v>
      </c>
      <c r="G2208" t="str">
        <f t="shared" si="128"/>
        <v>年刊</v>
      </c>
      <c r="H2208" t="str">
        <f>"2002222300558"</f>
        <v>2002222300558</v>
      </c>
      <c r="I2208" t="str">
        <f>HYPERLINK("#", "https://opac.libnet.pref.okayama.jp/licsxp-opac/WOpacMsgNewListToTifTilDetailAction.do?tilcod=2002222300558")</f>
        <v>https://opac.libnet.pref.okayama.jp/licsxp-opac/WOpacMsgNewListToTifTilDetailAction.do?tilcod=2002222300558</v>
      </c>
    </row>
    <row r="2209" spans="1:9" x14ac:dyDescent="0.4">
      <c r="A2209" t="str">
        <f>"〔倉敷市立倉敷翔南高等学校〕履修のてびき・シラバス"</f>
        <v>〔倉敷市立倉敷翔南高等学校〕履修のてびき・シラバス</v>
      </c>
      <c r="B2209" s="1" t="str">
        <f t="shared" si="126"/>
        <v>〔倉敷市立倉敷翔南高等学校〕履修のてびき・シラバス</v>
      </c>
      <c r="C2209" t="str">
        <f>"クラシキシリツ　クラシキ　シヨウナン　コウトウガッコウ＊リシュウ　ノ　テビキ　シラバス"</f>
        <v>クラシキシリツ　クラシキ　シヨウナン　コウトウガッコウ＊リシュウ　ノ　テビキ　シラバス</v>
      </c>
      <c r="D2209" t="str">
        <f>"倉敷市立倉敷翔南高等学校"</f>
        <v>倉敷市立倉敷翔南高等学校</v>
      </c>
      <c r="E2209" t="str">
        <f>"クラシキシリツ クラシキ ショウナン コウトウ ガッコウ"</f>
        <v>クラシキシリツ クラシキ ショウナン コウトウ ガッコウ</v>
      </c>
      <c r="F2209" t="str">
        <f t="shared" si="127"/>
        <v>倉敷</v>
      </c>
      <c r="G2209" t="str">
        <f t="shared" si="128"/>
        <v>年刊</v>
      </c>
      <c r="H2209" t="str">
        <f>"2002222300727"</f>
        <v>2002222300727</v>
      </c>
      <c r="I2209" t="str">
        <f>HYPERLINK("#", "https://opac.libnet.pref.okayama.jp/licsxp-opac/WOpacMsgNewListToTifTilDetailAction.do?tilcod=2002222300727")</f>
        <v>https://opac.libnet.pref.okayama.jp/licsxp-opac/WOpacMsgNewListToTifTilDetailAction.do?tilcod=2002222300727</v>
      </c>
    </row>
    <row r="2210" spans="1:9" x14ac:dyDescent="0.4">
      <c r="A2210" t="str">
        <f>"倉敷市立倉敷養護学校学校要覧"</f>
        <v>倉敷市立倉敷養護学校学校要覧</v>
      </c>
      <c r="B2210" s="1" t="str">
        <f t="shared" si="126"/>
        <v>倉敷市立倉敷養護学校学校要覧</v>
      </c>
      <c r="C2210" t="str">
        <f>"クラシキシリツ　クラシキ　ヨウゴ　ガッコウ　ガッコウ　ヨウラン"</f>
        <v>クラシキシリツ　クラシキ　ヨウゴ　ガッコウ　ガッコウ　ヨウラン</v>
      </c>
      <c r="D2210" t="str">
        <f>"倉敷市立倉敷養護学校"</f>
        <v>倉敷市立倉敷養護学校</v>
      </c>
      <c r="E2210" t="str">
        <f>"クラシキシリツ クラシキ ヨウゴ ガッコウ"</f>
        <v>クラシキシリツ クラシキ ヨウゴ ガッコウ</v>
      </c>
      <c r="F2210" t="str">
        <f t="shared" si="127"/>
        <v>倉敷</v>
      </c>
      <c r="G2210" t="str">
        <f t="shared" si="128"/>
        <v>年刊</v>
      </c>
      <c r="H2210" t="str">
        <f>"2002222301805"</f>
        <v>2002222301805</v>
      </c>
      <c r="I2210" t="str">
        <f>HYPERLINK("#", "https://opac.libnet.pref.okayama.jp/licsxp-opac/WOpacMsgNewListToTifTilDetailAction.do?tilcod=2002222301805")</f>
        <v>https://opac.libnet.pref.okayama.jp/licsxp-opac/WOpacMsgNewListToTifTilDetailAction.do?tilcod=2002222301805</v>
      </c>
    </row>
    <row r="2211" spans="1:9" x14ac:dyDescent="0.4">
      <c r="A2211" t="str">
        <f>"[倉敷市立工業高等学校] 学校案内"</f>
        <v>[倉敷市立工業高等学校] 学校案内</v>
      </c>
      <c r="B2211" s="1" t="str">
        <f t="shared" si="126"/>
        <v>[倉敷市立工業高等学校] 学校案内</v>
      </c>
      <c r="C2211" t="str">
        <f>"クラシキシリツ コウギョウ コウトウ ガッコウ ガッコウ アンナイ"</f>
        <v>クラシキシリツ コウギョウ コウトウ ガッコウ ガッコウ アンナイ</v>
      </c>
      <c r="D2211" t="str">
        <f>"倉敷市立工業高等学校"</f>
        <v>倉敷市立工業高等学校</v>
      </c>
      <c r="E2211" t="str">
        <f>"クラシキシリツ コウギョウ コウトウ ガッコウ"</f>
        <v>クラシキシリツ コウギョウ コウトウ ガッコウ</v>
      </c>
      <c r="F2211" t="str">
        <f t="shared" si="127"/>
        <v>倉敷</v>
      </c>
      <c r="G2211" t="str">
        <f t="shared" si="128"/>
        <v>年刊</v>
      </c>
      <c r="H2211" t="str">
        <f>"2002222301263"</f>
        <v>2002222301263</v>
      </c>
      <c r="I2211" t="str">
        <f>HYPERLINK("#", "https://opac.libnet.pref.okayama.jp/licsxp-opac/WOpacMsgNewListToTifTilDetailAction.do?tilcod=2002222301263")</f>
        <v>https://opac.libnet.pref.okayama.jp/licsxp-opac/WOpacMsgNewListToTifTilDetailAction.do?tilcod=2002222301263</v>
      </c>
    </row>
    <row r="2212" spans="1:9" x14ac:dyDescent="0.4">
      <c r="A2212" t="str">
        <f>"[倉敷市立工業高等学校] 学校要覧"</f>
        <v>[倉敷市立工業高等学校] 学校要覧</v>
      </c>
      <c r="B2212" s="1" t="str">
        <f t="shared" si="126"/>
        <v>[倉敷市立工業高等学校] 学校要覧</v>
      </c>
      <c r="C2212" t="str">
        <f>"クラシキシリツ コウギョウ コウトウ ガッコウ ガッコウ ヨウラン"</f>
        <v>クラシキシリツ コウギョウ コウトウ ガッコウ ガッコウ ヨウラン</v>
      </c>
      <c r="D2212" t="str">
        <f>"倉敷市立工業高等学校"</f>
        <v>倉敷市立工業高等学校</v>
      </c>
      <c r="E2212" t="str">
        <f>"クラシキシリツ コウギョウ コウトウ ガッコウ"</f>
        <v>クラシキシリツ コウギョウ コウトウ ガッコウ</v>
      </c>
      <c r="F2212" t="str">
        <f t="shared" si="127"/>
        <v>倉敷</v>
      </c>
      <c r="G2212" t="str">
        <f t="shared" si="128"/>
        <v>年刊</v>
      </c>
      <c r="H2212" t="str">
        <f>"2002222300559"</f>
        <v>2002222300559</v>
      </c>
      <c r="I2212" t="str">
        <f>HYPERLINK("#", "https://opac.libnet.pref.okayama.jp/licsxp-opac/WOpacMsgNewListToTifTilDetailAction.do?tilcod=2002222300559")</f>
        <v>https://opac.libnet.pref.okayama.jp/licsxp-opac/WOpacMsgNewListToTifTilDetailAction.do?tilcod=2002222300559</v>
      </c>
    </row>
    <row r="2213" spans="1:9" x14ac:dyDescent="0.4">
      <c r="A2213" t="str">
        <f>"倉敷市立児島高等学校学校要覧"</f>
        <v>倉敷市立児島高等学校学校要覧</v>
      </c>
      <c r="B2213" s="1" t="str">
        <f t="shared" si="126"/>
        <v>倉敷市立児島高等学校学校要覧</v>
      </c>
      <c r="C2213" t="str">
        <f>"クラシキシリツ　コジマ　コウトウ　ガッコウ　ガッコウ　ヨウラン"</f>
        <v>クラシキシリツ　コジマ　コウトウ　ガッコウ　ガッコウ　ヨウラン</v>
      </c>
      <c r="D2213" t="str">
        <f>"倉敷市立児島高等学校"</f>
        <v>倉敷市立児島高等学校</v>
      </c>
      <c r="E2213" t="str">
        <f>"クラシキシリツコジマコウトウガッコウ"</f>
        <v>クラシキシリツコジマコウトウガッコウ</v>
      </c>
      <c r="F2213" t="str">
        <f t="shared" si="127"/>
        <v>倉敷</v>
      </c>
      <c r="G2213" t="str">
        <f t="shared" si="128"/>
        <v>年刊</v>
      </c>
      <c r="H2213" t="str">
        <f>"2002222300556"</f>
        <v>2002222300556</v>
      </c>
      <c r="I2213" t="str">
        <f>HYPERLINK("#", "https://opac.libnet.pref.okayama.jp/licsxp-opac/WOpacMsgNewListToTifTilDetailAction.do?tilcod=2002222300556")</f>
        <v>https://opac.libnet.pref.okayama.jp/licsxp-opac/WOpacMsgNewListToTifTilDetailAction.do?tilcod=2002222300556</v>
      </c>
    </row>
    <row r="2214" spans="1:9" x14ac:dyDescent="0.4">
      <c r="A2214" t="str">
        <f>"倉敷市立児島第一高等学校学校要覧"</f>
        <v>倉敷市立児島第一高等学校学校要覧</v>
      </c>
      <c r="B2214" s="1" t="str">
        <f t="shared" si="126"/>
        <v>倉敷市立児島第一高等学校学校要覧</v>
      </c>
      <c r="C2214" t="str">
        <f>"クラシキシリツ　コジマ　ダイイチ　コウトウ　ガッコウ　ガッコウ　ヨウラン"</f>
        <v>クラシキシリツ　コジマ　ダイイチ　コウトウ　ガッコウ　ガッコウ　ヨウラン</v>
      </c>
      <c r="D2214" t="str">
        <f>"倉敷市立児島第一高等学校"</f>
        <v>倉敷市立児島第一高等学校</v>
      </c>
      <c r="E2214" t="str">
        <f>"クラシキシリツ コジマ ダイイチ コウトウ ガッコウ"</f>
        <v>クラシキシリツ コジマ ダイイチ コウトウ ガッコウ</v>
      </c>
      <c r="F2214" t="str">
        <f t="shared" si="127"/>
        <v>倉敷</v>
      </c>
      <c r="G2214" t="str">
        <f t="shared" si="128"/>
        <v>年刊</v>
      </c>
      <c r="H2214" t="str">
        <f>"2002222300557"</f>
        <v>2002222300557</v>
      </c>
      <c r="I2214" t="str">
        <f>HYPERLINK("#", "https://opac.libnet.pref.okayama.jp/licsxp-opac/WOpacMsgNewListToTifTilDetailAction.do?tilcod=2002222300557")</f>
        <v>https://opac.libnet.pref.okayama.jp/licsxp-opac/WOpacMsgNewListToTifTilDetailAction.do?tilcod=2002222300557</v>
      </c>
    </row>
    <row r="2215" spans="1:9" x14ac:dyDescent="0.4">
      <c r="A2215" t="str">
        <f>"[倉敷市立児島第一高等学校生徒会]青雲"</f>
        <v>[倉敷市立児島第一高等学校生徒会]青雲</v>
      </c>
      <c r="B2215" s="1" t="str">
        <f t="shared" si="126"/>
        <v>[倉敷市立児島第一高等学校生徒会]青雲</v>
      </c>
      <c r="C2215" t="str">
        <f>"クラシキシリツ コジマ ダイイチ コウトウ ガッコウ セイトカイ セイウン"</f>
        <v>クラシキシリツ コジマ ダイイチ コウトウ ガッコウ セイトカイ セイウン</v>
      </c>
      <c r="D2215" t="str">
        <f>"倉敷市立児島第一高等学校"</f>
        <v>倉敷市立児島第一高等学校</v>
      </c>
      <c r="E2215" t="str">
        <f>"クラシキシリツ コジマ ダイイチ コウトウ ガッコウ"</f>
        <v>クラシキシリツ コジマ ダイイチ コウトウ ガッコウ</v>
      </c>
      <c r="F2215" t="str">
        <f t="shared" si="127"/>
        <v>倉敷</v>
      </c>
      <c r="G2215" t="str">
        <f>"頻度不明"</f>
        <v>頻度不明</v>
      </c>
      <c r="H2215" t="str">
        <f>"2002222319426"</f>
        <v>2002222319426</v>
      </c>
      <c r="I2215" t="str">
        <f>HYPERLINK("#", "https://opac.libnet.pref.okayama.jp/licsxp-opac/WOpacMsgNewListToTifTilDetailAction.do?tilcod=2002222319426")</f>
        <v>https://opac.libnet.pref.okayama.jp/licsxp-opac/WOpacMsgNewListToTifTilDetailAction.do?tilcod=2002222319426</v>
      </c>
    </row>
    <row r="2216" spans="1:9" x14ac:dyDescent="0.4">
      <c r="A2216" t="str">
        <f>"〔倉敷市立児島第一高等学校〕研究紀要"</f>
        <v>〔倉敷市立児島第一高等学校〕研究紀要</v>
      </c>
      <c r="B2216" s="1" t="str">
        <f t="shared" si="126"/>
        <v>〔倉敷市立児島第一高等学校〕研究紀要</v>
      </c>
      <c r="C2216" t="str">
        <f>"クラシキシリツ　コジマ　ダイイチ　コウトウ　ガッコウ＊ケンキュウ　キヨウ"</f>
        <v>クラシキシリツ　コジマ　ダイイチ　コウトウ　ガッコウ＊ケンキュウ　キヨウ</v>
      </c>
      <c r="D2216" t="str">
        <f>"倉敷市立児島第一高等学校"</f>
        <v>倉敷市立児島第一高等学校</v>
      </c>
      <c r="E2216" t="str">
        <f>"クラシキシリツ コジマ ダイイチ コウトウ ガッコウ"</f>
        <v>クラシキシリツ コジマ ダイイチ コウトウ ガッコウ</v>
      </c>
      <c r="F2216" t="str">
        <f t="shared" si="127"/>
        <v>倉敷</v>
      </c>
      <c r="G2216" t="str">
        <f>"年刊"</f>
        <v>年刊</v>
      </c>
      <c r="H2216" t="str">
        <f>"2002222289533"</f>
        <v>2002222289533</v>
      </c>
      <c r="I2216" t="str">
        <f>HYPERLINK("#", "https://opac.libnet.pref.okayama.jp/licsxp-opac/WOpacMsgNewListToTifTilDetailAction.do?tilcod=2002222289533")</f>
        <v>https://opac.libnet.pref.okayama.jp/licsxp-opac/WOpacMsgNewListToTifTilDetailAction.do?tilcod=2002222289533</v>
      </c>
    </row>
    <row r="2217" spans="1:9" x14ac:dyDescent="0.4">
      <c r="A2217" t="str">
        <f>"〔倉敷市立児島第一高等学校〕友つな"</f>
        <v>〔倉敷市立児島第一高等学校〕友つな</v>
      </c>
      <c r="B2217" s="1" t="str">
        <f t="shared" si="126"/>
        <v>〔倉敷市立児島第一高等学校〕友つな</v>
      </c>
      <c r="C2217" t="str">
        <f>"クラシキシリツ　コジマ　ダイイチ　コウトウ　ガッコウ＊トモツナ"</f>
        <v>クラシキシリツ　コジマ　ダイイチ　コウトウ　ガッコウ＊トモツナ</v>
      </c>
      <c r="D2217" t="str">
        <f>"倉敷市立児島第一高等学校"</f>
        <v>倉敷市立児島第一高等学校</v>
      </c>
      <c r="E2217" t="str">
        <f>"クラシキシリツ コジマ ダイイチ コウトウ ガッコウ"</f>
        <v>クラシキシリツ コジマ ダイイチ コウトウ ガッコウ</v>
      </c>
      <c r="F2217" t="str">
        <f t="shared" si="127"/>
        <v>倉敷</v>
      </c>
      <c r="G2217" t="str">
        <f>"頻度不明"</f>
        <v>頻度不明</v>
      </c>
      <c r="H2217" t="str">
        <f>"2002222285293"</f>
        <v>2002222285293</v>
      </c>
      <c r="I2217" t="str">
        <f>HYPERLINK("#", "https://opac.libnet.pref.okayama.jp/licsxp-opac/WOpacMsgNewListToTifTilDetailAction.do?tilcod=2002222285293")</f>
        <v>https://opac.libnet.pref.okayama.jp/licsxp-opac/WOpacMsgNewListToTifTilDetailAction.do?tilcod=2002222285293</v>
      </c>
    </row>
    <row r="2218" spans="1:9" x14ac:dyDescent="0.4">
      <c r="A2218" t="str">
        <f>"[倉敷市立児島中学校]学校要覧"</f>
        <v>[倉敷市立児島中学校]学校要覧</v>
      </c>
      <c r="B2218" s="1" t="str">
        <f t="shared" si="126"/>
        <v>[倉敷市立児島中学校]学校要覧</v>
      </c>
      <c r="C2218" t="str">
        <f>"クラシキシリツ コジマ チュウガッコウ ガッコウ ヨウラン"</f>
        <v>クラシキシリツ コジマ チュウガッコウ ガッコウ ヨウラン</v>
      </c>
      <c r="D2218" t="str">
        <f>"倉敷市立児島中学校"</f>
        <v>倉敷市立児島中学校</v>
      </c>
      <c r="E2218" t="str">
        <f>"クラシキシリツコジマチュウガッコウ"</f>
        <v>クラシキシリツコジマチュウガッコウ</v>
      </c>
      <c r="F2218" t="str">
        <f t="shared" si="127"/>
        <v>倉敷</v>
      </c>
      <c r="G2218" t="str">
        <f>"年刊"</f>
        <v>年刊</v>
      </c>
      <c r="H2218" t="str">
        <f>"2002222332866"</f>
        <v>2002222332866</v>
      </c>
      <c r="I2218" t="str">
        <f>HYPERLINK("#", "https://opac.libnet.pref.okayama.jp/licsxp-opac/WOpacMsgNewListToTifTilDetailAction.do?tilcod=2002222332866")</f>
        <v>https://opac.libnet.pref.okayama.jp/licsxp-opac/WOpacMsgNewListToTifTilDetailAction.do?tilcod=2002222332866</v>
      </c>
    </row>
    <row r="2219" spans="1:9" x14ac:dyDescent="0.4">
      <c r="A2219" t="str">
        <f>"倉敷市立自然史博物館研究報告"</f>
        <v>倉敷市立自然史博物館研究報告</v>
      </c>
      <c r="B2219" s="1" t="str">
        <f t="shared" si="126"/>
        <v>倉敷市立自然史博物館研究報告</v>
      </c>
      <c r="C2219" t="str">
        <f>"クラシキシリツ　シゼンシ　ハクブツカン　ケンキュウ　ホウコク"</f>
        <v>クラシキシリツ　シゼンシ　ハクブツカン　ケンキュウ　ホウコク</v>
      </c>
      <c r="D2219" t="str">
        <f>"倉敷市立自然史博物館"</f>
        <v>倉敷市立自然史博物館</v>
      </c>
      <c r="E2219" t="str">
        <f>"クラシキシリツ シゼンシ ハクブツカン"</f>
        <v>クラシキシリツ シゼンシ ハクブツカン</v>
      </c>
      <c r="F2219" t="str">
        <f t="shared" si="127"/>
        <v>倉敷</v>
      </c>
      <c r="G2219" t="str">
        <f>"年刊"</f>
        <v>年刊</v>
      </c>
      <c r="H2219" t="str">
        <f>"2002222294971"</f>
        <v>2002222294971</v>
      </c>
      <c r="I2219" t="str">
        <f>HYPERLINK("#", "https://opac.libnet.pref.okayama.jp/licsxp-opac/WOpacMsgNewListToTifTilDetailAction.do?tilcod=2002222294971")</f>
        <v>https://opac.libnet.pref.okayama.jp/licsxp-opac/WOpacMsgNewListToTifTilDetailAction.do?tilcod=2002222294971</v>
      </c>
    </row>
    <row r="2220" spans="1:9" x14ac:dyDescent="0.4">
      <c r="A2220" t="str">
        <f>"〔倉敷市立自然史博物館〕今月の話題"</f>
        <v>〔倉敷市立自然史博物館〕今月の話題</v>
      </c>
      <c r="B2220" s="1" t="str">
        <f t="shared" si="126"/>
        <v>〔倉敷市立自然史博物館〕今月の話題</v>
      </c>
      <c r="C2220" t="str">
        <f>"クラシキシリツ　シゼンシ　ハクブツカン＊コンゲツ　ノ　ワダイ"</f>
        <v>クラシキシリツ　シゼンシ　ハクブツカン＊コンゲツ　ノ　ワダイ</v>
      </c>
      <c r="D2220" t="str">
        <f>"倉敷市立自然史博物館"</f>
        <v>倉敷市立自然史博物館</v>
      </c>
      <c r="E2220" t="str">
        <f>"クラシキシリツシゼンシハクブツカン"</f>
        <v>クラシキシリツシゼンシハクブツカン</v>
      </c>
      <c r="F2220" t="str">
        <f t="shared" si="127"/>
        <v>倉敷</v>
      </c>
      <c r="G2220" t="str">
        <f>"月刊"</f>
        <v>月刊</v>
      </c>
      <c r="H2220" t="str">
        <f>"2002222292521"</f>
        <v>2002222292521</v>
      </c>
      <c r="I2220" t="str">
        <f>HYPERLINK("#", "https://opac.libnet.pref.okayama.jp/licsxp-opac/WOpacMsgNewListToTifTilDetailAction.do?tilcod=2002222292521")</f>
        <v>https://opac.libnet.pref.okayama.jp/licsxp-opac/WOpacMsgNewListToTifTilDetailAction.do?tilcod=2002222292521</v>
      </c>
    </row>
    <row r="2221" spans="1:9" x14ac:dyDescent="0.4">
      <c r="A2221" t="str">
        <f>"〔倉敷市立自然史博物館〕パオちゃん’s EYE"</f>
        <v>〔倉敷市立自然史博物館〕パオちゃん’s EYE</v>
      </c>
      <c r="B2221" s="1" t="str">
        <f t="shared" si="126"/>
        <v>〔倉敷市立自然史博物館〕パオちゃん’s EYE</v>
      </c>
      <c r="C2221" t="str">
        <f>"クラシキシリツ　シゼンシ　ハクブツカン＊パオチャンズ　アイ"</f>
        <v>クラシキシリツ　シゼンシ　ハクブツカン＊パオチャンズ　アイ</v>
      </c>
      <c r="D2221" t="str">
        <f>"倉敷市立自然史博物館"</f>
        <v>倉敷市立自然史博物館</v>
      </c>
      <c r="E2221" t="str">
        <f>"クラシキシリツシゼンシハクブツカン"</f>
        <v>クラシキシリツシゼンシハクブツカン</v>
      </c>
      <c r="F2221" t="str">
        <f t="shared" si="127"/>
        <v>倉敷</v>
      </c>
      <c r="G2221" t="str">
        <f>"月刊"</f>
        <v>月刊</v>
      </c>
      <c r="H2221" t="str">
        <f>"2002222329066"</f>
        <v>2002222329066</v>
      </c>
      <c r="I2221" t="str">
        <f>HYPERLINK("#", "https://opac.libnet.pref.okayama.jp/licsxp-opac/WOpacMsgNewListToTifTilDetailAction.do?tilcod=2002222329066")</f>
        <v>https://opac.libnet.pref.okayama.jp/licsxp-opac/WOpacMsgNewListToTifTilDetailAction.do?tilcod=2002222329066</v>
      </c>
    </row>
    <row r="2222" spans="1:9" x14ac:dyDescent="0.4">
      <c r="A2222" t="str">
        <f>"[倉敷市立庄小学校]学校要覧"</f>
        <v>[倉敷市立庄小学校]学校要覧</v>
      </c>
      <c r="B2222" s="1" t="str">
        <f t="shared" si="126"/>
        <v>[倉敷市立庄小学校]学校要覧</v>
      </c>
      <c r="C2222" t="str">
        <f>"クラシキシリツ ショウ ショウガッコウ ガッコウ ヨウラン"</f>
        <v>クラシキシリツ ショウ ショウガッコウ ガッコウ ヨウラン</v>
      </c>
      <c r="D2222" t="str">
        <f>"倉敷市立庄小学校"</f>
        <v>倉敷市立庄小学校</v>
      </c>
      <c r="E2222" t="str">
        <f>"クラシキシリツ ショウ ショウガッコウ"</f>
        <v>クラシキシリツ ショウ ショウガッコウ</v>
      </c>
      <c r="F2222" t="str">
        <f t="shared" si="127"/>
        <v>倉敷</v>
      </c>
      <c r="G2222" t="str">
        <f>"年刊"</f>
        <v>年刊</v>
      </c>
      <c r="H2222" t="str">
        <f>"2002222322392"</f>
        <v>2002222322392</v>
      </c>
      <c r="I2222" t="str">
        <f>HYPERLINK("#", "https://opac.libnet.pref.okayama.jp/licsxp-opac/WOpacMsgNewListToTifTilDetailAction.do?tilcod=2002222322392")</f>
        <v>https://opac.libnet.pref.okayama.jp/licsxp-opac/WOpacMsgNewListToTifTilDetailAction.do?tilcod=2002222322392</v>
      </c>
    </row>
    <row r="2223" spans="1:9" x14ac:dyDescent="0.4">
      <c r="A2223" t="str">
        <f>"〔倉敷市立商業学校〕学窓"</f>
        <v>〔倉敷市立商業学校〕学窓</v>
      </c>
      <c r="B2223" s="1" t="str">
        <f t="shared" si="126"/>
        <v>〔倉敷市立商業学校〕学窓</v>
      </c>
      <c r="C2223" t="str">
        <f>"クラシキシリツ　ショウギョウ　ガッコウ　ガクソウ"</f>
        <v>クラシキシリツ　ショウギョウ　ガッコウ　ガクソウ</v>
      </c>
      <c r="D2223" t="str">
        <f>"倉敷市立商業学校"</f>
        <v>倉敷市立商業学校</v>
      </c>
      <c r="E2223" t="str">
        <f>"クラシキシリツショウギョウガッコウ"</f>
        <v>クラシキシリツショウギョウガッコウ</v>
      </c>
      <c r="F2223" t="str">
        <f>"〔倉敷〕"</f>
        <v>〔倉敷〕</v>
      </c>
      <c r="G2223" t="str">
        <f>"頻度不明"</f>
        <v>頻度不明</v>
      </c>
      <c r="H2223" t="str">
        <f>"2002222301210"</f>
        <v>2002222301210</v>
      </c>
      <c r="I2223" t="str">
        <f>HYPERLINK("#", "https://opac.libnet.pref.okayama.jp/licsxp-opac/WOpacMsgNewListToTifTilDetailAction.do?tilcod=2002222301210")</f>
        <v>https://opac.libnet.pref.okayama.jp/licsxp-opac/WOpacMsgNewListToTifTilDetailAction.do?tilcod=2002222301210</v>
      </c>
    </row>
    <row r="2224" spans="1:9" x14ac:dyDescent="0.4">
      <c r="A2224" t="str">
        <f>"[倉敷市立精思高等学校] 学校案内"</f>
        <v>[倉敷市立精思高等学校] 学校案内</v>
      </c>
      <c r="B2224" s="1" t="str">
        <f t="shared" si="126"/>
        <v>[倉敷市立精思高等学校] 学校案内</v>
      </c>
      <c r="C2224" t="str">
        <f>"クラシキシリツ　セイシ　コウトウ　ガッコウ　ガッコウ　アンナイ"</f>
        <v>クラシキシリツ　セイシ　コウトウ　ガッコウ　ガッコウ　アンナイ</v>
      </c>
      <c r="D2224" t="str">
        <f>"倉敷市立精思高等学校"</f>
        <v>倉敷市立精思高等学校</v>
      </c>
      <c r="E2224" t="str">
        <f>"クラシキシリツ セイシ コウトウ ガッコウ"</f>
        <v>クラシキシリツ セイシ コウトウ ガッコウ</v>
      </c>
      <c r="F2224" t="str">
        <f t="shared" ref="F2224:F2243" si="129">"倉敷"</f>
        <v>倉敷</v>
      </c>
      <c r="G2224" t="str">
        <f>"年刊"</f>
        <v>年刊</v>
      </c>
      <c r="H2224" t="str">
        <f>"2002222301264"</f>
        <v>2002222301264</v>
      </c>
      <c r="I2224" t="str">
        <f>HYPERLINK("#", "https://opac.libnet.pref.okayama.jp/licsxp-opac/WOpacMsgNewListToTifTilDetailAction.do?tilcod=2002222301264")</f>
        <v>https://opac.libnet.pref.okayama.jp/licsxp-opac/WOpacMsgNewListToTifTilDetailAction.do?tilcod=2002222301264</v>
      </c>
    </row>
    <row r="2225" spans="1:9" x14ac:dyDescent="0.4">
      <c r="A2225" t="str">
        <f>"[倉敷市立精思高等学校] 学校要覧"</f>
        <v>[倉敷市立精思高等学校] 学校要覧</v>
      </c>
      <c r="B2225" s="1" t="str">
        <f t="shared" si="126"/>
        <v>[倉敷市立精思高等学校] 学校要覧</v>
      </c>
      <c r="C2225" t="str">
        <f>"クラシキシリツ　セイシ　コウトウ　ガッコウ　ガッコウ　ヨウラン"</f>
        <v>クラシキシリツ　セイシ　コウトウ　ガッコウ　ガッコウ　ヨウラン</v>
      </c>
      <c r="D2225" t="str">
        <f>"倉敷市立精思高等学校"</f>
        <v>倉敷市立精思高等学校</v>
      </c>
      <c r="E2225" t="str">
        <f>"クラシキシリツ セイシ コウトウ ガッコウ"</f>
        <v>クラシキシリツ セイシ コウトウ ガッコウ</v>
      </c>
      <c r="F2225" t="str">
        <f t="shared" si="129"/>
        <v>倉敷</v>
      </c>
      <c r="G2225" t="str">
        <f>"年刊"</f>
        <v>年刊</v>
      </c>
      <c r="H2225" t="str">
        <f>"2002222300560"</f>
        <v>2002222300560</v>
      </c>
      <c r="I2225" t="str">
        <f>HYPERLINK("#", "https://opac.libnet.pref.okayama.jp/licsxp-opac/WOpacMsgNewListToTifTilDetailAction.do?tilcod=2002222300560")</f>
        <v>https://opac.libnet.pref.okayama.jp/licsxp-opac/WOpacMsgNewListToTifTilDetailAction.do?tilcod=2002222300560</v>
      </c>
    </row>
    <row r="2226" spans="1:9" x14ac:dyDescent="0.4">
      <c r="A2226" t="str">
        <f>"〔倉敷市立精思高等学校生徒会〕つた"</f>
        <v>〔倉敷市立精思高等学校生徒会〕つた</v>
      </c>
      <c r="B2226" s="1" t="str">
        <f t="shared" si="126"/>
        <v>〔倉敷市立精思高等学校生徒会〕つた</v>
      </c>
      <c r="C2226" t="str">
        <f>"クラシキシリツ　セイシ　コウトウ　ガッコウ　セイトカイ＊ツタ"</f>
        <v>クラシキシリツ　セイシ　コウトウ　ガッコウ　セイトカイ＊ツタ</v>
      </c>
      <c r="D2226" t="str">
        <f>"倉敷市立精思高等学校生徒会"</f>
        <v>倉敷市立精思高等学校生徒会</v>
      </c>
      <c r="E2226" t="str">
        <f>"クラシキシリツセイシコウトウガッコウセイトカイ"</f>
        <v>クラシキシリツセイシコウトウガッコウセイトカイ</v>
      </c>
      <c r="F2226" t="str">
        <f t="shared" si="129"/>
        <v>倉敷</v>
      </c>
      <c r="G2226" t="str">
        <f>"頻度不明"</f>
        <v>頻度不明</v>
      </c>
      <c r="H2226" t="str">
        <f>"2002222280864"</f>
        <v>2002222280864</v>
      </c>
      <c r="I2226" t="str">
        <f>HYPERLINK("#", "https://opac.libnet.pref.okayama.jp/licsxp-opac/WOpacMsgNewListToTifTilDetailAction.do?tilcod=2002222280864")</f>
        <v>https://opac.libnet.pref.okayama.jp/licsxp-opac/WOpacMsgNewListToTifTilDetailAction.do?tilcod=2002222280864</v>
      </c>
    </row>
    <row r="2227" spans="1:9" x14ac:dyDescent="0.4">
      <c r="A2227" t="str">
        <f>"倉敷市立玉島高等学校学校案内"</f>
        <v>倉敷市立玉島高等学校学校案内</v>
      </c>
      <c r="B2227" s="1" t="str">
        <f t="shared" si="126"/>
        <v>倉敷市立玉島高等学校学校案内</v>
      </c>
      <c r="C2227" t="str">
        <f>"クラシキシリツ　タマシマ　コウトウ　ガッコウ　ガッコウ　アンナイ"</f>
        <v>クラシキシリツ　タマシマ　コウトウ　ガッコウ　ガッコウ　アンナイ</v>
      </c>
      <c r="D2227" t="str">
        <f>"倉敷市立玉島高等学校"</f>
        <v>倉敷市立玉島高等学校</v>
      </c>
      <c r="E2227" t="str">
        <f>"クラシキシリツタマシマコウトウガッコウ"</f>
        <v>クラシキシリツタマシマコウトウガッコウ</v>
      </c>
      <c r="F2227" t="str">
        <f t="shared" si="129"/>
        <v>倉敷</v>
      </c>
      <c r="G2227" t="str">
        <f>"年刊"</f>
        <v>年刊</v>
      </c>
      <c r="H2227" t="str">
        <f>"2002222301268"</f>
        <v>2002222301268</v>
      </c>
      <c r="I2227" t="str">
        <f>HYPERLINK("#", "https://opac.libnet.pref.okayama.jp/licsxp-opac/WOpacMsgNewListToTifTilDetailAction.do?tilcod=2002222301268")</f>
        <v>https://opac.libnet.pref.okayama.jp/licsxp-opac/WOpacMsgNewListToTifTilDetailAction.do?tilcod=2002222301268</v>
      </c>
    </row>
    <row r="2228" spans="1:9" x14ac:dyDescent="0.4">
      <c r="A2228" t="str">
        <f>"倉敷市立玉島高等学校学校要覧"</f>
        <v>倉敷市立玉島高等学校学校要覧</v>
      </c>
      <c r="B2228" s="1" t="str">
        <f t="shared" si="126"/>
        <v>倉敷市立玉島高等学校学校要覧</v>
      </c>
      <c r="C2228" t="str">
        <f>"クラシキシリツ　タマシマ　コウトウ　ガッコウ　ガッコウ　ヨウラン"</f>
        <v>クラシキシリツ　タマシマ　コウトウ　ガッコウ　ガッコウ　ヨウラン</v>
      </c>
      <c r="D2228" t="str">
        <f>"倉敷市立玉島高等学校"</f>
        <v>倉敷市立玉島高等学校</v>
      </c>
      <c r="E2228" t="str">
        <f>"クラシキシリツタマシマコウトウガッコウ"</f>
        <v>クラシキシリツタマシマコウトウガッコウ</v>
      </c>
      <c r="F2228" t="str">
        <f t="shared" si="129"/>
        <v>倉敷</v>
      </c>
      <c r="G2228" t="str">
        <f>"年刊"</f>
        <v>年刊</v>
      </c>
      <c r="H2228" t="str">
        <f>"2002222300561"</f>
        <v>2002222300561</v>
      </c>
      <c r="I2228" t="str">
        <f>HYPERLINK("#", "https://opac.libnet.pref.okayama.jp/licsxp-opac/WOpacMsgNewListToTifTilDetailAction.do?tilcod=2002222300561")</f>
        <v>https://opac.libnet.pref.okayama.jp/licsxp-opac/WOpacMsgNewListToTifTilDetailAction.do?tilcod=2002222300561</v>
      </c>
    </row>
    <row r="2229" spans="1:9" x14ac:dyDescent="0.4">
      <c r="A2229" t="str">
        <f>"倉敷市立玉島西中学校学校要覧"</f>
        <v>倉敷市立玉島西中学校学校要覧</v>
      </c>
      <c r="B2229" s="1" t="str">
        <f t="shared" si="126"/>
        <v>倉敷市立玉島西中学校学校要覧</v>
      </c>
      <c r="C2229" t="str">
        <f>"クラシキシリツ　タマシマ　ニシ　チュウガッコウ　ヨウラン"</f>
        <v>クラシキシリツ　タマシマ　ニシ　チュウガッコウ　ヨウラン</v>
      </c>
      <c r="D2229" t="str">
        <f>"倉敷市立玉島西中学校学校"</f>
        <v>倉敷市立玉島西中学校学校</v>
      </c>
      <c r="E2229" t="str">
        <f>"クラシキシリツタマシマニシチュウガッコウ"</f>
        <v>クラシキシリツタマシマニシチュウガッコウ</v>
      </c>
      <c r="F2229" t="str">
        <f t="shared" si="129"/>
        <v>倉敷</v>
      </c>
      <c r="G2229" t="str">
        <f>"年刊"</f>
        <v>年刊</v>
      </c>
      <c r="H2229" t="str">
        <f>"2002222302469"</f>
        <v>2002222302469</v>
      </c>
      <c r="I2229" t="str">
        <f>HYPERLINK("#", "https://opac.libnet.pref.okayama.jp/licsxp-opac/WOpacMsgNewListToTifTilDetailAction.do?tilcod=2002222302469")</f>
        <v>https://opac.libnet.pref.okayama.jp/licsxp-opac/WOpacMsgNewListToTifTilDetailAction.do?tilcod=2002222302469</v>
      </c>
    </row>
    <row r="2230" spans="1:9" x14ac:dyDescent="0.4">
      <c r="A2230" t="str">
        <f>"倉敷市立短期大学研究紀要"</f>
        <v>倉敷市立短期大学研究紀要</v>
      </c>
      <c r="B2230" s="1" t="str">
        <f t="shared" si="126"/>
        <v>倉敷市立短期大学研究紀要</v>
      </c>
      <c r="C2230" t="str">
        <f>"クラシキシリツ　タンキ　ダイガク　ケンキュウ　キヨウ"</f>
        <v>クラシキシリツ　タンキ　ダイガク　ケンキュウ　キヨウ</v>
      </c>
      <c r="D2230" t="str">
        <f>"倉敷市立短期大学"</f>
        <v>倉敷市立短期大学</v>
      </c>
      <c r="E2230" t="str">
        <f>"クラシキシリツ タンキ ダイガク"</f>
        <v>クラシキシリツ タンキ ダイガク</v>
      </c>
      <c r="F2230" t="str">
        <f t="shared" si="129"/>
        <v>倉敷</v>
      </c>
      <c r="G2230" t="str">
        <f>"年刊"</f>
        <v>年刊</v>
      </c>
      <c r="H2230" t="str">
        <f>"2002222294481"</f>
        <v>2002222294481</v>
      </c>
      <c r="I2230" t="str">
        <f>HYPERLINK("#", "https://opac.libnet.pref.okayama.jp/licsxp-opac/WOpacMsgNewListToTifTilDetailAction.do?tilcod=2002222294481")</f>
        <v>https://opac.libnet.pref.okayama.jp/licsxp-opac/WOpacMsgNewListToTifTilDetailAction.do?tilcod=2002222294481</v>
      </c>
    </row>
    <row r="2231" spans="1:9" x14ac:dyDescent="0.4">
      <c r="A2231" t="str">
        <f>"[倉敷市立茶屋町中学校]研究集録"</f>
        <v>[倉敷市立茶屋町中学校]研究集録</v>
      </c>
      <c r="B2231" s="1" t="str">
        <f t="shared" si="126"/>
        <v>[倉敷市立茶屋町中学校]研究集録</v>
      </c>
      <c r="C2231" t="str">
        <f>"クラシキシリツ チャヤマチ チュウガッコウ＊ケンキュウ シュウロク"</f>
        <v>クラシキシリツ チャヤマチ チュウガッコウ＊ケンキュウ シュウロク</v>
      </c>
      <c r="D2231" t="str">
        <f>"倉敷市立茶屋町中学校"</f>
        <v>倉敷市立茶屋町中学校</v>
      </c>
      <c r="E2231" t="str">
        <f>"クラシキシリツチャヤマチチュウガッコウ"</f>
        <v>クラシキシリツチャヤマチチュウガッコウ</v>
      </c>
      <c r="F2231" t="str">
        <f t="shared" si="129"/>
        <v>倉敷</v>
      </c>
      <c r="G2231" t="str">
        <f>"頻度不明"</f>
        <v>頻度不明</v>
      </c>
      <c r="H2231" t="str">
        <f>"2002222289613"</f>
        <v>2002222289613</v>
      </c>
      <c r="I2231" t="str">
        <f>HYPERLINK("#", "https://opac.libnet.pref.okayama.jp/licsxp-opac/WOpacMsgNewListToTifTilDetailAction.do?tilcod=2002222289613")</f>
        <v>https://opac.libnet.pref.okayama.jp/licsxp-opac/WOpacMsgNewListToTifTilDetailAction.do?tilcod=2002222289613</v>
      </c>
    </row>
    <row r="2232" spans="1:9" x14ac:dyDescent="0.4">
      <c r="A2232" t="str">
        <f>"[倉敷市立中洲小学校]学校通信"</f>
        <v>[倉敷市立中洲小学校]学校通信</v>
      </c>
      <c r="B2232" s="1" t="str">
        <f t="shared" si="126"/>
        <v>[倉敷市立中洲小学校]学校通信</v>
      </c>
      <c r="C2232" t="str">
        <f>"クラシキシリツ ナカス ショウガッコウ ガッコウ ツウシン"</f>
        <v>クラシキシリツ ナカス ショウガッコウ ガッコウ ツウシン</v>
      </c>
      <c r="D2232" t="str">
        <f>"倉敷市立中洲小学校"</f>
        <v>倉敷市立中洲小学校</v>
      </c>
      <c r="E2232" t="str">
        <f>"クラシキシリツ ナカス ショウガッコウ"</f>
        <v>クラシキシリツ ナカス ショウガッコウ</v>
      </c>
      <c r="F2232" t="str">
        <f t="shared" si="129"/>
        <v>倉敷</v>
      </c>
      <c r="G2232" t="str">
        <f>"月刊"</f>
        <v>月刊</v>
      </c>
      <c r="H2232" t="str">
        <f>"2002222327807"</f>
        <v>2002222327807</v>
      </c>
      <c r="I2232" t="str">
        <f>HYPERLINK("#", "https://opac.libnet.pref.okayama.jp/licsxp-opac/WOpacMsgNewListToTifTilDetailAction.do?tilcod=2002222327807")</f>
        <v>https://opac.libnet.pref.okayama.jp/licsxp-opac/WOpacMsgNewListToTifTilDetailAction.do?tilcod=2002222327807</v>
      </c>
    </row>
    <row r="2233" spans="1:9" x14ac:dyDescent="0.4">
      <c r="A2233" t="str">
        <f>"[倉敷市立]中洲小学校 父母と教師の会々誌"</f>
        <v>[倉敷市立]中洲小学校 父母と教師の会々誌</v>
      </c>
      <c r="B2233" s="1" t="str">
        <f t="shared" si="126"/>
        <v>[倉敷市立]中洲小学校 父母と教師の会々誌</v>
      </c>
      <c r="C2233" t="str">
        <f>"クラシキシリツ ナカス ショウガッコウ フボ ト キョウシ ノ カイ カイシ"</f>
        <v>クラシキシリツ ナカス ショウガッコウ フボ ト キョウシ ノ カイ カイシ</v>
      </c>
      <c r="D2233" t="str">
        <f>"倉敷市立中洲小学校PTA"</f>
        <v>倉敷市立中洲小学校PTA</v>
      </c>
      <c r="E2233" t="str">
        <f>"クラシキシリツ ナカス ショウガッコウ ピーティーエー"</f>
        <v>クラシキシリツ ナカス ショウガッコウ ピーティーエー</v>
      </c>
      <c r="F2233" t="str">
        <f t="shared" si="129"/>
        <v>倉敷</v>
      </c>
      <c r="G2233" t="str">
        <f>"頻度不明"</f>
        <v>頻度不明</v>
      </c>
      <c r="H2233" t="str">
        <f>"2002222327808"</f>
        <v>2002222327808</v>
      </c>
      <c r="I2233" t="str">
        <f>HYPERLINK("#", "https://opac.libnet.pref.okayama.jp/licsxp-opac/WOpacMsgNewListToTifTilDetailAction.do?tilcod=2002222327808")</f>
        <v>https://opac.libnet.pref.okayama.jp/licsxp-opac/WOpacMsgNewListToTifTilDetailAction.do?tilcod=2002222327808</v>
      </c>
    </row>
    <row r="2234" spans="1:9" x14ac:dyDescent="0.4">
      <c r="A2234" t="str">
        <f>"[倉敷市立南海高等学校]学校要覧"</f>
        <v>[倉敷市立南海高等学校]学校要覧</v>
      </c>
      <c r="B2234" s="1" t="str">
        <f t="shared" si="126"/>
        <v>[倉敷市立南海高等学校]学校要覧</v>
      </c>
      <c r="C2234" t="str">
        <f>"クラシキシリツ ナンカイ　コウトウ　ガッコウ　ガッコウ　ヨウラン"</f>
        <v>クラシキシリツ ナンカイ　コウトウ　ガッコウ　ガッコウ　ヨウラン</v>
      </c>
      <c r="D2234" t="str">
        <f>"倉敷市立南海高等学校"</f>
        <v>倉敷市立南海高等学校</v>
      </c>
      <c r="E2234" t="str">
        <f>"クラシキシリツ ナンカイ コウトウ ガッコウ"</f>
        <v>クラシキシリツ ナンカイ コウトウ ガッコウ</v>
      </c>
      <c r="F2234" t="str">
        <f t="shared" si="129"/>
        <v>倉敷</v>
      </c>
      <c r="G2234" t="str">
        <f>"年刊"</f>
        <v>年刊</v>
      </c>
      <c r="H2234" t="str">
        <f>"2002222332832"</f>
        <v>2002222332832</v>
      </c>
      <c r="I2234" t="str">
        <f>HYPERLINK("#", "https://opac.libnet.pref.okayama.jp/licsxp-opac/WOpacMsgNewListToTifTilDetailAction.do?tilcod=2002222332832")</f>
        <v>https://opac.libnet.pref.okayama.jp/licsxp-opac/WOpacMsgNewListToTifTilDetailAction.do?tilcod=2002222332832</v>
      </c>
    </row>
    <row r="2235" spans="1:9" x14ac:dyDescent="0.4">
      <c r="A2235" t="str">
        <f>"[倉敷市立西中学校同窓会]会誌"</f>
        <v>[倉敷市立西中学校同窓会]会誌</v>
      </c>
      <c r="B2235" s="1" t="str">
        <f t="shared" si="126"/>
        <v>[倉敷市立西中学校同窓会]会誌</v>
      </c>
      <c r="C2235" t="str">
        <f>"クラシキシリツ ニシ チュウガッコウ ドウソウカイ＊カイシ"</f>
        <v>クラシキシリツ ニシ チュウガッコウ ドウソウカイ＊カイシ</v>
      </c>
      <c r="D2235" t="str">
        <f>"倉敷市立西中学校同窓会"</f>
        <v>倉敷市立西中学校同窓会</v>
      </c>
      <c r="E2235" t="str">
        <f>"クラシキシリツ ニシ チュウガッコウ ドウソウカイ"</f>
        <v>クラシキシリツ ニシ チュウガッコウ ドウソウカイ</v>
      </c>
      <c r="F2235" t="str">
        <f t="shared" si="129"/>
        <v>倉敷</v>
      </c>
      <c r="G2235" t="str">
        <f>"頻度不明"</f>
        <v>頻度不明</v>
      </c>
      <c r="H2235" t="str">
        <f>"2002222320486"</f>
        <v>2002222320486</v>
      </c>
      <c r="I2235" t="str">
        <f>HYPERLINK("#", "https://opac.libnet.pref.okayama.jp/licsxp-opac/WOpacMsgNewListToTifTilDetailAction.do?tilcod=2002222320486")</f>
        <v>https://opac.libnet.pref.okayama.jp/licsxp-opac/WOpacMsgNewListToTifTilDetailAction.do?tilcod=2002222320486</v>
      </c>
    </row>
    <row r="2236" spans="1:9" x14ac:dyDescent="0.4">
      <c r="A2236" t="str">
        <f>"〔倉敷市立西中学校〕研究紀要"</f>
        <v>〔倉敷市立西中学校〕研究紀要</v>
      </c>
      <c r="B2236" s="1" t="str">
        <f t="shared" si="126"/>
        <v>〔倉敷市立西中学校〕研究紀要</v>
      </c>
      <c r="C2236" t="str">
        <f>"クラシキシリツ　ニシ　チュウガッコウ＊ケンキュウ　キヨウ"</f>
        <v>クラシキシリツ　ニシ　チュウガッコウ＊ケンキュウ　キヨウ</v>
      </c>
      <c r="D2236" t="str">
        <f>"倉敷市立西中学校"</f>
        <v>倉敷市立西中学校</v>
      </c>
      <c r="E2236" t="str">
        <f>"クラシキシリツ ニシ チュウガッコウ"</f>
        <v>クラシキシリツ ニシ チュウガッコウ</v>
      </c>
      <c r="F2236" t="str">
        <f t="shared" si="129"/>
        <v>倉敷</v>
      </c>
      <c r="G2236" t="str">
        <f>"頻度不明"</f>
        <v>頻度不明</v>
      </c>
      <c r="H2236" t="str">
        <f>"2002222289623"</f>
        <v>2002222289623</v>
      </c>
      <c r="I2236" t="str">
        <f>HYPERLINK("#", "https://opac.libnet.pref.okayama.jp/licsxp-opac/WOpacMsgNewListToTifTilDetailAction.do?tilcod=2002222289623")</f>
        <v>https://opac.libnet.pref.okayama.jp/licsxp-opac/WOpacMsgNewListToTifTilDetailAction.do?tilcod=2002222289623</v>
      </c>
    </row>
    <row r="2237" spans="1:9" x14ac:dyDescent="0.4">
      <c r="A2237" t="str">
        <f>"〔倉敷市立万寿小学校〕研究集録"</f>
        <v>〔倉敷市立万寿小学校〕研究集録</v>
      </c>
      <c r="B2237" s="1" t="str">
        <f t="shared" si="126"/>
        <v>〔倉敷市立万寿小学校〕研究集録</v>
      </c>
      <c r="C2237" t="str">
        <f>"クラシキシリツ　マス　ショウガッコウ＊ケンキュウ　シュウロク"</f>
        <v>クラシキシリツ　マス　ショウガッコウ＊ケンキュウ　シュウロク</v>
      </c>
      <c r="D2237" t="str">
        <f>"倉敷市立万寿小学校"</f>
        <v>倉敷市立万寿小学校</v>
      </c>
      <c r="E2237" t="str">
        <f>"クラシキシリツ マス ショウガッコウ"</f>
        <v>クラシキシリツ マス ショウガッコウ</v>
      </c>
      <c r="F2237" t="str">
        <f t="shared" si="129"/>
        <v>倉敷</v>
      </c>
      <c r="G2237" t="str">
        <f>"頻度不明"</f>
        <v>頻度不明</v>
      </c>
      <c r="H2237" t="str">
        <f>"2002222289633"</f>
        <v>2002222289633</v>
      </c>
      <c r="I2237" t="str">
        <f>HYPERLINK("#", "https://opac.libnet.pref.okayama.jp/licsxp-opac/WOpacMsgNewListToTifTilDetailAction.do?tilcod=2002222289633")</f>
        <v>https://opac.libnet.pref.okayama.jp/licsxp-opac/WOpacMsgNewListToTifTilDetailAction.do?tilcod=2002222289633</v>
      </c>
    </row>
    <row r="2238" spans="1:9" x14ac:dyDescent="0.4">
      <c r="A2238" t="str">
        <f>"倉敷南高だより"</f>
        <v>倉敷南高だより</v>
      </c>
      <c r="B2238" s="1" t="str">
        <f t="shared" si="126"/>
        <v>倉敷南高だより</v>
      </c>
      <c r="C2238" t="str">
        <f>"クラシキミナミコウ　ダヨリ"</f>
        <v>クラシキミナミコウ　ダヨリ</v>
      </c>
      <c r="D2238" t="str">
        <f>"倉敷南高等学校"</f>
        <v>倉敷南高等学校</v>
      </c>
      <c r="E2238" t="str">
        <f>"クラシキ ミナミ コウトウ ガッコウ"</f>
        <v>クラシキ ミナミ コウトウ ガッコウ</v>
      </c>
      <c r="F2238" t="str">
        <f t="shared" si="129"/>
        <v>倉敷</v>
      </c>
      <c r="G2238" t="str">
        <f>"頻度不明"</f>
        <v>頻度不明</v>
      </c>
      <c r="H2238" t="str">
        <f>"2002222287793"</f>
        <v>2002222287793</v>
      </c>
      <c r="I2238" t="str">
        <f>HYPERLINK("#", "https://opac.libnet.pref.okayama.jp/licsxp-opac/WOpacMsgNewListToTifTilDetailAction.do?tilcod=2002222287793")</f>
        <v>https://opac.libnet.pref.okayama.jp/licsxp-opac/WOpacMsgNewListToTifTilDetailAction.do?tilcod=2002222287793</v>
      </c>
    </row>
    <row r="2239" spans="1:9" x14ac:dyDescent="0.4">
      <c r="A2239" t="str">
        <f>"倉商図書館報"</f>
        <v>倉商図書館報</v>
      </c>
      <c r="B2239" s="1" t="str">
        <f t="shared" si="126"/>
        <v>倉商図書館報</v>
      </c>
      <c r="C2239" t="str">
        <f>"クラショウ トショカンポウ"</f>
        <v>クラショウ トショカンポウ</v>
      </c>
      <c r="D2239" t="str">
        <f>"倉敷商業高等学校"</f>
        <v>倉敷商業高等学校</v>
      </c>
      <c r="E2239" t="str">
        <f>"クラシキ ショウギョウ コウトウ ガッコウ"</f>
        <v>クラシキ ショウギョウ コウトウ ガッコウ</v>
      </c>
      <c r="F2239" t="str">
        <f t="shared" si="129"/>
        <v>倉敷</v>
      </c>
      <c r="G2239" t="str">
        <f>"年２回刊"</f>
        <v>年２回刊</v>
      </c>
      <c r="H2239" t="str">
        <f>"2002222284731"</f>
        <v>2002222284731</v>
      </c>
      <c r="I2239" t="str">
        <f>HYPERLINK("#", "https://opac.libnet.pref.okayama.jp/licsxp-opac/WOpacMsgNewListToTifTilDetailAction.do?tilcod=2002222284731")</f>
        <v>https://opac.libnet.pref.okayama.jp/licsxp-opac/WOpacMsgNewListToTifTilDetailAction.do?tilcod=2002222284731</v>
      </c>
    </row>
    <row r="2240" spans="1:9" x14ac:dyDescent="0.4">
      <c r="A2240" t="str">
        <f>"Ｃｌａｓｓ；暮ラス"</f>
        <v>Ｃｌａｓｓ；暮ラス</v>
      </c>
      <c r="B2240" s="1" t="str">
        <f t="shared" si="126"/>
        <v>Ｃｌａｓｓ；暮ラス</v>
      </c>
      <c r="C2240" t="str">
        <f>"クラス"</f>
        <v>クラス</v>
      </c>
      <c r="D2240" t="str">
        <f>"倉敷ビジネスセンター"</f>
        <v>倉敷ビジネスセンター</v>
      </c>
      <c r="E2240" t="str">
        <f>"クラシキビジネスセンター"</f>
        <v>クラシキビジネスセンター</v>
      </c>
      <c r="F2240" t="str">
        <f t="shared" si="129"/>
        <v>倉敷</v>
      </c>
      <c r="G2240" t="str">
        <f>"月刊"</f>
        <v>月刊</v>
      </c>
      <c r="H2240" t="str">
        <f>"2002222302423"</f>
        <v>2002222302423</v>
      </c>
      <c r="I2240" t="str">
        <f>HYPERLINK("#", "https://opac.libnet.pref.okayama.jp/licsxp-opac/WOpacMsgNewListToTifTilDetailAction.do?tilcod=2002222302423")</f>
        <v>https://opac.libnet.pref.okayama.jp/licsxp-opac/WOpacMsgNewListToTifTilDetailAction.do?tilcod=2002222302423</v>
      </c>
    </row>
    <row r="2241" spans="1:9" x14ac:dyDescent="0.4">
      <c r="A2241" t="str">
        <f>"Classs；クラス"</f>
        <v>Classs；クラス</v>
      </c>
      <c r="B2241" s="1" t="str">
        <f t="shared" si="126"/>
        <v>Classs；クラス</v>
      </c>
      <c r="C2241" t="str">
        <f>"クラス"</f>
        <v>クラス</v>
      </c>
      <c r="D2241" t="str">
        <f>"クラビズ"</f>
        <v>クラビズ</v>
      </c>
      <c r="E2241" t="str">
        <f>"クラビズ"</f>
        <v>クラビズ</v>
      </c>
      <c r="F2241" t="str">
        <f t="shared" si="129"/>
        <v>倉敷</v>
      </c>
      <c r="G2241" t="str">
        <f>"月刊"</f>
        <v>月刊</v>
      </c>
      <c r="H2241" t="str">
        <f>"2002222320566"</f>
        <v>2002222320566</v>
      </c>
      <c r="I2241" t="str">
        <f>HYPERLINK("#", "https://opac.libnet.pref.okayama.jp/licsxp-opac/WOpacMsgNewListToTifTilDetailAction.do?tilcod=2002222320566")</f>
        <v>https://opac.libnet.pref.okayama.jp/licsxp-opac/WOpacMsgNewListToTifTilDetailAction.do?tilcod=2002222320566</v>
      </c>
    </row>
    <row r="2242" spans="1:9" x14ac:dyDescent="0.4">
      <c r="A2242" t="str">
        <f>"倉税会報"</f>
        <v>倉税会報</v>
      </c>
      <c r="B2242" s="1" t="str">
        <f t="shared" si="126"/>
        <v>倉税会報</v>
      </c>
      <c r="C2242" t="str">
        <f>"クラゼイ カイホウ"</f>
        <v>クラゼイ カイホウ</v>
      </c>
      <c r="D2242" t="str">
        <f>"中国税理士会倉敷支部"</f>
        <v>中国税理士会倉敷支部</v>
      </c>
      <c r="E2242" t="str">
        <f>"チュウゴク ゼイリシカイ クラシキシブ"</f>
        <v>チュウゴク ゼイリシカイ クラシキシブ</v>
      </c>
      <c r="F2242" t="str">
        <f t="shared" si="129"/>
        <v>倉敷</v>
      </c>
      <c r="G2242" t="str">
        <f>"頻度不明"</f>
        <v>頻度不明</v>
      </c>
      <c r="H2242" t="str">
        <f>"2002222342277"</f>
        <v>2002222342277</v>
      </c>
      <c r="I2242" t="str">
        <f>HYPERLINK("#", "https://opac.libnet.pref.okayama.jp/licsxp-opac/WOpacMsgNewListToTifTilDetailAction.do?tilcod=2002222342277")</f>
        <v>https://opac.libnet.pref.okayama.jp/licsxp-opac/WOpacMsgNewListToTifTilDetailAction.do?tilcod=2002222342277</v>
      </c>
    </row>
    <row r="2243" spans="1:9" x14ac:dyDescent="0.4">
      <c r="A2243" t="str">
        <f>"Krash japan(クラッシュジャパン)"</f>
        <v>Krash japan(クラッシュジャパン)</v>
      </c>
      <c r="B2243" s="1" t="str">
        <f t="shared" si="126"/>
        <v>Krash japan(クラッシュジャパン)</v>
      </c>
      <c r="C2243" t="str">
        <f>"クラッシュ ジャパン"</f>
        <v>クラッシュ ジャパン</v>
      </c>
      <c r="D2243" t="str">
        <f>"asian beehive,inc"</f>
        <v>asian beehive,inc</v>
      </c>
      <c r="E2243" t="str">
        <f>"アジアン ビヘイブ インク"</f>
        <v>アジアン ビヘイブ インク</v>
      </c>
      <c r="F2243" t="str">
        <f t="shared" si="129"/>
        <v>倉敷</v>
      </c>
      <c r="G2243" t="str">
        <f>"年２回刊"</f>
        <v>年２回刊</v>
      </c>
      <c r="H2243" t="str">
        <f>"2002222300747"</f>
        <v>2002222300747</v>
      </c>
      <c r="I2243" t="str">
        <f>HYPERLINK("#", "https://opac.libnet.pref.okayama.jp/licsxp-opac/WOpacMsgNewListToTifTilDetailAction.do?tilcod=2002222300747")</f>
        <v>https://opac.libnet.pref.okayama.jp/licsxp-opac/WOpacMsgNewListToTifTilDetailAction.do?tilcod=2002222300747</v>
      </c>
    </row>
    <row r="2244" spans="1:9" x14ac:dyDescent="0.4">
      <c r="A2244" t="str">
        <f>"グラフおかやま"</f>
        <v>グラフおかやま</v>
      </c>
      <c r="B2244" s="1" t="str">
        <f t="shared" ref="B2244:B2307" si="130">HYPERLINK("#", A2244)</f>
        <v>グラフおかやま</v>
      </c>
      <c r="C2244" t="str">
        <f>"グラフ　オカヤマ"</f>
        <v>グラフ　オカヤマ</v>
      </c>
      <c r="D2244" t="str">
        <f>"岡山県広報協会"</f>
        <v>岡山県広報協会</v>
      </c>
      <c r="E2244" t="str">
        <f>"オカヤマケン コウホウ キョウカイ"</f>
        <v>オカヤマケン コウホウ キョウカイ</v>
      </c>
      <c r="F2244" t="str">
        <f>"岡山"</f>
        <v>岡山</v>
      </c>
      <c r="G2244" t="str">
        <f>"月刊"</f>
        <v>月刊</v>
      </c>
      <c r="H2244" t="str">
        <f>"2002222291331"</f>
        <v>2002222291331</v>
      </c>
      <c r="I2244" t="str">
        <f>HYPERLINK("#", "https://opac.libnet.pref.okayama.jp/licsxp-opac/WOpacMsgNewListToTifTilDetailAction.do?tilcod=2002222291331")</f>
        <v>https://opac.libnet.pref.okayama.jp/licsxp-opac/WOpacMsgNewListToTifTilDetailAction.do?tilcod=2002222291331</v>
      </c>
    </row>
    <row r="2245" spans="1:9" x14ac:dyDescent="0.4">
      <c r="A2245" t="str">
        <f>"グラフ財政中央"</f>
        <v>グラフ財政中央</v>
      </c>
      <c r="B2245" s="1" t="str">
        <f t="shared" si="130"/>
        <v>グラフ財政中央</v>
      </c>
      <c r="C2245" t="str">
        <f>"グラフ　ザイセイ　チュウオウ"</f>
        <v>グラフ　ザイセイ　チュウオウ</v>
      </c>
      <c r="D2245" t="str">
        <f>"中央町"</f>
        <v>中央町</v>
      </c>
      <c r="E2245" t="str">
        <f>"チュウオウチョウ"</f>
        <v>チュウオウチョウ</v>
      </c>
      <c r="F2245" t="str">
        <f>"中央町（久米郡）"</f>
        <v>中央町（久米郡）</v>
      </c>
      <c r="G2245" t="str">
        <f>"年２回刊"</f>
        <v>年２回刊</v>
      </c>
      <c r="H2245" t="str">
        <f>"2002222281371"</f>
        <v>2002222281371</v>
      </c>
      <c r="I2245" t="str">
        <f>HYPERLINK("#", "https://opac.libnet.pref.okayama.jp/licsxp-opac/WOpacMsgNewListToTifTilDetailAction.do?tilcod=2002222281371")</f>
        <v>https://opac.libnet.pref.okayama.jp/licsxp-opac/WOpacMsgNewListToTifTilDetailAction.do?tilcod=2002222281371</v>
      </c>
    </row>
    <row r="2246" spans="1:9" x14ac:dyDescent="0.4">
      <c r="A2246" t="str">
        <f>"ＣＬＵＢ　ＧＪ"</f>
        <v>ＣＬＵＢ　ＧＪ</v>
      </c>
      <c r="B2246" s="1" t="str">
        <f t="shared" si="130"/>
        <v>ＣＬＵＢ　ＧＪ</v>
      </c>
      <c r="C2246" t="str">
        <f>"クラブ ジージェイ"</f>
        <v>クラブ ジージェイ</v>
      </c>
      <c r="D2246" t="str">
        <f>"アイエスピー出版"</f>
        <v>アイエスピー出版</v>
      </c>
      <c r="E2246" t="str">
        <f>"アイエスピーシュッパン"</f>
        <v>アイエスピーシュッパン</v>
      </c>
      <c r="F2246" t="str">
        <f>"岡山"</f>
        <v>岡山</v>
      </c>
      <c r="G2246" t="str">
        <f>"季刊"</f>
        <v>季刊</v>
      </c>
      <c r="H2246" t="str">
        <f>"2002222314426"</f>
        <v>2002222314426</v>
      </c>
      <c r="I2246" t="str">
        <f>HYPERLINK("#", "https://opac.libnet.pref.okayama.jp/licsxp-opac/WOpacMsgNewListToTifTilDetailAction.do?tilcod=2002222314426")</f>
        <v>https://opac.libnet.pref.okayama.jp/licsxp-opac/WOpacMsgNewListToTifTilDetailAction.do?tilcod=2002222314426</v>
      </c>
    </row>
    <row r="2247" spans="1:9" x14ac:dyDescent="0.4">
      <c r="A2247" t="str">
        <f>"グラフせとらんど"</f>
        <v>グラフせとらんど</v>
      </c>
      <c r="B2247" s="1" t="str">
        <f t="shared" si="130"/>
        <v>グラフせとらんど</v>
      </c>
      <c r="C2247" t="str">
        <f>"グラフ　セトランド"</f>
        <v>グラフ　セトランド</v>
      </c>
      <c r="D2247" t="str">
        <f>"山陽放送"</f>
        <v>山陽放送</v>
      </c>
      <c r="E2247" t="str">
        <f>"サンヨウホウソウ"</f>
        <v>サンヨウホウソウ</v>
      </c>
      <c r="F2247" t="str">
        <f>""</f>
        <v/>
      </c>
      <c r="G2247" t="str">
        <f>"季刊"</f>
        <v>季刊</v>
      </c>
      <c r="H2247" t="str">
        <f>"2002222280163"</f>
        <v>2002222280163</v>
      </c>
      <c r="I2247" t="str">
        <f>HYPERLINK("#", "https://opac.libnet.pref.okayama.jp/licsxp-opac/WOpacMsgNewListToTifTilDetailAction.do?tilcod=2002222280163")</f>
        <v>https://opac.libnet.pref.okayama.jp/licsxp-opac/WOpacMsgNewListToTifTilDetailAction.do?tilcod=2002222280163</v>
      </c>
    </row>
    <row r="2248" spans="1:9" x14ac:dyDescent="0.4">
      <c r="A2248" t="str">
        <f>"くらみせ"</f>
        <v>くらみせ</v>
      </c>
      <c r="B2248" s="1" t="str">
        <f t="shared" si="130"/>
        <v>くらみせ</v>
      </c>
      <c r="C2248" t="str">
        <f>"クラミセ"</f>
        <v>クラミセ</v>
      </c>
      <c r="D2248" t="str">
        <f>"リショウ"</f>
        <v>リショウ</v>
      </c>
      <c r="E2248" t="str">
        <f>"リショウ"</f>
        <v>リショウ</v>
      </c>
      <c r="F2248" t="str">
        <f>"倉敷"</f>
        <v>倉敷</v>
      </c>
      <c r="G2248" t="str">
        <f>"季刊"</f>
        <v>季刊</v>
      </c>
      <c r="H2248" t="str">
        <f>"2002222321889"</f>
        <v>2002222321889</v>
      </c>
      <c r="I2248" t="str">
        <f>HYPERLINK("#", "https://opac.libnet.pref.okayama.jp/licsxp-opac/WOpacMsgNewListToTifTilDetailAction.do?tilcod=2002222321889")</f>
        <v>https://opac.libnet.pref.okayama.jp/licsxp-opac/WOpacMsgNewListToTifTilDetailAction.do?tilcod=2002222321889</v>
      </c>
    </row>
    <row r="2249" spans="1:9" x14ac:dyDescent="0.4">
      <c r="A2249" t="str">
        <f>"クラレ時報"</f>
        <v>クラレ時報</v>
      </c>
      <c r="B2249" s="1" t="str">
        <f t="shared" si="130"/>
        <v>クラレ時報</v>
      </c>
      <c r="C2249" t="str">
        <f>"クラレ ジホウ"</f>
        <v>クラレ ジホウ</v>
      </c>
      <c r="D2249" t="str">
        <f>"クラレ"</f>
        <v>クラレ</v>
      </c>
      <c r="E2249" t="str">
        <f>"クラレ"</f>
        <v>クラレ</v>
      </c>
      <c r="F2249" t="str">
        <f>"大阪"</f>
        <v>大阪</v>
      </c>
      <c r="G2249" t="str">
        <f>"月刊"</f>
        <v>月刊</v>
      </c>
      <c r="H2249" t="str">
        <f>"2002222322466"</f>
        <v>2002222322466</v>
      </c>
      <c r="I2249" t="str">
        <f>HYPERLINK("#", "https://opac.libnet.pref.okayama.jp/licsxp-opac/WOpacMsgNewListToTifTilDetailAction.do?tilcod=2002222322466")</f>
        <v>https://opac.libnet.pref.okayama.jp/licsxp-opac/WOpacMsgNewListToTifTilDetailAction.do?tilcod=2002222322466</v>
      </c>
    </row>
    <row r="2250" spans="1:9" x14ac:dyDescent="0.4">
      <c r="A2250" t="str">
        <f>"倉レ新聞"</f>
        <v>倉レ新聞</v>
      </c>
      <c r="B2250" s="1" t="str">
        <f t="shared" si="130"/>
        <v>倉レ新聞</v>
      </c>
      <c r="C2250" t="str">
        <f>"クラレ シンブン"</f>
        <v>クラレ シンブン</v>
      </c>
      <c r="D2250" t="str">
        <f>"倉敷レイヨン労働組合"</f>
        <v>倉敷レイヨン労働組合</v>
      </c>
      <c r="E2250" t="str">
        <f>"クラシキ レイヨン ロウドウ クミアイ"</f>
        <v>クラシキ レイヨン ロウドウ クミアイ</v>
      </c>
      <c r="F2250" t="str">
        <f>"倉敷"</f>
        <v>倉敷</v>
      </c>
      <c r="G2250" t="str">
        <f>"頻度不明"</f>
        <v>頻度不明</v>
      </c>
      <c r="H2250" t="str">
        <f>"2002222330287"</f>
        <v>2002222330287</v>
      </c>
      <c r="I2250" t="str">
        <f>HYPERLINK("#", "https://opac.libnet.pref.okayama.jp/licsxp-opac/WOpacMsgNewListToTifTilDetailAction.do?tilcod=2002222330287")</f>
        <v>https://opac.libnet.pref.okayama.jp/licsxp-opac/WOpacMsgNewListToTifTilDetailAction.do?tilcod=2002222330287</v>
      </c>
    </row>
    <row r="2251" spans="1:9" x14ac:dyDescent="0.4">
      <c r="A2251" t="str">
        <f>"granvia press;ホテルグランヴィア岡山"</f>
        <v>granvia press;ホテルグランヴィア岡山</v>
      </c>
      <c r="B2251" s="1" t="str">
        <f t="shared" si="130"/>
        <v>granvia press;ホテルグランヴィア岡山</v>
      </c>
      <c r="C2251" t="str">
        <f>"グランビア プレス*ホテル  グランヴィア オカヤマ"</f>
        <v>グランビア プレス*ホテル  グランヴィア オカヤマ</v>
      </c>
      <c r="D2251" t="str">
        <f>"ホテルグランヴィア岡山"</f>
        <v>ホテルグランヴィア岡山</v>
      </c>
      <c r="E2251" t="str">
        <f>"ホテル グランヴィア オカヤマ"</f>
        <v>ホテル グランヴィア オカヤマ</v>
      </c>
      <c r="F2251" t="str">
        <f>"岡山"</f>
        <v>岡山</v>
      </c>
      <c r="G2251" t="str">
        <f>"隔月刊"</f>
        <v>隔月刊</v>
      </c>
      <c r="H2251" t="str">
        <f>"2002222310626"</f>
        <v>2002222310626</v>
      </c>
      <c r="I2251" t="str">
        <f>HYPERLINK("#", "https://opac.libnet.pref.okayama.jp/licsxp-opac/WOpacMsgNewListToTifTilDetailAction.do?tilcod=2002222310626")</f>
        <v>https://opac.libnet.pref.okayama.jp/licsxp-opac/WOpacMsgNewListToTifTilDetailAction.do?tilcod=2002222310626</v>
      </c>
    </row>
    <row r="2252" spans="1:9" x14ac:dyDescent="0.4">
      <c r="A2252" t="str">
        <f>"ＧＲＥＥＤ（グリード）；グリード"</f>
        <v>ＧＲＥＥＤ（グリード）；グリード</v>
      </c>
      <c r="B2252" s="1" t="str">
        <f t="shared" si="130"/>
        <v>ＧＲＥＥＤ（グリード）；グリード</v>
      </c>
      <c r="C2252" t="str">
        <f>"グリード＊グリード"</f>
        <v>グリード＊グリード</v>
      </c>
      <c r="D2252" t="str">
        <f>"リトロヴァーレウエストジャパン"</f>
        <v>リトロヴァーレウエストジャパン</v>
      </c>
      <c r="E2252" t="str">
        <f>"リトロヴァーレウエストジャパン"</f>
        <v>リトロヴァーレウエストジャパン</v>
      </c>
      <c r="F2252" t="str">
        <f>"岡山"</f>
        <v>岡山</v>
      </c>
      <c r="G2252" t="str">
        <f>"隔月刊"</f>
        <v>隔月刊</v>
      </c>
      <c r="H2252" t="str">
        <f>"2002222302111"</f>
        <v>2002222302111</v>
      </c>
      <c r="I2252" t="str">
        <f>HYPERLINK("#", "https://opac.libnet.pref.okayama.jp/licsxp-opac/WOpacMsgNewListToTifTilDetailAction.do?tilcod=2002222302111")</f>
        <v>https://opac.libnet.pref.okayama.jp/licsxp-opac/WOpacMsgNewListToTifTilDetailAction.do?tilcod=2002222302111</v>
      </c>
    </row>
    <row r="2253" spans="1:9" x14ac:dyDescent="0.4">
      <c r="A2253" t="str">
        <f>"くりーん岡山"</f>
        <v>くりーん岡山</v>
      </c>
      <c r="B2253" s="1" t="str">
        <f t="shared" si="130"/>
        <v>くりーん岡山</v>
      </c>
      <c r="C2253" t="str">
        <f>"クリーン　オカヤマ"</f>
        <v>クリーン　オカヤマ</v>
      </c>
      <c r="D2253" t="str">
        <f>"岡山県産業廃棄物協会"</f>
        <v>岡山県産業廃棄物協会</v>
      </c>
      <c r="E2253" t="str">
        <f>"オカヤマケン サンギョウ ハイキブツ キョウカイ"</f>
        <v>オカヤマケン サンギョウ ハイキブツ キョウカイ</v>
      </c>
      <c r="F2253" t="str">
        <f>"岡山"</f>
        <v>岡山</v>
      </c>
      <c r="G2253" t="str">
        <f>"頻度不明"</f>
        <v>頻度不明</v>
      </c>
      <c r="H2253" t="str">
        <f>"2002222301096"</f>
        <v>2002222301096</v>
      </c>
      <c r="I2253" t="str">
        <f>HYPERLINK("#", "https://opac.libnet.pref.okayama.jp/licsxp-opac/WOpacMsgNewListToTifTilDetailAction.do?tilcod=2002222301096")</f>
        <v>https://opac.libnet.pref.okayama.jp/licsxp-opac/WOpacMsgNewListToTifTilDetailAction.do?tilcod=2002222301096</v>
      </c>
    </row>
    <row r="2254" spans="1:9" x14ac:dyDescent="0.4">
      <c r="A2254" t="str">
        <f>"クリーンセンターだより"</f>
        <v>クリーンセンターだより</v>
      </c>
      <c r="B2254" s="1" t="str">
        <f t="shared" si="130"/>
        <v>クリーンセンターだより</v>
      </c>
      <c r="C2254" t="str">
        <f>"クリーン センター ダヨリ"</f>
        <v>クリーン センター ダヨリ</v>
      </c>
      <c r="D2254" t="str">
        <f>"津山圏域資源循環施設組合"</f>
        <v>津山圏域資源循環施設組合</v>
      </c>
      <c r="E2254" t="str">
        <f>"ツヤマ ケンイキ シゲン ジュンカン シセツ クミアイ"</f>
        <v>ツヤマ ケンイキ シゲン ジュンカン シセツ クミアイ</v>
      </c>
      <c r="F2254" t="str">
        <f>"津山"</f>
        <v>津山</v>
      </c>
      <c r="G2254" t="str">
        <f>"不定期刊"</f>
        <v>不定期刊</v>
      </c>
      <c r="H2254" t="str">
        <f>"2002222307809"</f>
        <v>2002222307809</v>
      </c>
      <c r="I2254" t="str">
        <f>HYPERLINK("#", "https://opac.libnet.pref.okayama.jp/licsxp-opac/WOpacMsgNewListToTifTilDetailAction.do?tilcod=2002222307809")</f>
        <v>https://opac.libnet.pref.okayama.jp/licsxp-opac/WOpacMsgNewListToTifTilDetailAction.do?tilcod=2002222307809</v>
      </c>
    </row>
    <row r="2255" spans="1:9" x14ac:dyDescent="0.4">
      <c r="A2255" t="str">
        <f>"ぐり?んねっと；岡山統計・情報センター広報誌"</f>
        <v>ぐり?んねっと；岡山統計・情報センター広報誌</v>
      </c>
      <c r="B2255" s="1" t="str">
        <f t="shared" si="130"/>
        <v>ぐり?んねっと；岡山統計・情報センター広報誌</v>
      </c>
      <c r="C2255" t="str">
        <f>"グリーン　ネット＊オカヤマ　トウケイ　ジョウホウ　センター　コウホウシ"</f>
        <v>グリーン　ネット＊オカヤマ　トウケイ　ジョウホウ　センター　コウホウシ</v>
      </c>
      <c r="D2255" t="str">
        <f>"岡山統計・情報センター"</f>
        <v>岡山統計・情報センター</v>
      </c>
      <c r="E2255" t="str">
        <f>"オカヤマトウケイジョウホウセンター"</f>
        <v>オカヤマトウケイジョウホウセンター</v>
      </c>
      <c r="F2255" t="str">
        <f>"岡山"</f>
        <v>岡山</v>
      </c>
      <c r="G2255" t="str">
        <f>"月刊"</f>
        <v>月刊</v>
      </c>
      <c r="H2255" t="str">
        <f>"2002222301432"</f>
        <v>2002222301432</v>
      </c>
      <c r="I2255" t="str">
        <f>HYPERLINK("#", "https://opac.libnet.pref.okayama.jp/licsxp-opac/WOpacMsgNewListToTifTilDetailAction.do?tilcod=2002222301432")</f>
        <v>https://opac.libnet.pref.okayama.jp/licsxp-opac/WOpacMsgNewListToTifTilDetailAction.do?tilcod=2002222301432</v>
      </c>
    </row>
    <row r="2256" spans="1:9" x14ac:dyDescent="0.4">
      <c r="A2256" t="str">
        <f>"GREEN ; ゴルフ×トキメク×フリーマガジン"</f>
        <v>GREEN ; ゴルフ×トキメク×フリーマガジン</v>
      </c>
      <c r="B2256" s="1" t="str">
        <f t="shared" si="130"/>
        <v>GREEN ; ゴルフ×トキメク×フリーマガジン</v>
      </c>
      <c r="C2256" t="str">
        <f>"グリーン＊ゴルフ トキメク フリー マガジン"</f>
        <v>グリーン＊ゴルフ トキメク フリー マガジン</v>
      </c>
      <c r="D2256" t="str">
        <f>"アイプリックス"</f>
        <v>アイプリックス</v>
      </c>
      <c r="E2256" t="str">
        <f>"アイプリックス"</f>
        <v>アイプリックス</v>
      </c>
      <c r="F2256" t="str">
        <f>"岡山"</f>
        <v>岡山</v>
      </c>
      <c r="G2256" t="str">
        <f>"季刊"</f>
        <v>季刊</v>
      </c>
      <c r="H2256" t="str">
        <f>"2002222334528"</f>
        <v>2002222334528</v>
      </c>
      <c r="I2256" t="str">
        <f>HYPERLINK("#", "https://opac.libnet.pref.okayama.jp/licsxp-opac/WOpacMsgNewListToTifTilDetailAction.do?tilcod=2002222334528")</f>
        <v>https://opac.libnet.pref.okayama.jp/licsxp-opac/WOpacMsgNewListToTifTilDetailAction.do?tilcod=2002222334528</v>
      </c>
    </row>
    <row r="2257" spans="1:9" x14ac:dyDescent="0.4">
      <c r="A2257" t="str">
        <f>"Cou Leur.岡山版(クルール岡山版) "</f>
        <v xml:space="preserve">Cou Leur.岡山版(クルール岡山版) </v>
      </c>
      <c r="B2257" s="1" t="str">
        <f t="shared" si="130"/>
        <v xml:space="preserve">Cou Leur.岡山版(クルール岡山版) </v>
      </c>
      <c r="C2257" t="str">
        <f>"クルール オカヤマバン"</f>
        <v>クルール オカヤマバン</v>
      </c>
      <c r="D2257" t="str">
        <f>"第一エージェンシー岡山支社クルール編集室"</f>
        <v>第一エージェンシー岡山支社クルール編集室</v>
      </c>
      <c r="E2257" t="str">
        <f>"ダイイチエージャンシー オカヤマシシャ クルール ヘンシュウシツ"</f>
        <v>ダイイチエージャンシー オカヤマシシャ クルール ヘンシュウシツ</v>
      </c>
      <c r="F2257" t="str">
        <f>"岡山"</f>
        <v>岡山</v>
      </c>
      <c r="G2257" t="str">
        <f>"隔月刊"</f>
        <v>隔月刊</v>
      </c>
      <c r="H2257" t="str">
        <f>"2002222308568"</f>
        <v>2002222308568</v>
      </c>
      <c r="I2257" t="str">
        <f>HYPERLINK("#", "https://opac.libnet.pref.okayama.jp/licsxp-opac/WOpacMsgNewListToTifTilDetailAction.do?tilcod=2002222308568")</f>
        <v>https://opac.libnet.pref.okayama.jp/licsxp-opac/WOpacMsgNewListToTifTilDetailAction.do?tilcod=2002222308568</v>
      </c>
    </row>
    <row r="2258" spans="1:9" x14ac:dyDescent="0.4">
      <c r="A2258" t="str">
        <f>"車"</f>
        <v>車</v>
      </c>
      <c r="B2258" s="1" t="str">
        <f t="shared" si="130"/>
        <v>車</v>
      </c>
      <c r="C2258" t="str">
        <f>"クルマ"</f>
        <v>クルマ</v>
      </c>
      <c r="D2258" t="str">
        <f>"車発行所"</f>
        <v>車発行所</v>
      </c>
      <c r="E2258" t="str">
        <f>"クルマハッコウショ"</f>
        <v>クルマハッコウショ</v>
      </c>
      <c r="F2258" t="str">
        <f>""</f>
        <v/>
      </c>
      <c r="G2258" t="str">
        <f>"頻度不明"</f>
        <v>頻度不明</v>
      </c>
      <c r="H2258" t="str">
        <f>"2002222280193"</f>
        <v>2002222280193</v>
      </c>
      <c r="I2258" t="str">
        <f>HYPERLINK("#", "https://opac.libnet.pref.okayama.jp/licsxp-opac/WOpacMsgNewListToTifTilDetailAction.do?tilcod=2002222280193")</f>
        <v>https://opac.libnet.pref.okayama.jp/licsxp-opac/WOpacMsgNewListToTifTilDetailAction.do?tilcod=2002222280193</v>
      </c>
    </row>
    <row r="2259" spans="1:9" x14ac:dyDescent="0.4">
      <c r="A2259" t="str">
        <f>"車いす友の会「ふれあい」"</f>
        <v>車いす友の会「ふれあい」</v>
      </c>
      <c r="B2259" s="1" t="str">
        <f t="shared" si="130"/>
        <v>車いす友の会「ふれあい」</v>
      </c>
      <c r="C2259" t="str">
        <f>"クルマイス　トモ　ノ　カイ　フレアイ"</f>
        <v>クルマイス　トモ　ノ　カイ　フレアイ</v>
      </c>
      <c r="D2259" t="str">
        <f>"倉敷市身体障害者福祉協会"</f>
        <v>倉敷市身体障害者福祉協会</v>
      </c>
      <c r="E2259" t="str">
        <f>"クラシキシシンタイショウガイシャフクシキョウカイ"</f>
        <v>クラシキシシンタイショウガイシャフクシキョウカイ</v>
      </c>
      <c r="F2259" t="str">
        <f>""</f>
        <v/>
      </c>
      <c r="G2259" t="str">
        <f>"頻度不明"</f>
        <v>頻度不明</v>
      </c>
      <c r="H2259" t="str">
        <f>"2002222280204"</f>
        <v>2002222280204</v>
      </c>
      <c r="I2259" t="str">
        <f>HYPERLINK("#", "https://opac.libnet.pref.okayama.jp/licsxp-opac/WOpacMsgNewListToTifTilDetailAction.do?tilcod=2002222280204")</f>
        <v>https://opac.libnet.pref.okayama.jp/licsxp-opac/WOpacMsgNewListToTifTilDetailAction.do?tilcod=2002222280204</v>
      </c>
    </row>
    <row r="2260" spans="1:9" x14ac:dyDescent="0.4">
      <c r="A2260" t="str">
        <f>"くるみ"</f>
        <v>くるみ</v>
      </c>
      <c r="B2260" s="1" t="str">
        <f t="shared" si="130"/>
        <v>くるみ</v>
      </c>
      <c r="C2260" t="str">
        <f>"クルミ"</f>
        <v>クルミ</v>
      </c>
      <c r="D2260" t="str">
        <f>"倉敷市立連島西浦小学校"</f>
        <v>倉敷市立連島西浦小学校</v>
      </c>
      <c r="E2260" t="str">
        <f>"クラシキシリツ ツラジマ ニシウラ ショウガッコウ"</f>
        <v>クラシキシリツ ツラジマ ニシウラ ショウガッコウ</v>
      </c>
      <c r="F2260" t="str">
        <f>"倉敷"</f>
        <v>倉敷</v>
      </c>
      <c r="G2260" t="str">
        <f>"年刊"</f>
        <v>年刊</v>
      </c>
      <c r="H2260" t="str">
        <f>"2002222280203"</f>
        <v>2002222280203</v>
      </c>
      <c r="I2260" t="str">
        <f>HYPERLINK("#", "https://opac.libnet.pref.okayama.jp/licsxp-opac/WOpacMsgNewListToTifTilDetailAction.do?tilcod=2002222280203")</f>
        <v>https://opac.libnet.pref.okayama.jp/licsxp-opac/WOpacMsgNewListToTifTilDetailAction.do?tilcod=2002222280203</v>
      </c>
    </row>
    <row r="2261" spans="1:9" x14ac:dyDescent="0.4">
      <c r="A2261" t="str">
        <f>"グルメクーポン　岡山市内版"</f>
        <v>グルメクーポン　岡山市内版</v>
      </c>
      <c r="B2261" s="1" t="str">
        <f t="shared" si="130"/>
        <v>グルメクーポン　岡山市内版</v>
      </c>
      <c r="C2261" t="str">
        <f>"グルメ　クーポン　オカヤマ　シナイバン"</f>
        <v>グルメ　クーポン　オカヤマ　シナイバン</v>
      </c>
      <c r="D2261" t="str">
        <f>"一誠社"</f>
        <v>一誠社</v>
      </c>
      <c r="E2261" t="str">
        <f>"イッセイシャ"</f>
        <v>イッセイシャ</v>
      </c>
      <c r="F2261" t="str">
        <f>"高松"</f>
        <v>高松</v>
      </c>
      <c r="G2261" t="str">
        <f>"季刊"</f>
        <v>季刊</v>
      </c>
      <c r="H2261" t="str">
        <f>"2002222302274"</f>
        <v>2002222302274</v>
      </c>
      <c r="I2261" t="str">
        <f>HYPERLINK("#", "https://opac.libnet.pref.okayama.jp/licsxp-opac/WOpacMsgNewListToTifTilDetailAction.do?tilcod=2002222302274")</f>
        <v>https://opac.libnet.pref.okayama.jp/licsxp-opac/WOpacMsgNewListToTifTilDetailAction.do?tilcod=2002222302274</v>
      </c>
    </row>
    <row r="2262" spans="1:9" x14ac:dyDescent="0.4">
      <c r="A2262" t="str">
        <f>"くれたけ"</f>
        <v>くれたけ</v>
      </c>
      <c r="B2262" s="1" t="str">
        <f t="shared" si="130"/>
        <v>くれたけ</v>
      </c>
      <c r="C2262" t="str">
        <f>"クレタケ "</f>
        <v xml:space="preserve">クレタケ </v>
      </c>
      <c r="D2262" t="str">
        <f>"岡山県和気高等女学校校友会"</f>
        <v>岡山県和気高等女学校校友会</v>
      </c>
      <c r="E2262" t="str">
        <f>"ワケ　コウトウ　ジョガッコウ　コウユウカイ"</f>
        <v>ワケ　コウトウ　ジョガッコウ　コウユウカイ</v>
      </c>
      <c r="F2262" t="str">
        <f>"本荘村(和気郡)"</f>
        <v>本荘村(和気郡)</v>
      </c>
      <c r="G2262" t="str">
        <f>"頻度不明"</f>
        <v>頻度不明</v>
      </c>
      <c r="H2262" t="str">
        <f>"2002222325767"</f>
        <v>2002222325767</v>
      </c>
      <c r="I2262" t="str">
        <f>HYPERLINK("#", "https://opac.libnet.pref.okayama.jp/licsxp-opac/WOpacMsgNewListToTifTilDetailAction.do?tilcod=2002222325767")</f>
        <v>https://opac.libnet.pref.okayama.jp/licsxp-opac/WOpacMsgNewListToTifTilDetailAction.do?tilcod=2002222325767</v>
      </c>
    </row>
    <row r="2263" spans="1:9" x14ac:dyDescent="0.4">
      <c r="A2263" t="str">
        <f>"ＣＲＥＤ　ＮＡＶＩ　ＴＯＷＮ　ＧＵＩＤＥ（クレドナビ　タウンガイド）"</f>
        <v>ＣＲＥＤ　ＮＡＶＩ　ＴＯＷＮ　ＧＵＩＤＥ（クレドナビ　タウンガイド）</v>
      </c>
      <c r="B2263" s="1" t="str">
        <f t="shared" si="130"/>
        <v>ＣＲＥＤ　ＮＡＶＩ　ＴＯＷＮ　ＧＵＩＤＥ（クレドナビ　タウンガイド）</v>
      </c>
      <c r="C2263" t="str">
        <f>"クレド　ナビ　タウン　ガイド"</f>
        <v>クレド　ナビ　タウン　ガイド</v>
      </c>
      <c r="D2263" t="str">
        <f>"クレドＯＫＡＹＡＭＡ"</f>
        <v>クレドＯＫＡＹＡＭＡ</v>
      </c>
      <c r="E2263" t="str">
        <f>"クレド　オカヤマ"</f>
        <v>クレド　オカヤマ</v>
      </c>
      <c r="F2263" t="str">
        <f>"岡山"</f>
        <v>岡山</v>
      </c>
      <c r="G2263" t="str">
        <f>"頻度不明"</f>
        <v>頻度不明</v>
      </c>
      <c r="H2263" t="str">
        <f>"2002222286061"</f>
        <v>2002222286061</v>
      </c>
      <c r="I2263" t="str">
        <f>HYPERLINK("#", "https://opac.libnet.pref.okayama.jp/licsxp-opac/WOpacMsgNewListToTifTilDetailAction.do?tilcod=2002222286061")</f>
        <v>https://opac.libnet.pref.okayama.jp/licsxp-opac/WOpacMsgNewListToTifTilDetailAction.do?tilcod=2002222286061</v>
      </c>
    </row>
    <row r="2264" spans="1:9" x14ac:dyDescent="0.4">
      <c r="A2264" t="str">
        <f>"グローカルデザイン論攷"</f>
        <v>グローカルデザイン論攷</v>
      </c>
      <c r="B2264" s="1" t="str">
        <f t="shared" si="130"/>
        <v>グローカルデザイン論攷</v>
      </c>
      <c r="C2264" t="str">
        <f>"グローカル デザイン ロンコウ"</f>
        <v>グローカル デザイン ロンコウ</v>
      </c>
      <c r="D2264" t="str">
        <f>"吉備国際大学外国語学部外国学科"</f>
        <v>吉備国際大学外国語学部外国学科</v>
      </c>
      <c r="E2264" t="str">
        <f>"キビコクサイダイガク"</f>
        <v>キビコクサイダイガク</v>
      </c>
      <c r="F2264" t="str">
        <f>"高梁"</f>
        <v>高梁</v>
      </c>
      <c r="G2264" t="str">
        <f>"年刊"</f>
        <v>年刊</v>
      </c>
      <c r="H2264" t="str">
        <f>"2002222331526"</f>
        <v>2002222331526</v>
      </c>
      <c r="I2264" t="str">
        <f>HYPERLINK("#", "https://opac.libnet.pref.okayama.jp/licsxp-opac/WOpacMsgNewListToTifTilDetailAction.do?tilcod=2002222331526")</f>
        <v>https://opac.libnet.pref.okayama.jp/licsxp-opac/WOpacMsgNewListToTifTilDetailAction.do?tilcod=2002222331526</v>
      </c>
    </row>
    <row r="2265" spans="1:9" x14ac:dyDescent="0.4">
      <c r="A2265" t="str">
        <f>"ｇｌｏｃａｌ(グローカル)；岡山商工会議所会報"</f>
        <v>ｇｌｏｃａｌ(グローカル)；岡山商工会議所会報</v>
      </c>
      <c r="B2265" s="1" t="str">
        <f t="shared" si="130"/>
        <v>ｇｌｏｃａｌ(グローカル)；岡山商工会議所会報</v>
      </c>
      <c r="C2265" t="str">
        <f>"グローカル＊オカヤマ　ショウコウ　カイギショ　カイホウ"</f>
        <v>グローカル＊オカヤマ　ショウコウ　カイギショ　カイホウ</v>
      </c>
      <c r="D2265" t="str">
        <f>"岡山商工会議所"</f>
        <v>岡山商工会議所</v>
      </c>
      <c r="E2265" t="str">
        <f>"オカヤマショウコウカイギショ"</f>
        <v>オカヤマショウコウカイギショ</v>
      </c>
      <c r="F2265" t="str">
        <f>"岡山"</f>
        <v>岡山</v>
      </c>
      <c r="G2265" t="str">
        <f>"月刊"</f>
        <v>月刊</v>
      </c>
      <c r="H2265" t="str">
        <f>"2002222302341"</f>
        <v>2002222302341</v>
      </c>
      <c r="I2265" t="str">
        <f>HYPERLINK("#", "https://opac.libnet.pref.okayama.jp/licsxp-opac/WOpacMsgNewListToTifTilDetailAction.do?tilcod=2002222302341")</f>
        <v>https://opac.libnet.pref.okayama.jp/licsxp-opac/WOpacMsgNewListToTifTilDetailAction.do?tilcod=2002222302341</v>
      </c>
    </row>
    <row r="2266" spans="1:9" x14ac:dyDescent="0.4">
      <c r="A2266" t="str">
        <f>"クローズアップげんだい"</f>
        <v>クローズアップげんだい</v>
      </c>
      <c r="B2266" s="1" t="str">
        <f t="shared" si="130"/>
        <v>クローズアップげんだい</v>
      </c>
      <c r="C2266" t="str">
        <f>"クローズアップ　ゲンダイ"</f>
        <v>クローズアップ　ゲンダイ</v>
      </c>
      <c r="D2266" t="str">
        <f>"日本現代新聞社"</f>
        <v>日本現代新聞社</v>
      </c>
      <c r="E2266" t="str">
        <f>"ニホンゲンダイシンブンシャ"</f>
        <v>ニホンゲンダイシンブンシャ</v>
      </c>
      <c r="F2266" t="str">
        <f>"岡山"</f>
        <v>岡山</v>
      </c>
      <c r="G2266" t="str">
        <f>"隔週刊"</f>
        <v>隔週刊</v>
      </c>
      <c r="H2266" t="str">
        <f>"2002222300866"</f>
        <v>2002222300866</v>
      </c>
      <c r="I2266" t="str">
        <f>HYPERLINK("#", "https://opac.libnet.pref.okayama.jp/licsxp-opac/WOpacMsgNewListToTifTilDetailAction.do?tilcod=2002222300866")</f>
        <v>https://opac.libnet.pref.okayama.jp/licsxp-opac/WOpacMsgNewListToTifTilDetailAction.do?tilcod=2002222300866</v>
      </c>
    </row>
    <row r="2267" spans="1:9" x14ac:dyDescent="0.4">
      <c r="A2267" t="str">
        <f>"Clover（クローバー）；光生病院広報誌"</f>
        <v>Clover（クローバー）；光生病院広報誌</v>
      </c>
      <c r="B2267" s="1" t="str">
        <f t="shared" si="130"/>
        <v>Clover（クローバー）；光生病院広報誌</v>
      </c>
      <c r="C2267" t="str">
        <f>"クローバー＊コウセイ ビョウイン コウホウシ"</f>
        <v>クローバー＊コウセイ ビョウイン コウホウシ</v>
      </c>
      <c r="D2267" t="str">
        <f>"光生病院"</f>
        <v>光生病院</v>
      </c>
      <c r="E2267" t="str">
        <f>"コウセイ ビョウイン"</f>
        <v>コウセイ ビョウイン</v>
      </c>
      <c r="F2267" t="str">
        <f>"岡山"</f>
        <v>岡山</v>
      </c>
      <c r="G2267" t="str">
        <f>"不定期刊"</f>
        <v>不定期刊</v>
      </c>
      <c r="H2267" t="str">
        <f>"2002222334849"</f>
        <v>2002222334849</v>
      </c>
      <c r="I2267" t="str">
        <f>HYPERLINK("#", "https://opac.libnet.pref.okayama.jp/licsxp-opac/WOpacMsgNewListToTifTilDetailAction.do?tilcod=2002222334849")</f>
        <v>https://opac.libnet.pref.okayama.jp/licsxp-opac/WOpacMsgNewListToTifTilDetailAction.do?tilcod=2002222334849</v>
      </c>
    </row>
    <row r="2268" spans="1:9" x14ac:dyDescent="0.4">
      <c r="A2268" t="str">
        <f>"黒髪紀要"</f>
        <v>黒髪紀要</v>
      </c>
      <c r="B2268" s="1" t="str">
        <f t="shared" si="130"/>
        <v>黒髪紀要</v>
      </c>
      <c r="C2268" t="str">
        <f>"クロカミ　キヨウ"</f>
        <v>クロカミ　キヨウ</v>
      </c>
      <c r="D2268" t="str">
        <f>"新見北高等学校"</f>
        <v>新見北高等学校</v>
      </c>
      <c r="E2268" t="str">
        <f>"ニイミキタコウトウガッコウ"</f>
        <v>ニイミキタコウトウガッコウ</v>
      </c>
      <c r="F2268" t="str">
        <f>"新見"</f>
        <v>新見</v>
      </c>
      <c r="G2268" t="str">
        <f>"隔年刊"</f>
        <v>隔年刊</v>
      </c>
      <c r="H2268" t="str">
        <f>"2002222301401"</f>
        <v>2002222301401</v>
      </c>
      <c r="I2268" t="str">
        <f>HYPERLINK("#", "https://opac.libnet.pref.okayama.jp/licsxp-opac/WOpacMsgNewListToTifTilDetailAction.do?tilcod=2002222301401")</f>
        <v>https://opac.libnet.pref.okayama.jp/licsxp-opac/WOpacMsgNewListToTifTilDetailAction.do?tilcod=2002222301401</v>
      </c>
    </row>
    <row r="2269" spans="1:9" x14ac:dyDescent="0.4">
      <c r="A2269" t="str">
        <f>"黒潮"</f>
        <v>黒潮</v>
      </c>
      <c r="B2269" s="1" t="str">
        <f t="shared" si="130"/>
        <v>黒潮</v>
      </c>
      <c r="C2269" t="str">
        <f>"クロシオ"</f>
        <v>クロシオ</v>
      </c>
      <c r="D2269" t="str">
        <f>"岡山大学ヨット部"</f>
        <v>岡山大学ヨット部</v>
      </c>
      <c r="E2269" t="str">
        <f>"オカヤマ ダイガク ヨットブ"</f>
        <v>オカヤマ ダイガク ヨットブ</v>
      </c>
      <c r="F2269" t="str">
        <f>"岡山"</f>
        <v>岡山</v>
      </c>
      <c r="G2269" t="str">
        <f>"頻度不明"</f>
        <v>頻度不明</v>
      </c>
      <c r="H2269" t="str">
        <f>"2002222328432"</f>
        <v>2002222328432</v>
      </c>
      <c r="I2269" t="str">
        <f>HYPERLINK("#", "https://opac.libnet.pref.okayama.jp/licsxp-opac/WOpacMsgNewListToTifTilDetailAction.do?tilcod=2002222328432")</f>
        <v>https://opac.libnet.pref.okayama.jp/licsxp-opac/WOpacMsgNewListToTifTilDetailAction.do?tilcod=2002222328432</v>
      </c>
    </row>
    <row r="2270" spans="1:9" x14ac:dyDescent="0.4">
      <c r="A2270" t="str">
        <f>"黒住種苗園種苗目録"</f>
        <v>黒住種苗園種苗目録</v>
      </c>
      <c r="B2270" s="1" t="str">
        <f t="shared" si="130"/>
        <v>黒住種苗園種苗目録</v>
      </c>
      <c r="C2270" t="str">
        <f>"クロズミ　シュビョウエン　シュビョウ　モクロク"</f>
        <v>クロズミ　シュビョウエン　シュビョウ　モクロク</v>
      </c>
      <c r="D2270" t="str">
        <f>"黒住種苗園"</f>
        <v>黒住種苗園</v>
      </c>
      <c r="E2270" t="str">
        <f>"クロズミシュビョウエン"</f>
        <v>クロズミシュビョウエン</v>
      </c>
      <c r="F2270" t="str">
        <f>"岡山"</f>
        <v>岡山</v>
      </c>
      <c r="G2270" t="str">
        <f>"季刊"</f>
        <v>季刊</v>
      </c>
      <c r="H2270" t="str">
        <f>"2002222302131"</f>
        <v>2002222302131</v>
      </c>
      <c r="I2270" t="str">
        <f>HYPERLINK("#", "https://opac.libnet.pref.okayama.jp/licsxp-opac/WOpacMsgNewListToTifTilDetailAction.do?tilcod=2002222302131")</f>
        <v>https://opac.libnet.pref.okayama.jp/licsxp-opac/WOpacMsgNewListToTifTilDetailAction.do?tilcod=2002222302131</v>
      </c>
    </row>
    <row r="2271" spans="1:9" x14ac:dyDescent="0.4">
      <c r="A2271" t="str">
        <f>"くろつち"</f>
        <v>くろつち</v>
      </c>
      <c r="B2271" s="1" t="str">
        <f t="shared" si="130"/>
        <v>くろつち</v>
      </c>
      <c r="C2271" t="str">
        <f>"クロツチ"</f>
        <v>クロツチ</v>
      </c>
      <c r="D2271" t="str">
        <f>"蒜山高等学校報道部"</f>
        <v>蒜山高等学校報道部</v>
      </c>
      <c r="E2271" t="str">
        <f>"ヒルゼンコウトウガッコウホウドウブ"</f>
        <v>ヒルゼンコウトウガッコウホウドウブ</v>
      </c>
      <c r="F2271" t="str">
        <f>"八束村（真庭郡）"</f>
        <v>八束村（真庭郡）</v>
      </c>
      <c r="G2271" t="str">
        <f>"頻度不明"</f>
        <v>頻度不明</v>
      </c>
      <c r="H2271" t="str">
        <f>"2002222301423"</f>
        <v>2002222301423</v>
      </c>
      <c r="I2271" t="str">
        <f>HYPERLINK("#", "https://opac.libnet.pref.okayama.jp/licsxp-opac/WOpacMsgNewListToTifTilDetailAction.do?tilcod=2002222301423")</f>
        <v>https://opac.libnet.pref.okayama.jp/licsxp-opac/WOpacMsgNewListToTifTilDetailAction.do?tilcod=2002222301423</v>
      </c>
    </row>
    <row r="2272" spans="1:9" x14ac:dyDescent="0.4">
      <c r="A2272" t="str">
        <f>"ぐんぐんぐん"</f>
        <v>ぐんぐんぐん</v>
      </c>
      <c r="B2272" s="1" t="str">
        <f t="shared" si="130"/>
        <v>ぐんぐんぐん</v>
      </c>
      <c r="C2272" t="str">
        <f>"グングングン"</f>
        <v>グングングン</v>
      </c>
      <c r="D2272" t="str">
        <f>"岡山子どもの本の会"</f>
        <v>岡山子どもの本の会</v>
      </c>
      <c r="E2272" t="str">
        <f>"オカヤマ コドモ ノ ホン ノ カイ"</f>
        <v>オカヤマ コドモ ノ ホン ノ カイ</v>
      </c>
      <c r="F2272" t="str">
        <f>"岡山"</f>
        <v>岡山</v>
      </c>
      <c r="G2272" t="str">
        <f>"頻度不明"</f>
        <v>頻度不明</v>
      </c>
      <c r="H2272" t="str">
        <f>"2002222285401"</f>
        <v>2002222285401</v>
      </c>
      <c r="I2272" t="str">
        <f>HYPERLINK("#", "https://opac.libnet.pref.okayama.jp/licsxp-opac/WOpacMsgNewListToTifTilDetailAction.do?tilcod=2002222285401")</f>
        <v>https://opac.libnet.pref.okayama.jp/licsxp-opac/WOpacMsgNewListToTifTilDetailAction.do?tilcod=2002222285401</v>
      </c>
    </row>
    <row r="2273" spans="1:9" x14ac:dyDescent="0.4">
      <c r="A2273" t="str">
        <f>"群雀（ぐんじゃく）"</f>
        <v>群雀（ぐんじゃく）</v>
      </c>
      <c r="B2273" s="1" t="str">
        <f t="shared" si="130"/>
        <v>群雀（ぐんじゃく）</v>
      </c>
      <c r="C2273" t="str">
        <f>"グンジャク"</f>
        <v>グンジャク</v>
      </c>
      <c r="D2273" t="str">
        <f>"群雀の会"</f>
        <v>群雀の会</v>
      </c>
      <c r="E2273" t="str">
        <f>"グンジャクノカイ"</f>
        <v>グンジャクノカイ</v>
      </c>
      <c r="F2273" t="str">
        <f>""</f>
        <v/>
      </c>
      <c r="G2273" t="str">
        <f>"頻度不明"</f>
        <v>頻度不明</v>
      </c>
      <c r="H2273" t="str">
        <f>"2002222283013"</f>
        <v>2002222283013</v>
      </c>
      <c r="I2273" t="str">
        <f>HYPERLINK("#", "https://opac.libnet.pref.okayama.jp/licsxp-opac/WOpacMsgNewListToTifTilDetailAction.do?tilcod=2002222283013")</f>
        <v>https://opac.libnet.pref.okayama.jp/licsxp-opac/WOpacMsgNewListToTifTilDetailAction.do?tilcod=2002222283013</v>
      </c>
    </row>
    <row r="2274" spans="1:9" x14ac:dyDescent="0.4">
      <c r="A2274" t="str">
        <f>"くんぺる通信"</f>
        <v>くんぺる通信</v>
      </c>
      <c r="B2274" s="1" t="str">
        <f t="shared" si="130"/>
        <v>くんぺる通信</v>
      </c>
      <c r="C2274" t="str">
        <f>"クンペル　ツウシン"</f>
        <v>クンペル　ツウシン</v>
      </c>
      <c r="D2274" t="str">
        <f>"くんぺる"</f>
        <v>くんぺる</v>
      </c>
      <c r="E2274" t="str">
        <f>"クンペル"</f>
        <v>クンペル</v>
      </c>
      <c r="F2274" t="str">
        <f>"岡山"</f>
        <v>岡山</v>
      </c>
      <c r="G2274" t="str">
        <f>"季刊"</f>
        <v>季刊</v>
      </c>
      <c r="H2274" t="str">
        <f>"2002222300752"</f>
        <v>2002222300752</v>
      </c>
      <c r="I2274" t="str">
        <f>HYPERLINK("#", "https://opac.libnet.pref.okayama.jp/licsxp-opac/WOpacMsgNewListToTifTilDetailAction.do?tilcod=2002222300752")</f>
        <v>https://opac.libnet.pref.okayama.jp/licsxp-opac/WOpacMsgNewListToTifTilDetailAction.do?tilcod=2002222300752</v>
      </c>
    </row>
    <row r="2275" spans="1:9" x14ac:dyDescent="0.4">
      <c r="A2275" t="str">
        <f>"ケア　サイエンス　リサーチ"</f>
        <v>ケア　サイエンス　リサーチ</v>
      </c>
      <c r="B2275" s="1" t="str">
        <f t="shared" si="130"/>
        <v>ケア　サイエンス　リサーチ</v>
      </c>
      <c r="C2275" t="str">
        <f>"ケア　サイエンス　リサーチ"</f>
        <v>ケア　サイエンス　リサーチ</v>
      </c>
      <c r="D2275" t="str">
        <f>"旭川荘厚生専門学院"</f>
        <v>旭川荘厚生専門学院</v>
      </c>
      <c r="E2275" t="str">
        <f>"アサヒガワソウ コウセイ センモン ガクイン"</f>
        <v>アサヒガワソウ コウセイ センモン ガクイン</v>
      </c>
      <c r="F2275" t="str">
        <f>"岡山"</f>
        <v>岡山</v>
      </c>
      <c r="G2275" t="str">
        <f>"頻度不明"</f>
        <v>頻度不明</v>
      </c>
      <c r="H2275" t="str">
        <f>"2002222281661"</f>
        <v>2002222281661</v>
      </c>
      <c r="I2275" t="str">
        <f>HYPERLINK("#", "https://opac.libnet.pref.okayama.jp/licsxp-opac/WOpacMsgNewListToTifTilDetailAction.do?tilcod=2002222281661")</f>
        <v>https://opac.libnet.pref.okayama.jp/licsxp-opac/WOpacMsgNewListToTifTilDetailAction.do?tilcod=2002222281661</v>
      </c>
    </row>
    <row r="2276" spans="1:9" x14ac:dyDescent="0.4">
      <c r="A2276" t="str">
        <f>"敬愛"</f>
        <v>敬愛</v>
      </c>
      <c r="B2276" s="1" t="str">
        <f t="shared" si="130"/>
        <v>敬愛</v>
      </c>
      <c r="C2276" t="str">
        <f>"ケイアイ "</f>
        <v xml:space="preserve">ケイアイ </v>
      </c>
      <c r="D2276" t="str">
        <f>"倉敷高等小学校敬愛会"</f>
        <v>倉敷高等小学校敬愛会</v>
      </c>
      <c r="E2276" t="str">
        <f>"クラシキ コウトウ ショウガッコウ ケイアイカイ"</f>
        <v>クラシキ コウトウ ショウガッコウ ケイアイカイ</v>
      </c>
      <c r="F2276" t="str">
        <f>"倉敷"</f>
        <v>倉敷</v>
      </c>
      <c r="G2276" t="str">
        <f>"頻度不明"</f>
        <v>頻度不明</v>
      </c>
      <c r="H2276" t="str">
        <f>"2002222322646"</f>
        <v>2002222322646</v>
      </c>
      <c r="I2276" t="str">
        <f>HYPERLINK("#", "https://opac.libnet.pref.okayama.jp/licsxp-opac/WOpacMsgNewListToTifTilDetailAction.do?tilcod=2002222322646")</f>
        <v>https://opac.libnet.pref.okayama.jp/licsxp-opac/WOpacMsgNewListToTifTilDetailAction.do?tilcod=2002222322646</v>
      </c>
    </row>
    <row r="2277" spans="1:9" x14ac:dyDescent="0.4">
      <c r="A2277" t="str">
        <f>"芸科大通信"</f>
        <v>芸科大通信</v>
      </c>
      <c r="B2277" s="1" t="str">
        <f t="shared" si="130"/>
        <v>芸科大通信</v>
      </c>
      <c r="C2277" t="str">
        <f>"ゲイカダイ ツウシン "</f>
        <v xml:space="preserve">ゲイカダイ ツウシン </v>
      </c>
      <c r="D2277" t="str">
        <f>"倉敷芸術科学大学入試広報部"</f>
        <v>倉敷芸術科学大学入試広報部</v>
      </c>
      <c r="E2277" t="str">
        <f>"クラシキ ゲイジュツ カガク ダイガク ニュウシ コウホウブ "</f>
        <v xml:space="preserve">クラシキ ゲイジュツ カガク ダイガク ニュウシ コウホウブ </v>
      </c>
      <c r="F2277" t="str">
        <f>"倉敷"</f>
        <v>倉敷</v>
      </c>
      <c r="G2277" t="str">
        <f>"頻度不明"</f>
        <v>頻度不明</v>
      </c>
      <c r="H2277" t="str">
        <f>"2002222307808"</f>
        <v>2002222307808</v>
      </c>
      <c r="I2277" t="str">
        <f>HYPERLINK("#", "https://opac.libnet.pref.okayama.jp/licsxp-opac/WOpacMsgNewListToTifTilDetailAction.do?tilcod=2002222307808")</f>
        <v>https://opac.libnet.pref.okayama.jp/licsxp-opac/WOpacMsgNewListToTifTilDetailAction.do?tilcod=2002222307808</v>
      </c>
    </row>
    <row r="2278" spans="1:9" x14ac:dyDescent="0.4">
      <c r="A2278" t="str">
        <f>"掲光"</f>
        <v>掲光</v>
      </c>
      <c r="B2278" s="1" t="str">
        <f t="shared" si="130"/>
        <v>掲光</v>
      </c>
      <c r="C2278" t="str">
        <f>"ケイコウ"</f>
        <v>ケイコウ</v>
      </c>
      <c r="D2278" t="str">
        <f>"岡山医科大学文芸部"</f>
        <v>岡山医科大学文芸部</v>
      </c>
      <c r="E2278" t="str">
        <f>"オカヤマイカダイガクブンゲイブ"</f>
        <v>オカヤマイカダイガクブンゲイブ</v>
      </c>
      <c r="F2278" t="str">
        <f>"岡山"</f>
        <v>岡山</v>
      </c>
      <c r="G2278" t="str">
        <f>"頻度不明"</f>
        <v>頻度不明</v>
      </c>
      <c r="H2278" t="str">
        <f>"2002222301733"</f>
        <v>2002222301733</v>
      </c>
      <c r="I2278" t="str">
        <f>HYPERLINK("#", "https://opac.libnet.pref.okayama.jp/licsxp-opac/WOpacMsgNewListToTifTilDetailAction.do?tilcod=2002222301733")</f>
        <v>https://opac.libnet.pref.okayama.jp/licsxp-opac/WOpacMsgNewListToTifTilDetailAction.do?tilcod=2002222301733</v>
      </c>
    </row>
    <row r="2279" spans="1:9" x14ac:dyDescent="0.4">
      <c r="A2279" t="str">
        <f>"経済情報"</f>
        <v>経済情報</v>
      </c>
      <c r="B2279" s="1" t="str">
        <f t="shared" si="130"/>
        <v>経済情報</v>
      </c>
      <c r="C2279" t="str">
        <f>"ケイザイ　ジョウホウ"</f>
        <v>ケイザイ　ジョウホウ</v>
      </c>
      <c r="D2279" t="str">
        <f>"経済情報社"</f>
        <v>経済情報社</v>
      </c>
      <c r="E2279" t="str">
        <f>"ケイザイジョウホウシャ"</f>
        <v>ケイザイジョウホウシャ</v>
      </c>
      <c r="F2279" t="str">
        <f>"岡山"</f>
        <v>岡山</v>
      </c>
      <c r="G2279" t="str">
        <f>"隔月刊"</f>
        <v>隔月刊</v>
      </c>
      <c r="H2279" t="str">
        <f>"2002222300867"</f>
        <v>2002222300867</v>
      </c>
      <c r="I2279" t="str">
        <f>HYPERLINK("#", "https://opac.libnet.pref.okayama.jp/licsxp-opac/WOpacMsgNewListToTifTilDetailAction.do?tilcod=2002222300867")</f>
        <v>https://opac.libnet.pref.okayama.jp/licsxp-opac/WOpacMsgNewListToTifTilDetailAction.do?tilcod=2002222300867</v>
      </c>
    </row>
    <row r="2280" spans="1:9" x14ac:dyDescent="0.4">
      <c r="A2280" t="str">
        <f>"経済リポート"</f>
        <v>経済リポート</v>
      </c>
      <c r="B2280" s="1" t="str">
        <f t="shared" si="130"/>
        <v>経済リポート</v>
      </c>
      <c r="C2280" t="str">
        <f>"ケイザイ　リポート"</f>
        <v>ケイザイ　リポート</v>
      </c>
      <c r="D2280" t="str">
        <f>"経済リポート"</f>
        <v>経済リポート</v>
      </c>
      <c r="E2280" t="str">
        <f>"ケイザイリポート"</f>
        <v>ケイザイリポート</v>
      </c>
      <c r="F2280" t="str">
        <f>"福山"</f>
        <v>福山</v>
      </c>
      <c r="G2280" t="str">
        <f>"旬刊"</f>
        <v>旬刊</v>
      </c>
      <c r="H2280" t="str">
        <f>"2002222280213"</f>
        <v>2002222280213</v>
      </c>
      <c r="I2280" t="str">
        <f>HYPERLINK("#", "https://opac.libnet.pref.okayama.jp/licsxp-opac/WOpacMsgNewListToTifTilDetailAction.do?tilcod=2002222280213")</f>
        <v>https://opac.libnet.pref.okayama.jp/licsxp-opac/WOpacMsgNewListToTifTilDetailAction.do?tilcod=2002222280213</v>
      </c>
    </row>
    <row r="2281" spans="1:9" x14ac:dyDescent="0.4">
      <c r="A2281" t="str">
        <f>"経済連農産だより"</f>
        <v>経済連農産だより</v>
      </c>
      <c r="B2281" s="1" t="str">
        <f t="shared" si="130"/>
        <v>経済連農産だより</v>
      </c>
      <c r="C2281" t="str">
        <f>"ケイザイレン　ノウサン　ダヨリ"</f>
        <v>ケイザイレン　ノウサン　ダヨリ</v>
      </c>
      <c r="D2281" t="str">
        <f>"岡山県経済農業協同組合連合会"</f>
        <v>岡山県経済農業協同組合連合会</v>
      </c>
      <c r="E2281" t="str">
        <f>"オカヤマケン ケイザイ ノウギョウ キョウドウ クミアイ レンゴウカイ"</f>
        <v>オカヤマケン ケイザイ ノウギョウ キョウドウ クミアイ レンゴウカイ</v>
      </c>
      <c r="F2281" t="str">
        <f>""</f>
        <v/>
      </c>
      <c r="G2281" t="str">
        <f t="shared" ref="G2281:G2292" si="131">"頻度不明"</f>
        <v>頻度不明</v>
      </c>
      <c r="H2281" t="str">
        <f>"2002222280223"</f>
        <v>2002222280223</v>
      </c>
      <c r="I2281" t="str">
        <f>HYPERLINK("#", "https://opac.libnet.pref.okayama.jp/licsxp-opac/WOpacMsgNewListToTifTilDetailAction.do?tilcod=2002222280223")</f>
        <v>https://opac.libnet.pref.okayama.jp/licsxp-opac/WOpacMsgNewListToTifTilDetailAction.do?tilcod=2002222280223</v>
      </c>
    </row>
    <row r="2282" spans="1:9" x14ac:dyDescent="0.4">
      <c r="A2282" t="str">
        <f>"警察時報"</f>
        <v>警察時報</v>
      </c>
      <c r="B2282" s="1" t="str">
        <f t="shared" si="130"/>
        <v>警察時報</v>
      </c>
      <c r="C2282" t="str">
        <f>"ケイサツ　ジホウ"</f>
        <v>ケイサツ　ジホウ</v>
      </c>
      <c r="D2282" t="str">
        <f>"警察協会岡山支部"</f>
        <v>警察協会岡山支部</v>
      </c>
      <c r="E2282" t="str">
        <f>"ケイサツキョウカイオカヤマシブ"</f>
        <v>ケイサツキョウカイオカヤマシブ</v>
      </c>
      <c r="F2282" t="str">
        <f>""</f>
        <v/>
      </c>
      <c r="G2282" t="str">
        <f t="shared" si="131"/>
        <v>頻度不明</v>
      </c>
      <c r="H2282" t="str">
        <f>"2002222280243"</f>
        <v>2002222280243</v>
      </c>
      <c r="I2282" t="str">
        <f>HYPERLINK("#", "https://opac.libnet.pref.okayama.jp/licsxp-opac/WOpacMsgNewListToTifTilDetailAction.do?tilcod=2002222280243")</f>
        <v>https://opac.libnet.pref.okayama.jp/licsxp-opac/WOpacMsgNewListToTifTilDetailAction.do?tilcod=2002222280243</v>
      </c>
    </row>
    <row r="2283" spans="1:9" x14ac:dyDescent="0.4">
      <c r="A2283" t="str">
        <f>"警察誌"</f>
        <v>警察誌</v>
      </c>
      <c r="B2283" s="1" t="str">
        <f t="shared" si="130"/>
        <v>警察誌</v>
      </c>
      <c r="C2283" t="str">
        <f>"ケイサツシ"</f>
        <v>ケイサツシ</v>
      </c>
      <c r="D2283" t="str">
        <f>"警察協会岡山支部"</f>
        <v>警察協会岡山支部</v>
      </c>
      <c r="E2283" t="str">
        <f>"ケイサツキョウカイオカヤマシブ"</f>
        <v>ケイサツキョウカイオカヤマシブ</v>
      </c>
      <c r="F2283" t="str">
        <f>""</f>
        <v/>
      </c>
      <c r="G2283" t="str">
        <f t="shared" si="131"/>
        <v>頻度不明</v>
      </c>
      <c r="H2283" t="str">
        <f>"2002222280233"</f>
        <v>2002222280233</v>
      </c>
      <c r="I2283" t="str">
        <f>HYPERLINK("#", "https://opac.libnet.pref.okayama.jp/licsxp-opac/WOpacMsgNewListToTifTilDetailAction.do?tilcod=2002222280233")</f>
        <v>https://opac.libnet.pref.okayama.jp/licsxp-opac/WOpacMsgNewListToTifTilDetailAction.do?tilcod=2002222280233</v>
      </c>
    </row>
    <row r="2284" spans="1:9" x14ac:dyDescent="0.4">
      <c r="A2284" t="str">
        <f>"ＫＣＴ中央高等学院岡山キャンパス学校案内"</f>
        <v>ＫＣＴ中央高等学院岡山キャンパス学校案内</v>
      </c>
      <c r="B2284" s="1" t="str">
        <f t="shared" si="130"/>
        <v>ＫＣＴ中央高等学院岡山キャンパス学校案内</v>
      </c>
      <c r="C2284" t="str">
        <f>"ケイシィーティー　チュウオウ　コウトウ　ガクイン　オカヤマ　キャンパス　ガッコウ　アンナイ"</f>
        <v>ケイシィーティー　チュウオウ　コウトウ　ガクイン　オカヤマ　キャンパス　ガッコウ　アンナイ</v>
      </c>
      <c r="D2284" t="str">
        <f>"ＫＣＴ中央学院岡山キャンパス"</f>
        <v>ＫＣＴ中央学院岡山キャンパス</v>
      </c>
      <c r="E2284" t="str">
        <f>"ケイシィーティーチュウオウガクインオカヤマキャンパス"</f>
        <v>ケイシィーティーチュウオウガクインオカヤマキャンパス</v>
      </c>
      <c r="F2284" t="str">
        <f>""</f>
        <v/>
      </c>
      <c r="G2284" t="str">
        <f t="shared" si="131"/>
        <v>頻度不明</v>
      </c>
      <c r="H2284" t="str">
        <f>"2002222327508"</f>
        <v>2002222327508</v>
      </c>
      <c r="I2284" t="str">
        <f>HYPERLINK("#", "https://opac.libnet.pref.okayama.jp/licsxp-opac/WOpacMsgNewListToTifTilDetailAction.do?tilcod=2002222327508")</f>
        <v>https://opac.libnet.pref.okayama.jp/licsxp-opac/WOpacMsgNewListToTifTilDetailAction.do?tilcod=2002222327508</v>
      </c>
    </row>
    <row r="2285" spans="1:9" x14ac:dyDescent="0.4">
      <c r="A2285" t="str">
        <f>"形象"</f>
        <v>形象</v>
      </c>
      <c r="B2285" s="1" t="str">
        <f t="shared" si="130"/>
        <v>形象</v>
      </c>
      <c r="C2285" t="str">
        <f>"ケイショウ"</f>
        <v>ケイショウ</v>
      </c>
      <c r="D2285" t="str">
        <f>"形象の会"</f>
        <v>形象の会</v>
      </c>
      <c r="E2285" t="str">
        <f>"ケイショウノカイ"</f>
        <v>ケイショウノカイ</v>
      </c>
      <c r="F2285" t="str">
        <f>""</f>
        <v/>
      </c>
      <c r="G2285" t="str">
        <f t="shared" si="131"/>
        <v>頻度不明</v>
      </c>
      <c r="H2285" t="str">
        <f>"2002222280253"</f>
        <v>2002222280253</v>
      </c>
      <c r="I2285" t="str">
        <f>HYPERLINK("#", "https://opac.libnet.pref.okayama.jp/licsxp-opac/WOpacMsgNewListToTifTilDetailAction.do?tilcod=2002222280253")</f>
        <v>https://opac.libnet.pref.okayama.jp/licsxp-opac/WOpacMsgNewListToTifTilDetailAction.do?tilcod=2002222280253</v>
      </c>
    </row>
    <row r="2286" spans="1:9" x14ac:dyDescent="0.4">
      <c r="A2286" t="str">
        <f>"形成岡山"</f>
        <v>形成岡山</v>
      </c>
      <c r="B2286" s="1" t="str">
        <f t="shared" si="130"/>
        <v>形成岡山</v>
      </c>
      <c r="C2286" t="str">
        <f>"ケイセイ オカヤマ"</f>
        <v>ケイセイ オカヤマ</v>
      </c>
      <c r="D2286" t="str">
        <f>"形成岡山支部"</f>
        <v>形成岡山支部</v>
      </c>
      <c r="E2286" t="str">
        <f>"ケイセイ オカヤマ シブ"</f>
        <v>ケイセイ オカヤマ シブ</v>
      </c>
      <c r="F2286" t="str">
        <f>"一宮町（御津郡）"</f>
        <v>一宮町（御津郡）</v>
      </c>
      <c r="G2286" t="str">
        <f t="shared" si="131"/>
        <v>頻度不明</v>
      </c>
      <c r="H2286" t="str">
        <f>"2002222315106"</f>
        <v>2002222315106</v>
      </c>
      <c r="I2286" t="str">
        <f>HYPERLINK("#", "https://opac.libnet.pref.okayama.jp/licsxp-opac/WOpacMsgNewListToTifTilDetailAction.do?tilcod=2002222315106")</f>
        <v>https://opac.libnet.pref.okayama.jp/licsxp-opac/WOpacMsgNewListToTifTilDetailAction.do?tilcod=2002222315106</v>
      </c>
    </row>
    <row r="2287" spans="1:9" x14ac:dyDescent="0.4">
      <c r="A2287" t="str">
        <f>"経世雑誌"</f>
        <v>経世雑誌</v>
      </c>
      <c r="B2287" s="1" t="str">
        <f t="shared" si="130"/>
        <v>経世雑誌</v>
      </c>
      <c r="C2287" t="str">
        <f>"ケイセイ　ザッシ"</f>
        <v>ケイセイ　ザッシ</v>
      </c>
      <c r="D2287" t="str">
        <f>"経世雑誌社"</f>
        <v>経世雑誌社</v>
      </c>
      <c r="E2287" t="str">
        <f>"ケイセイザッシシャ"</f>
        <v>ケイセイザッシシャ</v>
      </c>
      <c r="F2287" t="str">
        <f>""</f>
        <v/>
      </c>
      <c r="G2287" t="str">
        <f t="shared" si="131"/>
        <v>頻度不明</v>
      </c>
      <c r="H2287" t="str">
        <f>"2002222280263"</f>
        <v>2002222280263</v>
      </c>
      <c r="I2287" t="str">
        <f>HYPERLINK("#", "https://opac.libnet.pref.okayama.jp/licsxp-opac/WOpacMsgNewListToTifTilDetailAction.do?tilcod=2002222280263")</f>
        <v>https://opac.libnet.pref.okayama.jp/licsxp-opac/WOpacMsgNewListToTifTilDetailAction.do?tilcod=2002222280263</v>
      </c>
    </row>
    <row r="2288" spans="1:9" x14ac:dyDescent="0.4">
      <c r="A2288" t="str">
        <f>"けいせつ"</f>
        <v>けいせつ</v>
      </c>
      <c r="B2288" s="1" t="str">
        <f t="shared" si="130"/>
        <v>けいせつ</v>
      </c>
      <c r="C2288" t="str">
        <f>"ケイセツ"</f>
        <v>ケイセツ</v>
      </c>
      <c r="D2288" t="str">
        <f>"藤井洋裁製帽研究所校友会"</f>
        <v>藤井洋裁製帽研究所校友会</v>
      </c>
      <c r="E2288" t="str">
        <f>"フジイヨウサイセイボウケンキュウジョコウユウカイ"</f>
        <v>フジイヨウサイセイボウケンキュウジョコウユウカイ</v>
      </c>
      <c r="F2288" t="str">
        <f>""</f>
        <v/>
      </c>
      <c r="G2288" t="str">
        <f t="shared" si="131"/>
        <v>頻度不明</v>
      </c>
      <c r="H2288" t="str">
        <f>"2002222280273"</f>
        <v>2002222280273</v>
      </c>
      <c r="I2288" t="str">
        <f>HYPERLINK("#", "https://opac.libnet.pref.okayama.jp/licsxp-opac/WOpacMsgNewListToTifTilDetailAction.do?tilcod=2002222280273")</f>
        <v>https://opac.libnet.pref.okayama.jp/licsxp-opac/WOpacMsgNewListToTifTilDetailAction.do?tilcod=2002222280273</v>
      </c>
    </row>
    <row r="2289" spans="1:9" x14ac:dyDescent="0.4">
      <c r="A2289" t="str">
        <f>"蛍雪餘稿"</f>
        <v>蛍雪餘稿</v>
      </c>
      <c r="B2289" s="1" t="str">
        <f t="shared" si="130"/>
        <v>蛍雪餘稿</v>
      </c>
      <c r="C2289" t="str">
        <f>"ケイセツ ヨコウ"</f>
        <v>ケイセツ ヨコウ</v>
      </c>
      <c r="D2289" t="str">
        <f>"武内教育書房"</f>
        <v>武内教育書房</v>
      </c>
      <c r="E2289" t="str">
        <f>"タケウチキョウイクショボウ"</f>
        <v>タケウチキョウイクショボウ</v>
      </c>
      <c r="F2289" t="str">
        <f>"岡山"</f>
        <v>岡山</v>
      </c>
      <c r="G2289" t="str">
        <f t="shared" si="131"/>
        <v>頻度不明</v>
      </c>
      <c r="H2289" t="str">
        <f>"2002222336970"</f>
        <v>2002222336970</v>
      </c>
      <c r="I2289" t="str">
        <f>HYPERLINK("#", "https://opac.libnet.pref.okayama.jp/licsxp-opac/WOpacMsgNewListToTifTilDetailAction.do?tilcod=2002222336970")</f>
        <v>https://opac.libnet.pref.okayama.jp/licsxp-opac/WOpacMsgNewListToTifTilDetailAction.do?tilcod=2002222336970</v>
      </c>
    </row>
    <row r="2290" spans="1:9" x14ac:dyDescent="0.4">
      <c r="A2290" t="str">
        <f>"勁草"</f>
        <v>勁草</v>
      </c>
      <c r="B2290" s="1" t="str">
        <f t="shared" si="130"/>
        <v>勁草</v>
      </c>
      <c r="C2290" t="str">
        <f>"ケイソウ"</f>
        <v>ケイソウ</v>
      </c>
      <c r="D2290" t="str">
        <f>"〔岡山市立石井中学校〕"</f>
        <v>〔岡山市立石井中学校〕</v>
      </c>
      <c r="E2290" t="str">
        <f>"オカヤマシリツイシイチュウガッコウ"</f>
        <v>オカヤマシリツイシイチュウガッコウ</v>
      </c>
      <c r="F2290" t="str">
        <f>"〔岡山〕"</f>
        <v>〔岡山〕</v>
      </c>
      <c r="G2290" t="str">
        <f t="shared" si="131"/>
        <v>頻度不明</v>
      </c>
      <c r="H2290" t="str">
        <f>"2002222302083"</f>
        <v>2002222302083</v>
      </c>
      <c r="I2290" t="str">
        <f>HYPERLINK("#", "https://opac.libnet.pref.okayama.jp/licsxp-opac/WOpacMsgNewListToTifTilDetailAction.do?tilcod=2002222302083")</f>
        <v>https://opac.libnet.pref.okayama.jp/licsxp-opac/WOpacMsgNewListToTifTilDetailAction.do?tilcod=2002222302083</v>
      </c>
    </row>
    <row r="2291" spans="1:9" x14ac:dyDescent="0.4">
      <c r="A2291" t="str">
        <f>"芸能週報"</f>
        <v>芸能週報</v>
      </c>
      <c r="B2291" s="1" t="str">
        <f t="shared" si="130"/>
        <v>芸能週報</v>
      </c>
      <c r="C2291" t="str">
        <f>"ゲイノウ　シュウホウ"</f>
        <v>ゲイノウ　シュウホウ</v>
      </c>
      <c r="D2291" t="str">
        <f>"芸能週報社"</f>
        <v>芸能週報社</v>
      </c>
      <c r="E2291" t="str">
        <f>"ゲイノウシュウホウシャ"</f>
        <v>ゲイノウシュウホウシャ</v>
      </c>
      <c r="F2291" t="str">
        <f>""</f>
        <v/>
      </c>
      <c r="G2291" t="str">
        <f t="shared" si="131"/>
        <v>頻度不明</v>
      </c>
      <c r="H2291" t="str">
        <f>"2002222280283"</f>
        <v>2002222280283</v>
      </c>
      <c r="I2291" t="str">
        <f>HYPERLINK("#", "https://opac.libnet.pref.okayama.jp/licsxp-opac/WOpacMsgNewListToTifTilDetailAction.do?tilcod=2002222280283")</f>
        <v>https://opac.libnet.pref.okayama.jp/licsxp-opac/WOpacMsgNewListToTifTilDetailAction.do?tilcod=2002222280283</v>
      </c>
    </row>
    <row r="2292" spans="1:9" x14ac:dyDescent="0.4">
      <c r="A2292" t="str">
        <f>"京浜同窓会々報；岡山朝日高校京浜同窓会"</f>
        <v>京浜同窓会々報；岡山朝日高校京浜同窓会</v>
      </c>
      <c r="B2292" s="1" t="str">
        <f t="shared" si="130"/>
        <v>京浜同窓会々報；岡山朝日高校京浜同窓会</v>
      </c>
      <c r="C2292" t="str">
        <f>"ケイヒン　ドウソウカイ　カイホウ＊オカヤマ　アサヒ　コウコウ　ケイヒン　ドウソウカイ"</f>
        <v>ケイヒン　ドウソウカイ　カイホウ＊オカヤマ　アサヒ　コウコウ　ケイヒン　ドウソウカイ</v>
      </c>
      <c r="D2292" t="str">
        <f>"岡山朝日高校同窓会"</f>
        <v>岡山朝日高校同窓会</v>
      </c>
      <c r="E2292" t="str">
        <f>"オカヤマアサヒコウコウドウソウカイ"</f>
        <v>オカヤマアサヒコウコウドウソウカイ</v>
      </c>
      <c r="F2292" t="str">
        <f>"横浜"</f>
        <v>横浜</v>
      </c>
      <c r="G2292" t="str">
        <f t="shared" si="131"/>
        <v>頻度不明</v>
      </c>
      <c r="H2292" t="str">
        <f>"2002222302314"</f>
        <v>2002222302314</v>
      </c>
      <c r="I2292" t="str">
        <f>HYPERLINK("#", "https://opac.libnet.pref.okayama.jp/licsxp-opac/WOpacMsgNewListToTifTilDetailAction.do?tilcod=2002222302314")</f>
        <v>https://opac.libnet.pref.okayama.jp/licsxp-opac/WOpacMsgNewListToTifTilDetailAction.do?tilcod=2002222302314</v>
      </c>
    </row>
    <row r="2293" spans="1:9" x14ac:dyDescent="0.4">
      <c r="A2293" t="str">
        <f>"桂馬"</f>
        <v>桂馬</v>
      </c>
      <c r="B2293" s="1" t="str">
        <f t="shared" si="130"/>
        <v>桂馬</v>
      </c>
      <c r="C2293" t="str">
        <f>"ケイマ"</f>
        <v>ケイマ</v>
      </c>
      <c r="D2293" t="str">
        <f>"大山後援会"</f>
        <v>大山後援会</v>
      </c>
      <c r="E2293" t="str">
        <f>"オオヤマ コウエンカイ"</f>
        <v>オオヤマ コウエンカイ</v>
      </c>
      <c r="F2293" t="str">
        <f>"岡山"</f>
        <v>岡山</v>
      </c>
      <c r="G2293" t="str">
        <f>"季刊"</f>
        <v>季刊</v>
      </c>
      <c r="H2293" t="str">
        <f>"2002222309566"</f>
        <v>2002222309566</v>
      </c>
      <c r="I2293" t="str">
        <f>HYPERLINK("#", "https://opac.libnet.pref.okayama.jp/licsxp-opac/WOpacMsgNewListToTifTilDetailAction.do?tilcod=2002222309566")</f>
        <v>https://opac.libnet.pref.okayama.jp/licsxp-opac/WOpacMsgNewListToTifTilDetailAction.do?tilcod=2002222309566</v>
      </c>
    </row>
    <row r="2294" spans="1:9" x14ac:dyDescent="0.4">
      <c r="A2294" t="str">
        <f>"啓明学報"</f>
        <v>啓明学報</v>
      </c>
      <c r="B2294" s="1" t="str">
        <f t="shared" si="130"/>
        <v>啓明学報</v>
      </c>
      <c r="C2294" t="str">
        <f>"ケイメイ　ガクホウ"</f>
        <v>ケイメイ　ガクホウ</v>
      </c>
      <c r="D2294" t="str">
        <f>"児島市味野中学校啓明会"</f>
        <v>児島市味野中学校啓明会</v>
      </c>
      <c r="E2294" t="str">
        <f>"コジマシアジノチュウガッコウケイメイカイ"</f>
        <v>コジマシアジノチュウガッコウケイメイカイ</v>
      </c>
      <c r="F2294" t="str">
        <f>"児島"</f>
        <v>児島</v>
      </c>
      <c r="G2294" t="str">
        <f>"頻度不明"</f>
        <v>頻度不明</v>
      </c>
      <c r="H2294" t="str">
        <f>"2002222323547"</f>
        <v>2002222323547</v>
      </c>
      <c r="I2294" t="str">
        <f>HYPERLINK("#", "https://opac.libnet.pref.okayama.jp/licsxp-opac/WOpacMsgNewListToTifTilDetailAction.do?tilcod=2002222323547")</f>
        <v>https://opac.libnet.pref.okayama.jp/licsxp-opac/WOpacMsgNewListToTifTilDetailAction.do?tilcod=2002222323547</v>
      </c>
    </row>
    <row r="2295" spans="1:9" x14ac:dyDescent="0.4">
      <c r="A2295" t="str">
        <f>"K NEWS(Ｋニュース)"</f>
        <v>K NEWS(Ｋニュース)</v>
      </c>
      <c r="B2295" s="1" t="str">
        <f t="shared" si="130"/>
        <v>K NEWS(Ｋニュース)</v>
      </c>
      <c r="C2295" t="str">
        <f>"ケー ニュース"</f>
        <v>ケー ニュース</v>
      </c>
      <c r="D2295" t="str">
        <f>"倉敷中央病院"</f>
        <v>倉敷中央病院</v>
      </c>
      <c r="E2295" t="str">
        <f>"クラシキ チュウオウ ビョウイン"</f>
        <v>クラシキ チュウオウ ビョウイン</v>
      </c>
      <c r="F2295" t="str">
        <f>"倉敷"</f>
        <v>倉敷</v>
      </c>
      <c r="G2295" t="str">
        <f>"頻度不明"</f>
        <v>頻度不明</v>
      </c>
      <c r="H2295" t="str">
        <f>"2002222286001"</f>
        <v>2002222286001</v>
      </c>
      <c r="I2295" t="str">
        <f>HYPERLINK("#", "https://opac.libnet.pref.okayama.jp/licsxp-opac/WOpacMsgNewListToTifTilDetailAction.do?tilcod=2002222286001")</f>
        <v>https://opac.libnet.pref.okayama.jp/licsxp-opac/WOpacMsgNewListToTifTilDetailAction.do?tilcod=2002222286001</v>
      </c>
    </row>
    <row r="2296" spans="1:9" x14ac:dyDescent="0.4">
      <c r="A2296" t="str">
        <f>"KETHY"</f>
        <v>KETHY</v>
      </c>
      <c r="B2296" s="1" t="str">
        <f t="shared" si="130"/>
        <v>KETHY</v>
      </c>
      <c r="C2296" t="str">
        <f>"ケーエーティーエッチワイ"</f>
        <v>ケーエーティーエッチワイ</v>
      </c>
      <c r="D2296" t="str">
        <f>"[出版者不明]"</f>
        <v>[出版者不明]</v>
      </c>
      <c r="E2296" t="str">
        <f>"シュッパンシャ フメイ"</f>
        <v>シュッパンシャ フメイ</v>
      </c>
      <c r="F2296" t="str">
        <f>""</f>
        <v/>
      </c>
      <c r="G2296" t="str">
        <f>"頻度不明"</f>
        <v>頻度不明</v>
      </c>
      <c r="H2296" t="str">
        <f>"2002222289953"</f>
        <v>2002222289953</v>
      </c>
      <c r="I2296" t="str">
        <f>HYPERLINK("#", "https://opac.libnet.pref.okayama.jp/licsxp-opac/WOpacMsgNewListToTifTilDetailAction.do?tilcod=2002222289953")</f>
        <v>https://opac.libnet.pref.okayama.jp/licsxp-opac/WOpacMsgNewListToTifTilDetailAction.do?tilcod=2002222289953</v>
      </c>
    </row>
    <row r="2297" spans="1:9" x14ac:dyDescent="0.4">
      <c r="A2297" t="str">
        <f>"ＫＬＫＫ　ＭＮＬ"</f>
        <v>ＫＬＫＫ　ＭＮＬ</v>
      </c>
      <c r="B2297" s="1" t="str">
        <f t="shared" si="130"/>
        <v>ＫＬＫＫ　ＭＮＬ</v>
      </c>
      <c r="C2297" t="str">
        <f>"ケーエルケーケー　エムエヌエル"</f>
        <v>ケーエルケーケー　エムエヌエル</v>
      </c>
      <c r="D2297" t="str">
        <f>"カバヤ・リーフ株式会社"</f>
        <v>カバヤ・リーフ株式会社</v>
      </c>
      <c r="E2297" t="str">
        <f>"カバラリーフカブシキガイシャ"</f>
        <v>カバラリーフカブシキガイシャ</v>
      </c>
      <c r="F2297" t="str">
        <f>""</f>
        <v/>
      </c>
      <c r="G2297" t="str">
        <f>"頻度不明"</f>
        <v>頻度不明</v>
      </c>
      <c r="H2297" t="str">
        <f>"2002222283023"</f>
        <v>2002222283023</v>
      </c>
      <c r="I2297" t="str">
        <f>HYPERLINK("#", "https://opac.libnet.pref.okayama.jp/licsxp-opac/WOpacMsgNewListToTifTilDetailAction.do?tilcod=2002222283023")</f>
        <v>https://opac.libnet.pref.okayama.jp/licsxp-opac/WOpacMsgNewListToTifTilDetailAction.do?tilcod=2002222283023</v>
      </c>
    </row>
    <row r="2298" spans="1:9" x14ac:dyDescent="0.4">
      <c r="A2298" t="str">
        <f>"劇ぷれす"</f>
        <v>劇ぷれす</v>
      </c>
      <c r="B2298" s="1" t="str">
        <f t="shared" si="130"/>
        <v>劇ぷれす</v>
      </c>
      <c r="C2298" t="str">
        <f>"ゲキ　プレス"</f>
        <v>ゲキ　プレス</v>
      </c>
      <c r="D2298" t="str">
        <f>"アートファーム"</f>
        <v>アートファーム</v>
      </c>
      <c r="E2298" t="str">
        <f>"アートファーム"</f>
        <v>アートファーム</v>
      </c>
      <c r="F2298" t="str">
        <f>"岡山"</f>
        <v>岡山</v>
      </c>
      <c r="G2298" t="str">
        <f>"季刊"</f>
        <v>季刊</v>
      </c>
      <c r="H2298" t="str">
        <f>"2002222291341"</f>
        <v>2002222291341</v>
      </c>
      <c r="I2298" t="str">
        <f>HYPERLINK("#", "https://opac.libnet.pref.okayama.jp/licsxp-opac/WOpacMsgNewListToTifTilDetailAction.do?tilcod=2002222291341")</f>
        <v>https://opac.libnet.pref.okayama.jp/licsxp-opac/WOpacMsgNewListToTifTilDetailAction.do?tilcod=2002222291341</v>
      </c>
    </row>
    <row r="2299" spans="1:9" x14ac:dyDescent="0.4">
      <c r="A2299" t="str">
        <f>"月刊イーノ；ｉｎｏ（イーノ）"</f>
        <v>月刊イーノ；ｉｎｏ（イーノ）</v>
      </c>
      <c r="B2299" s="1" t="str">
        <f t="shared" si="130"/>
        <v>月刊イーノ；ｉｎｏ（イーノ）</v>
      </c>
      <c r="C2299" t="str">
        <f>"ゲッカン　イーノ＊イーノ"</f>
        <v>ゲッカン　イーノ＊イーノ</v>
      </c>
      <c r="D2299" t="str">
        <f>"ＫＧ情報"</f>
        <v>ＫＧ情報</v>
      </c>
      <c r="E2299" t="str">
        <f>"ケージージョウホウ"</f>
        <v>ケージージョウホウ</v>
      </c>
      <c r="F2299" t="str">
        <f>"岡山"</f>
        <v>岡山</v>
      </c>
      <c r="G2299" t="str">
        <f>"月刊"</f>
        <v>月刊</v>
      </c>
      <c r="H2299" t="str">
        <f>"2002222300307"</f>
        <v>2002222300307</v>
      </c>
      <c r="I2299" t="str">
        <f>HYPERLINK("#", "https://opac.libnet.pref.okayama.jp/licsxp-opac/WOpacMsgNewListToTifTilDetailAction.do?tilcod=2002222300307")</f>
        <v>https://opac.libnet.pref.okayama.jp/licsxp-opac/WOpacMsgNewListToTifTilDetailAction.do?tilcod=2002222300307</v>
      </c>
    </row>
    <row r="2300" spans="1:9" x14ac:dyDescent="0.4">
      <c r="A2300" t="str">
        <f>"月刊岡山"</f>
        <v>月刊岡山</v>
      </c>
      <c r="B2300" s="1" t="str">
        <f t="shared" si="130"/>
        <v>月刊岡山</v>
      </c>
      <c r="C2300" t="str">
        <f>"ゲッカン オカヤマ"</f>
        <v>ゲッカン オカヤマ</v>
      </c>
      <c r="D2300" t="str">
        <f>"月刊岡山"</f>
        <v>月刊岡山</v>
      </c>
      <c r="E2300" t="str">
        <f>"ゲッカン オカヤマ"</f>
        <v>ゲッカン オカヤマ</v>
      </c>
      <c r="F2300" t="str">
        <f>"岡山"</f>
        <v>岡山</v>
      </c>
      <c r="G2300" t="str">
        <f>"月刊"</f>
        <v>月刊</v>
      </c>
      <c r="H2300" t="str">
        <f>"2002222291351"</f>
        <v>2002222291351</v>
      </c>
      <c r="I2300" t="str">
        <f>HYPERLINK("#", "https://opac.libnet.pref.okayama.jp/licsxp-opac/WOpacMsgNewListToTifTilDetailAction.do?tilcod=2002222291351")</f>
        <v>https://opac.libnet.pref.okayama.jp/licsxp-opac/WOpacMsgNewListToTifTilDetailAction.do?tilcod=2002222291351</v>
      </c>
    </row>
    <row r="2301" spans="1:9" x14ac:dyDescent="0.4">
      <c r="A2301" t="str">
        <f>"月刊おかやま"</f>
        <v>月刊おかやま</v>
      </c>
      <c r="B2301" s="1" t="str">
        <f t="shared" si="130"/>
        <v>月刊おかやま</v>
      </c>
      <c r="C2301" t="str">
        <f>"ゲッカン　オカヤマ"</f>
        <v>ゲッカン　オカヤマ</v>
      </c>
      <c r="D2301" t="str">
        <f>"月刊おかやま社"</f>
        <v>月刊おかやま社</v>
      </c>
      <c r="E2301" t="str">
        <f>"ゲッカンオカヤマシャ"</f>
        <v>ゲッカンオカヤマシャ</v>
      </c>
      <c r="F2301" t="str">
        <f>"岡山"</f>
        <v>岡山</v>
      </c>
      <c r="G2301" t="str">
        <f>"月刊"</f>
        <v>月刊</v>
      </c>
      <c r="H2301" t="str">
        <f>"2002222280303"</f>
        <v>2002222280303</v>
      </c>
      <c r="I2301" t="str">
        <f>HYPERLINK("#", "https://opac.libnet.pref.okayama.jp/licsxp-opac/WOpacMsgNewListToTifTilDetailAction.do?tilcod=2002222280303")</f>
        <v>https://opac.libnet.pref.okayama.jp/licsxp-opac/WOpacMsgNewListToTifTilDetailAction.do?tilcod=2002222280303</v>
      </c>
    </row>
    <row r="2302" spans="1:9" x14ac:dyDescent="0.4">
      <c r="A2302" t="str">
        <f>"月刊をかやま"</f>
        <v>月刊をかやま</v>
      </c>
      <c r="B2302" s="1" t="str">
        <f t="shared" si="130"/>
        <v>月刊をかやま</v>
      </c>
      <c r="C2302" t="str">
        <f>"ゲッカン　オカヤマ"</f>
        <v>ゲッカン　オカヤマ</v>
      </c>
      <c r="D2302" t="str">
        <f>"合同新聞社"</f>
        <v>合同新聞社</v>
      </c>
      <c r="E2302" t="str">
        <f>"ゴウドウ シンブンシャ"</f>
        <v>ゴウドウ シンブンシャ</v>
      </c>
      <c r="F2302" t="str">
        <f>""</f>
        <v/>
      </c>
      <c r="G2302" t="str">
        <f>"頻度不明"</f>
        <v>頻度不明</v>
      </c>
      <c r="H2302" t="str">
        <f>"2002222280313"</f>
        <v>2002222280313</v>
      </c>
      <c r="I2302" t="str">
        <f>HYPERLINK("#", "https://opac.libnet.pref.okayama.jp/licsxp-opac/WOpacMsgNewListToTifTilDetailAction.do?tilcod=2002222280313")</f>
        <v>https://opac.libnet.pref.okayama.jp/licsxp-opac/WOpacMsgNewListToTifTilDetailAction.do?tilcod=2002222280313</v>
      </c>
    </row>
    <row r="2303" spans="1:9" x14ac:dyDescent="0.4">
      <c r="A2303" t="str">
        <f>"月刊Ｑ（キュー）"</f>
        <v>月刊Ｑ（キュー）</v>
      </c>
      <c r="B2303" s="1" t="str">
        <f t="shared" si="130"/>
        <v>月刊Ｑ（キュー）</v>
      </c>
      <c r="C2303" t="str">
        <f>"ゲッカン　キュー"</f>
        <v>ゲッカン　キュー</v>
      </c>
      <c r="D2303" t="str">
        <f>"Ｑくん工房"</f>
        <v>Ｑくん工房</v>
      </c>
      <c r="E2303" t="str">
        <f>"キュークンコウボウ"</f>
        <v>キュークンコウボウ</v>
      </c>
      <c r="F2303" t="str">
        <f>"岡山"</f>
        <v>岡山</v>
      </c>
      <c r="G2303" t="str">
        <f>"月刊"</f>
        <v>月刊</v>
      </c>
      <c r="H2303" t="str">
        <f>"2002222289963"</f>
        <v>2002222289963</v>
      </c>
      <c r="I2303" t="str">
        <f>HYPERLINK("#", "https://opac.libnet.pref.okayama.jp/licsxp-opac/WOpacMsgNewListToTifTilDetailAction.do?tilcod=2002222289963")</f>
        <v>https://opac.libnet.pref.okayama.jp/licsxp-opac/WOpacMsgNewListToTifTilDetailAction.do?tilcod=2002222289963</v>
      </c>
    </row>
    <row r="2304" spans="1:9" x14ac:dyDescent="0.4">
      <c r="A2304" t="str">
        <f>"月刊Ｑ（キュー） テスト版"</f>
        <v>月刊Ｑ（キュー） テスト版</v>
      </c>
      <c r="B2304" s="1" t="str">
        <f t="shared" si="130"/>
        <v>月刊Ｑ（キュー） テスト版</v>
      </c>
      <c r="C2304" t="str">
        <f>"ゲッカン キュー テスト バン"</f>
        <v>ゲッカン キュー テスト バン</v>
      </c>
      <c r="D2304" t="str">
        <f>"Ｑくん工房"</f>
        <v>Ｑくん工房</v>
      </c>
      <c r="E2304" t="str">
        <f>"キュークンコウボウ"</f>
        <v>キュークンコウボウ</v>
      </c>
      <c r="F2304" t="str">
        <f>"岡山"</f>
        <v>岡山</v>
      </c>
      <c r="G2304" t="str">
        <f>"その他"</f>
        <v>その他</v>
      </c>
      <c r="H2304" t="str">
        <f>"2002222343974"</f>
        <v>2002222343974</v>
      </c>
      <c r="I2304" t="str">
        <f>HYPERLINK("#", "https://opac.libnet.pref.okayama.jp/licsxp-opac/WOpacMsgNewListToTifTilDetailAction.do?tilcod=2002222343974")</f>
        <v>https://opac.libnet.pref.okayama.jp/licsxp-opac/WOpacMsgNewListToTifTilDetailAction.do?tilcod=2002222343974</v>
      </c>
    </row>
    <row r="2305" spans="1:9" x14ac:dyDescent="0.4">
      <c r="A2305" t="str">
        <f>"月刊Ｑ（キュー）別刷"</f>
        <v>月刊Ｑ（キュー）別刷</v>
      </c>
      <c r="B2305" s="1" t="str">
        <f t="shared" si="130"/>
        <v>月刊Ｑ（キュー）別刷</v>
      </c>
      <c r="C2305" t="str">
        <f>"ゲッカン キュー ベツズリ"</f>
        <v>ゲッカン キュー ベツズリ</v>
      </c>
      <c r="D2305" t="str">
        <f>"Ｑくん工房"</f>
        <v>Ｑくん工房</v>
      </c>
      <c r="E2305" t="str">
        <f>"キュークンコウボウ"</f>
        <v>キュークンコウボウ</v>
      </c>
      <c r="F2305" t="str">
        <f>"岡山"</f>
        <v>岡山</v>
      </c>
      <c r="G2305" t="str">
        <f>"月刊"</f>
        <v>月刊</v>
      </c>
      <c r="H2305" t="str">
        <f>"2002222343975"</f>
        <v>2002222343975</v>
      </c>
      <c r="I2305" t="str">
        <f>HYPERLINK("#", "https://opac.libnet.pref.okayama.jp/licsxp-opac/WOpacMsgNewListToTifTilDetailAction.do?tilcod=2002222343975")</f>
        <v>https://opac.libnet.pref.okayama.jp/licsxp-opac/WOpacMsgNewListToTifTilDetailAction.do?tilcod=2002222343975</v>
      </c>
    </row>
    <row r="2306" spans="1:9" x14ac:dyDescent="0.4">
      <c r="A2306" t="str">
        <f>"月刊倉敷"</f>
        <v>月刊倉敷</v>
      </c>
      <c r="B2306" s="1" t="str">
        <f t="shared" si="130"/>
        <v>月刊倉敷</v>
      </c>
      <c r="C2306" t="str">
        <f>"ゲッカン　クラシキ"</f>
        <v>ゲッカン　クラシキ</v>
      </c>
      <c r="D2306" t="str">
        <f>"西日本評論社"</f>
        <v>西日本評論社</v>
      </c>
      <c r="E2306" t="str">
        <f>"ニシニホンヒョウロンシャ"</f>
        <v>ニシニホンヒョウロンシャ</v>
      </c>
      <c r="F2306" t="str">
        <f>"倉敷"</f>
        <v>倉敷</v>
      </c>
      <c r="G2306" t="str">
        <f>"月刊"</f>
        <v>月刊</v>
      </c>
      <c r="H2306" t="str">
        <f>"2002222301522"</f>
        <v>2002222301522</v>
      </c>
      <c r="I2306" t="str">
        <f>HYPERLINK("#", "https://opac.libnet.pref.okayama.jp/licsxp-opac/WOpacMsgNewListToTifTilDetailAction.do?tilcod=2002222301522")</f>
        <v>https://opac.libnet.pref.okayama.jp/licsxp-opac/WOpacMsgNewListToTifTilDetailAction.do?tilcod=2002222301522</v>
      </c>
    </row>
    <row r="2307" spans="1:9" x14ac:dyDescent="0.4">
      <c r="A2307" t="str">
        <f>"月刊山陽"</f>
        <v>月刊山陽</v>
      </c>
      <c r="B2307" s="1" t="str">
        <f t="shared" si="130"/>
        <v>月刊山陽</v>
      </c>
      <c r="C2307" t="str">
        <f>"ゲッカン　サンヨウ"</f>
        <v>ゲッカン　サンヨウ</v>
      </c>
      <c r="D2307" t="str">
        <f>"月刊山陽社"</f>
        <v>月刊山陽社</v>
      </c>
      <c r="E2307" t="str">
        <f>"ゲッカンサンヨウシャ"</f>
        <v>ゲッカンサンヨウシャ</v>
      </c>
      <c r="F2307" t="str">
        <f>""</f>
        <v/>
      </c>
      <c r="G2307" t="str">
        <f>"頻度不明"</f>
        <v>頻度不明</v>
      </c>
      <c r="H2307" t="str">
        <f>"2002222280333"</f>
        <v>2002222280333</v>
      </c>
      <c r="I2307" t="str">
        <f>HYPERLINK("#", "https://opac.libnet.pref.okayama.jp/licsxp-opac/WOpacMsgNewListToTifTilDetailAction.do?tilcod=2002222280333")</f>
        <v>https://opac.libnet.pref.okayama.jp/licsxp-opac/WOpacMsgNewListToTifTilDetailAction.do?tilcod=2002222280333</v>
      </c>
    </row>
    <row r="2308" spans="1:9" x14ac:dyDescent="0.4">
      <c r="A2308" t="str">
        <f>"月刊情報くらしきDM（ドリームマインド）"</f>
        <v>月刊情報くらしきDM（ドリームマインド）</v>
      </c>
      <c r="B2308" s="1" t="str">
        <f t="shared" ref="B2308:B2371" si="132">HYPERLINK("#", A2308)</f>
        <v>月刊情報くらしきDM（ドリームマインド）</v>
      </c>
      <c r="C2308" t="str">
        <f>"ゲッカン ジョウホウ クラシキ ドリームマインド"</f>
        <v>ゲッカン ジョウホウ クラシキ ドリームマインド</v>
      </c>
      <c r="D2308" t="str">
        <f>"DM企画室"</f>
        <v>DM企画室</v>
      </c>
      <c r="E2308" t="str">
        <f>"ドリームマインド キカクシツ"</f>
        <v>ドリームマインド キカクシツ</v>
      </c>
      <c r="F2308" t="str">
        <f>"岡山"</f>
        <v>岡山</v>
      </c>
      <c r="G2308" t="str">
        <f>"頻度不明"</f>
        <v>頻度不明</v>
      </c>
      <c r="H2308" t="str">
        <f>"2002222338790"</f>
        <v>2002222338790</v>
      </c>
      <c r="I2308" t="str">
        <f>HYPERLINK("#", "https://opac.libnet.pref.okayama.jp/licsxp-opac/WOpacMsgNewListToTifTilDetailAction.do?tilcod=2002222338790")</f>
        <v>https://opac.libnet.pref.okayama.jp/licsxp-opac/WOpacMsgNewListToTifTilDetailAction.do?tilcod=2002222338790</v>
      </c>
    </row>
    <row r="2309" spans="1:9" x14ac:dyDescent="0.4">
      <c r="A2309" t="str">
        <f>"月刊信用速報　岡山県版"</f>
        <v>月刊信用速報　岡山県版</v>
      </c>
      <c r="B2309" s="1" t="str">
        <f t="shared" si="132"/>
        <v>月刊信用速報　岡山県版</v>
      </c>
      <c r="C2309" t="str">
        <f>"ゲッカン　シンヨウ　ソクホウ　オカヤマケン　バン"</f>
        <v>ゲッカン　シンヨウ　ソクホウ　オカヤマケン　バン</v>
      </c>
      <c r="D2309" t="str">
        <f>"東京商工リサーチ岡山支社"</f>
        <v>東京商工リサーチ岡山支社</v>
      </c>
      <c r="E2309" t="str">
        <f>"トウキョウ ショウコウ リサーチ オカヤマ シシャ"</f>
        <v>トウキョウ ショウコウ リサーチ オカヤマ シシャ</v>
      </c>
      <c r="F2309" t="str">
        <f>"岡山"</f>
        <v>岡山</v>
      </c>
      <c r="G2309" t="str">
        <f>"月刊"</f>
        <v>月刊</v>
      </c>
      <c r="H2309" t="str">
        <f>"2002222302435"</f>
        <v>2002222302435</v>
      </c>
      <c r="I2309" t="str">
        <f>HYPERLINK("#", "https://opac.libnet.pref.okayama.jp/licsxp-opac/WOpacMsgNewListToTifTilDetailAction.do?tilcod=2002222302435")</f>
        <v>https://opac.libnet.pref.okayama.jp/licsxp-opac/WOpacMsgNewListToTifTilDetailAction.do?tilcod=2002222302435</v>
      </c>
    </row>
    <row r="2310" spans="1:9" x14ac:dyDescent="0.4">
      <c r="A2310" t="str">
        <f>"月刊精思"</f>
        <v>月刊精思</v>
      </c>
      <c r="B2310" s="1" t="str">
        <f t="shared" si="132"/>
        <v>月刊精思</v>
      </c>
      <c r="C2310" t="str">
        <f>"ゲッカン セイシ"</f>
        <v>ゲッカン セイシ</v>
      </c>
      <c r="D2310" t="str">
        <f>"岡山県立倉敷精思高等学校"</f>
        <v>岡山県立倉敷精思高等学校</v>
      </c>
      <c r="E2310" t="str">
        <f>"オカヤマケンリツ クラシキ セイシ コウトウ ガッコウ"</f>
        <v>オカヤマケンリツ クラシキ セイシ コウトウ ガッコウ</v>
      </c>
      <c r="F2310" t="str">
        <f>"倉敷"</f>
        <v>倉敷</v>
      </c>
      <c r="G2310" t="str">
        <f>"月刊"</f>
        <v>月刊</v>
      </c>
      <c r="H2310" t="str">
        <f>"2002222317208"</f>
        <v>2002222317208</v>
      </c>
      <c r="I2310" t="str">
        <f>HYPERLINK("#", "https://opac.libnet.pref.okayama.jp/licsxp-opac/WOpacMsgNewListToTifTilDetailAction.do?tilcod=2002222317208")</f>
        <v>https://opac.libnet.pref.okayama.jp/licsxp-opac/WOpacMsgNewListToTifTilDetailAction.do?tilcod=2002222317208</v>
      </c>
    </row>
    <row r="2311" spans="1:9" x14ac:dyDescent="0.4">
      <c r="A2311" t="str">
        <f>"月刊せとうち"</f>
        <v>月刊せとうち</v>
      </c>
      <c r="B2311" s="1" t="str">
        <f t="shared" si="132"/>
        <v>月刊せとうち</v>
      </c>
      <c r="C2311" t="str">
        <f>"ゲッカン　セトウチ"</f>
        <v>ゲッカン　セトウチ</v>
      </c>
      <c r="D2311" t="str">
        <f>"瀬戸内海ニュース社"</f>
        <v>瀬戸内海ニュース社</v>
      </c>
      <c r="E2311" t="str">
        <f>"セトナイカイニュースシャ"</f>
        <v>セトナイカイニュースシャ</v>
      </c>
      <c r="F2311" t="str">
        <f>""</f>
        <v/>
      </c>
      <c r="G2311" t="str">
        <f>"頻度不明"</f>
        <v>頻度不明</v>
      </c>
      <c r="H2311" t="str">
        <f>"2002222280343"</f>
        <v>2002222280343</v>
      </c>
      <c r="I2311" t="str">
        <f>HYPERLINK("#", "https://opac.libnet.pref.okayama.jp/licsxp-opac/WOpacMsgNewListToTifTilDetailAction.do?tilcod=2002222280343")</f>
        <v>https://opac.libnet.pref.okayama.jp/licsxp-opac/WOpacMsgNewListToTifTilDetailAction.do?tilcod=2002222280343</v>
      </c>
    </row>
    <row r="2312" spans="1:9" x14ac:dyDescent="0.4">
      <c r="A2312" t="str">
        <f>"月刊ぞく"</f>
        <v>月刊ぞく</v>
      </c>
      <c r="B2312" s="1" t="str">
        <f t="shared" si="132"/>
        <v>月刊ぞく</v>
      </c>
      <c r="C2312" t="str">
        <f>"ゲッカン ゾク"</f>
        <v>ゲッカン ゾク</v>
      </c>
      <c r="D2312" t="str">
        <f>"ディブス"</f>
        <v>ディブス</v>
      </c>
      <c r="E2312" t="str">
        <f>"ディブス"</f>
        <v>ディブス</v>
      </c>
      <c r="F2312" t="str">
        <f>"岡山"</f>
        <v>岡山</v>
      </c>
      <c r="G2312" t="str">
        <f t="shared" ref="G2312:G2322" si="133">"月刊"</f>
        <v>月刊</v>
      </c>
      <c r="H2312" t="str">
        <f>"2002222334757"</f>
        <v>2002222334757</v>
      </c>
      <c r="I2312" t="str">
        <f>HYPERLINK("#", "https://opac.libnet.pref.okayama.jp/licsxp-opac/WOpacMsgNewListToTifTilDetailAction.do?tilcod=2002222334757")</f>
        <v>https://opac.libnet.pref.okayama.jp/licsxp-opac/WOpacMsgNewListToTifTilDetailAction.do?tilcod=2002222334757</v>
      </c>
    </row>
    <row r="2313" spans="1:9" x14ac:dyDescent="0.4">
      <c r="A2313" t="str">
        <f>"月刊ＤＱＮ！（月刊ドキュン）"</f>
        <v>月刊ＤＱＮ！（月刊ドキュン）</v>
      </c>
      <c r="B2313" s="1" t="str">
        <f t="shared" si="132"/>
        <v>月刊ＤＱＮ！（月刊ドキュン）</v>
      </c>
      <c r="C2313" t="str">
        <f>"ゲッカン　ドキュン"</f>
        <v>ゲッカン　ドキュン</v>
      </c>
      <c r="D2313" t="str">
        <f>"株式会社エムシーオー"</f>
        <v>株式会社エムシーオー</v>
      </c>
      <c r="E2313" t="str">
        <f>"カブシキガイシャエムシーオー"</f>
        <v>カブシキガイシャエムシーオー</v>
      </c>
      <c r="F2313" t="str">
        <f>"岡山"</f>
        <v>岡山</v>
      </c>
      <c r="G2313" t="str">
        <f t="shared" si="133"/>
        <v>月刊</v>
      </c>
      <c r="H2313" t="str">
        <f>"2002222328947"</f>
        <v>2002222328947</v>
      </c>
      <c r="I2313" t="str">
        <f>HYPERLINK("#", "https://opac.libnet.pref.okayama.jp/licsxp-opac/WOpacMsgNewListToTifTilDetailAction.do?tilcod=2002222328947")</f>
        <v>https://opac.libnet.pref.okayama.jp/licsxp-opac/WOpacMsgNewListToTifTilDetailAction.do?tilcod=2002222328947</v>
      </c>
    </row>
    <row r="2314" spans="1:9" x14ac:dyDescent="0.4">
      <c r="A2314" t="str">
        <f>"月刊どんぶら＊ＤＯＮＢＬＡ"</f>
        <v>月刊どんぶら＊ＤＯＮＢＬＡ</v>
      </c>
      <c r="B2314" s="1" t="str">
        <f t="shared" si="132"/>
        <v>月刊どんぶら＊ＤＯＮＢＬＡ</v>
      </c>
      <c r="C2314" t="str">
        <f>"ゲッカン　ドンブラ"</f>
        <v>ゲッカン　ドンブラ</v>
      </c>
      <c r="D2314" t="str">
        <f>"リショウ"</f>
        <v>リショウ</v>
      </c>
      <c r="E2314" t="str">
        <f>"リショウ"</f>
        <v>リショウ</v>
      </c>
      <c r="F2314" t="str">
        <f>"倉敷"</f>
        <v>倉敷</v>
      </c>
      <c r="G2314" t="str">
        <f t="shared" si="133"/>
        <v>月刊</v>
      </c>
      <c r="H2314" t="str">
        <f>"2002222282621"</f>
        <v>2002222282621</v>
      </c>
      <c r="I2314" t="str">
        <f>HYPERLINK("#", "https://opac.libnet.pref.okayama.jp/licsxp-opac/WOpacMsgNewListToTifTilDetailAction.do?tilcod=2002222282621")</f>
        <v>https://opac.libnet.pref.okayama.jp/licsxp-opac/WOpacMsgNewListToTifTilDetailAction.do?tilcod=2002222282621</v>
      </c>
    </row>
    <row r="2315" spans="1:9" x14ac:dyDescent="0.4">
      <c r="A2315" t="str">
        <f>"月刊農林水産統計資料"</f>
        <v>月刊農林水産統計資料</v>
      </c>
      <c r="B2315" s="1" t="str">
        <f t="shared" si="132"/>
        <v>月刊農林水産統計資料</v>
      </c>
      <c r="C2315" t="str">
        <f>"ゲッカン　ノウリン　スイサン　トウケイ　シリョウ"</f>
        <v>ゲッカン　ノウリン　スイサン　トウケイ　シリョウ</v>
      </c>
      <c r="D2315" t="str">
        <f>"岡山農林統計協会"</f>
        <v>岡山農林統計協会</v>
      </c>
      <c r="E2315" t="str">
        <f>"オカヤマノウリントウケイキョウカイ"</f>
        <v>オカヤマノウリントウケイキョウカイ</v>
      </c>
      <c r="F2315" t="str">
        <f>""</f>
        <v/>
      </c>
      <c r="G2315" t="str">
        <f t="shared" si="133"/>
        <v>月刊</v>
      </c>
      <c r="H2315" t="str">
        <f>"2002222280353"</f>
        <v>2002222280353</v>
      </c>
      <c r="I2315" t="str">
        <f>HYPERLINK("#", "https://opac.libnet.pref.okayama.jp/licsxp-opac/WOpacMsgNewListToTifTilDetailAction.do?tilcod=2002222280353")</f>
        <v>https://opac.libnet.pref.okayama.jp/licsxp-opac/WOpacMsgNewListToTifTilDetailAction.do?tilcod=2002222280353</v>
      </c>
    </row>
    <row r="2316" spans="1:9" x14ac:dyDescent="0.4">
      <c r="A2316" t="str">
        <f>"月刊はこべ"</f>
        <v>月刊はこべ</v>
      </c>
      <c r="B2316" s="1" t="str">
        <f t="shared" si="132"/>
        <v>月刊はこべ</v>
      </c>
      <c r="C2316" t="str">
        <f>"ゲッカン　ハコベ"</f>
        <v>ゲッカン　ハコベ</v>
      </c>
      <c r="D2316" t="str">
        <f>"月刊はこべ編集室"</f>
        <v>月刊はこべ編集室</v>
      </c>
      <c r="E2316" t="str">
        <f>"ゲッカンハコベヘンシュウシツ"</f>
        <v>ゲッカンハコベヘンシュウシツ</v>
      </c>
      <c r="F2316" t="str">
        <f>""</f>
        <v/>
      </c>
      <c r="G2316" t="str">
        <f t="shared" si="133"/>
        <v>月刊</v>
      </c>
      <c r="H2316" t="str">
        <f>"2002222292481"</f>
        <v>2002222292481</v>
      </c>
      <c r="I2316" t="str">
        <f>HYPERLINK("#", "https://opac.libnet.pref.okayama.jp/licsxp-opac/WOpacMsgNewListToTifTilDetailAction.do?tilcod=2002222292481")</f>
        <v>https://opac.libnet.pref.okayama.jp/licsxp-opac/WOpacMsgNewListToTifTilDetailAction.do?tilcod=2002222292481</v>
      </c>
    </row>
    <row r="2317" spans="1:9" x14ac:dyDescent="0.4">
      <c r="A2317" t="str">
        <f>"月刊プラザ岡山"</f>
        <v>月刊プラザ岡山</v>
      </c>
      <c r="B2317" s="1" t="str">
        <f t="shared" si="132"/>
        <v>月刊プラザ岡山</v>
      </c>
      <c r="C2317" t="str">
        <f>"ゲッカン　プラザ　オカヤマ"</f>
        <v>ゲッカン　プラザ　オカヤマ</v>
      </c>
      <c r="D2317" t="str">
        <f>"オークシード"</f>
        <v>オークシード</v>
      </c>
      <c r="E2317" t="str">
        <f>"オーク シード"</f>
        <v>オーク シード</v>
      </c>
      <c r="F2317" t="str">
        <f>"岡山"</f>
        <v>岡山</v>
      </c>
      <c r="G2317" t="str">
        <f t="shared" si="133"/>
        <v>月刊</v>
      </c>
      <c r="H2317" t="str">
        <f>"2002222291641"</f>
        <v>2002222291641</v>
      </c>
      <c r="I2317" t="str">
        <f>HYPERLINK("#", "https://opac.libnet.pref.okayama.jp/licsxp-opac/WOpacMsgNewListToTifTilDetailAction.do?tilcod=2002222291641")</f>
        <v>https://opac.libnet.pref.okayama.jp/licsxp-opac/WOpacMsgNewListToTifTilDetailAction.do?tilcod=2002222291641</v>
      </c>
    </row>
    <row r="2318" spans="1:9" x14ac:dyDescent="0.4">
      <c r="A2318" t="str">
        <f>"月刊Boat &amp; Boat (月刊ボートANDボート)"</f>
        <v>月刊Boat &amp; Boat (月刊ボートANDボート)</v>
      </c>
      <c r="B2318" s="1" t="str">
        <f t="shared" si="132"/>
        <v>月刊Boat &amp; Boat (月刊ボートANDボート)</v>
      </c>
      <c r="C2318" t="str">
        <f>"ゲッカン ボート アンド ボート"</f>
        <v>ゲッカン ボート アンド ボート</v>
      </c>
      <c r="D2318" t="str">
        <f>"福山平和出版"</f>
        <v>福山平和出版</v>
      </c>
      <c r="E2318" t="str">
        <f>"フクヤマ ヘイワ シュッパン"</f>
        <v>フクヤマ ヘイワ シュッパン</v>
      </c>
      <c r="F2318" t="str">
        <f>"福山"</f>
        <v>福山</v>
      </c>
      <c r="G2318" t="str">
        <f t="shared" si="133"/>
        <v>月刊</v>
      </c>
      <c r="H2318" t="str">
        <f>"2002222334286"</f>
        <v>2002222334286</v>
      </c>
      <c r="I2318" t="str">
        <f>HYPERLINK("#", "https://opac.libnet.pref.okayama.jp/licsxp-opac/WOpacMsgNewListToTifTilDetailAction.do?tilcod=2002222334286")</f>
        <v>https://opac.libnet.pref.okayama.jp/licsxp-opac/WOpacMsgNewListToTifTilDetailAction.do?tilcod=2002222334286</v>
      </c>
    </row>
    <row r="2319" spans="1:9" x14ac:dyDescent="0.4">
      <c r="A2319" t="str">
        <f>"月刊もぎたて"</f>
        <v>月刊もぎたて</v>
      </c>
      <c r="B2319" s="1" t="str">
        <f t="shared" si="132"/>
        <v>月刊もぎたて</v>
      </c>
      <c r="C2319" t="str">
        <f>"ゲッカン モギタテ"</f>
        <v>ゲッカン モギタテ</v>
      </c>
      <c r="D2319" t="str">
        <f>"ＮＨＫ岡山放送局"</f>
        <v>ＮＨＫ岡山放送局</v>
      </c>
      <c r="E2319" t="str">
        <f>"エヌエイチケー オカヤマ ホウソウキョク"</f>
        <v>エヌエイチケー オカヤマ ホウソウキョク</v>
      </c>
      <c r="F2319" t="str">
        <f>"岡山"</f>
        <v>岡山</v>
      </c>
      <c r="G2319" t="str">
        <f t="shared" si="133"/>
        <v>月刊</v>
      </c>
      <c r="H2319" t="str">
        <f>"2002222307446"</f>
        <v>2002222307446</v>
      </c>
      <c r="I2319" t="str">
        <f>HYPERLINK("#", "https://opac.libnet.pref.okayama.jp/licsxp-opac/WOpacMsgNewListToTifTilDetailAction.do?tilcod=2002222307446")</f>
        <v>https://opac.libnet.pref.okayama.jp/licsxp-opac/WOpacMsgNewListToTifTilDetailAction.do?tilcod=2002222307446</v>
      </c>
    </row>
    <row r="2320" spans="1:9" x14ac:dyDescent="0.4">
      <c r="A2320" t="str">
        <f>"月刊ＲＳＫ（アールエスケイ）"</f>
        <v>月刊ＲＳＫ（アールエスケイ）</v>
      </c>
      <c r="B2320" s="1" t="str">
        <f t="shared" si="132"/>
        <v>月刊ＲＳＫ（アールエスケイ）</v>
      </c>
      <c r="C2320" t="str">
        <f>"ゲッカン＊アールエスケイ"</f>
        <v>ゲッカン＊アールエスケイ</v>
      </c>
      <c r="D2320" t="str">
        <f>"山陽放送"</f>
        <v>山陽放送</v>
      </c>
      <c r="E2320" t="str">
        <f>"サンヨウ ホウソウ"</f>
        <v>サンヨウ ホウソウ</v>
      </c>
      <c r="F2320" t="str">
        <f>""</f>
        <v/>
      </c>
      <c r="G2320" t="str">
        <f t="shared" si="133"/>
        <v>月刊</v>
      </c>
      <c r="H2320" t="str">
        <f>"2002222287251"</f>
        <v>2002222287251</v>
      </c>
      <c r="I2320" t="str">
        <f>HYPERLINK("#", "https://opac.libnet.pref.okayama.jp/licsxp-opac/WOpacMsgNewListToTifTilDetailAction.do?tilcod=2002222287251")</f>
        <v>https://opac.libnet.pref.okayama.jp/licsxp-opac/WOpacMsgNewListToTifTilDetailAction.do?tilcod=2002222287251</v>
      </c>
    </row>
    <row r="2321" spans="1:9" x14ac:dyDescent="0.4">
      <c r="A2321" t="str">
        <f>"月刊ＡＭ（月刊エーエム）岡山版"</f>
        <v>月刊ＡＭ（月刊エーエム）岡山版</v>
      </c>
      <c r="B2321" s="1" t="str">
        <f t="shared" si="132"/>
        <v>月刊ＡＭ（月刊エーエム）岡山版</v>
      </c>
      <c r="C2321" t="str">
        <f>"ゲッカン＊エーエム　オカヤマバン"</f>
        <v>ゲッカン＊エーエム　オカヤマバン</v>
      </c>
      <c r="D2321" t="str">
        <f>"エイエム・全国共同住宅協会岡山県支部"</f>
        <v>エイエム・全国共同住宅協会岡山県支部</v>
      </c>
      <c r="E2321" t="str">
        <f>"エイエムゼンコクキョウドウジュウタクキョウカイオカヤマケンシブ"</f>
        <v>エイエムゼンコクキョウドウジュウタクキョウカイオカヤマケンシブ</v>
      </c>
      <c r="F2321" t="str">
        <f>"岡山"</f>
        <v>岡山</v>
      </c>
      <c r="G2321" t="str">
        <f t="shared" si="133"/>
        <v>月刊</v>
      </c>
      <c r="H2321" t="str">
        <f>"2002222300320"</f>
        <v>2002222300320</v>
      </c>
      <c r="I2321" t="str">
        <f>HYPERLINK("#", "https://opac.libnet.pref.okayama.jp/licsxp-opac/WOpacMsgNewListToTifTilDetailAction.do?tilcod=2002222300320")</f>
        <v>https://opac.libnet.pref.okayama.jp/licsxp-opac/WOpacMsgNewListToTifTilDetailAction.do?tilcod=2002222300320</v>
      </c>
    </row>
    <row r="2322" spans="1:9" x14ac:dyDescent="0.4">
      <c r="A2322" t="str">
        <f>"月報おかやま"</f>
        <v>月報おかやま</v>
      </c>
      <c r="B2322" s="1" t="str">
        <f t="shared" si="132"/>
        <v>月報おかやま</v>
      </c>
      <c r="C2322" t="str">
        <f>"ゲッポウ　オカヤマ"</f>
        <v>ゲッポウ　オカヤマ</v>
      </c>
      <c r="D2322" t="str">
        <f>"岡山公共職業安定所"</f>
        <v>岡山公共職業安定所</v>
      </c>
      <c r="E2322" t="str">
        <f>"オカヤマ コウキョウ ショクギョウ アンテイショ"</f>
        <v>オカヤマ コウキョウ ショクギョウ アンテイショ</v>
      </c>
      <c r="F2322" t="str">
        <f>""</f>
        <v/>
      </c>
      <c r="G2322" t="str">
        <f t="shared" si="133"/>
        <v>月刊</v>
      </c>
      <c r="H2322" t="str">
        <f>"2002222280363"</f>
        <v>2002222280363</v>
      </c>
      <c r="I2322" t="str">
        <f>HYPERLINK("#", "https://opac.libnet.pref.okayama.jp/licsxp-opac/WOpacMsgNewListToTifTilDetailAction.do?tilcod=2002222280363")</f>
        <v>https://opac.libnet.pref.okayama.jp/licsxp-opac/WOpacMsgNewListToTifTilDetailAction.do?tilcod=2002222280363</v>
      </c>
    </row>
    <row r="2323" spans="1:9" x14ac:dyDescent="0.4">
      <c r="A2323" t="str">
        <f>"月報水島"</f>
        <v>月報水島</v>
      </c>
      <c r="B2323" s="1" t="str">
        <f t="shared" si="132"/>
        <v>月報水島</v>
      </c>
      <c r="C2323" t="str">
        <f>"ゲッポウ　ミズシマ"</f>
        <v>ゲッポウ　ミズシマ</v>
      </c>
      <c r="D2323" t="str">
        <f>"水島公共職業安定所"</f>
        <v>水島公共職業安定所</v>
      </c>
      <c r="E2323" t="str">
        <f>"ミズシマコウキョウショクギョウアンテイジョ"</f>
        <v>ミズシマコウキョウショクギョウアンテイジョ</v>
      </c>
      <c r="F2323" t="str">
        <f>""</f>
        <v/>
      </c>
      <c r="G2323" t="str">
        <f>"頻度不明"</f>
        <v>頻度不明</v>
      </c>
      <c r="H2323" t="str">
        <f>"2002222280373"</f>
        <v>2002222280373</v>
      </c>
      <c r="I2323" t="str">
        <f>HYPERLINK("#", "https://opac.libnet.pref.okayama.jp/licsxp-opac/WOpacMsgNewListToTifTilDetailAction.do?tilcod=2002222280373")</f>
        <v>https://opac.libnet.pref.okayama.jp/licsxp-opac/WOpacMsgNewListToTifTilDetailAction.do?tilcod=2002222280373</v>
      </c>
    </row>
    <row r="2324" spans="1:9" x14ac:dyDescent="0.4">
      <c r="A2324" t="str">
        <f>"欅の杜塾通信"</f>
        <v>欅の杜塾通信</v>
      </c>
      <c r="B2324" s="1" t="str">
        <f t="shared" si="132"/>
        <v>欅の杜塾通信</v>
      </c>
      <c r="C2324" t="str">
        <f>"ケヤキ ノ モリ ジュク ツウシン "</f>
        <v xml:space="preserve">ケヤキ ノ モリ ジュク ツウシン </v>
      </c>
      <c r="D2324" t="str">
        <f>"欅の杜塾"</f>
        <v>欅の杜塾</v>
      </c>
      <c r="E2324" t="str">
        <f>"ケヤキ ノ モリ ジュク"</f>
        <v>ケヤキ ノ モリ ジュク</v>
      </c>
      <c r="F2324" t="str">
        <f>"井原"</f>
        <v>井原</v>
      </c>
      <c r="G2324" t="str">
        <f>"年２回刊"</f>
        <v>年２回刊</v>
      </c>
      <c r="H2324" t="str">
        <f>"2002222322370"</f>
        <v>2002222322370</v>
      </c>
      <c r="I2324" t="str">
        <f>HYPERLINK("#", "https://opac.libnet.pref.okayama.jp/licsxp-opac/WOpacMsgNewListToTifTilDetailAction.do?tilcod=2002222322370")</f>
        <v>https://opac.libnet.pref.okayama.jp/licsxp-opac/WOpacMsgNewListToTifTilDetailAction.do?tilcod=2002222322370</v>
      </c>
    </row>
    <row r="2325" spans="1:9" x14ac:dyDescent="0.4">
      <c r="A2325" t="str">
        <f>"建′ｓ　Ｃａｆｅ（けんずかふぇ）；みんなの建築士会"</f>
        <v>建′ｓ　Ｃａｆｅ（けんずかふぇ）；みんなの建築士会</v>
      </c>
      <c r="B2325" s="1" t="str">
        <f t="shared" si="132"/>
        <v>建′ｓ　Ｃａｆｅ（けんずかふぇ）；みんなの建築士会</v>
      </c>
      <c r="C2325" t="str">
        <f>"ケン　ズ　カフェ＊ミンナ　ノ　ケンチクシ　カイ"</f>
        <v>ケン　ズ　カフェ＊ミンナ　ノ　ケンチクシ　カイ</v>
      </c>
      <c r="D2325" t="str">
        <f>"岡山県建築士会"</f>
        <v>岡山県建築士会</v>
      </c>
      <c r="E2325" t="str">
        <f>"オカヤマケン ケンチクシカイ"</f>
        <v>オカヤマケン ケンチクシカイ</v>
      </c>
      <c r="F2325" t="str">
        <f>"岡山"</f>
        <v>岡山</v>
      </c>
      <c r="G2325" t="str">
        <f>"頻度不明"</f>
        <v>頻度不明</v>
      </c>
      <c r="H2325" t="str">
        <f>"2002222302395"</f>
        <v>2002222302395</v>
      </c>
      <c r="I2325" t="str">
        <f>HYPERLINK("#", "https://opac.libnet.pref.okayama.jp/licsxp-opac/WOpacMsgNewListToTifTilDetailAction.do?tilcod=2002222302395")</f>
        <v>https://opac.libnet.pref.okayama.jp/licsxp-opac/WOpacMsgNewListToTifTilDetailAction.do?tilcod=2002222302395</v>
      </c>
    </row>
    <row r="2326" spans="1:9" x14ac:dyDescent="0.4">
      <c r="A2326" t="str">
        <f>"県政レポート"</f>
        <v>県政レポート</v>
      </c>
      <c r="B2326" s="1" t="str">
        <f t="shared" si="132"/>
        <v>県政レポート</v>
      </c>
      <c r="C2326" t="str">
        <f>"ケン　セイ　レポート"</f>
        <v>ケン　セイ　レポート</v>
      </c>
      <c r="D2326" t="str">
        <f>"横田えつこ"</f>
        <v>横田えつこ</v>
      </c>
      <c r="E2326" t="str">
        <f>"ヨコタエツコ"</f>
        <v>ヨコタエツコ</v>
      </c>
      <c r="F2326" t="str">
        <f>"岡山"</f>
        <v>岡山</v>
      </c>
      <c r="G2326" t="str">
        <f>"頻度不明"</f>
        <v>頻度不明</v>
      </c>
      <c r="H2326" t="str">
        <f>"2002222302362"</f>
        <v>2002222302362</v>
      </c>
      <c r="I2326" t="str">
        <f>HYPERLINK("#", "https://opac.libnet.pref.okayama.jp/licsxp-opac/WOpacMsgNewListToTifTilDetailAction.do?tilcod=2002222302362")</f>
        <v>https://opac.libnet.pref.okayama.jp/licsxp-opac/WOpacMsgNewListToTifTilDetailAction.do?tilcod=2002222302362</v>
      </c>
    </row>
    <row r="2327" spans="1:9" x14ac:dyDescent="0.4">
      <c r="A2327" t="str">
        <f>"絃華"</f>
        <v>絃華</v>
      </c>
      <c r="B2327" s="1" t="str">
        <f t="shared" si="132"/>
        <v>絃華</v>
      </c>
      <c r="C2327" t="str">
        <f>"ゲンカ"</f>
        <v>ゲンカ</v>
      </c>
      <c r="D2327" t="str">
        <f>"絃華社"</f>
        <v>絃華社</v>
      </c>
      <c r="E2327" t="str">
        <f>"ゲンカシャ"</f>
        <v>ゲンカシャ</v>
      </c>
      <c r="F2327" t="str">
        <f>"岡山"</f>
        <v>岡山</v>
      </c>
      <c r="G2327" t="str">
        <f>"頻度不明"</f>
        <v>頻度不明</v>
      </c>
      <c r="H2327" t="str">
        <f>"2002222340490"</f>
        <v>2002222340490</v>
      </c>
      <c r="I2327" t="str">
        <f>HYPERLINK("#", "https://opac.libnet.pref.okayama.jp/licsxp-opac/WOpacMsgNewListToTifTilDetailAction.do?tilcod=2002222340490")</f>
        <v>https://opac.libnet.pref.okayama.jp/licsxp-opac/WOpacMsgNewListToTifTilDetailAction.do?tilcod=2002222340490</v>
      </c>
    </row>
    <row r="2328" spans="1:9" x14ac:dyDescent="0.4">
      <c r="A2328" t="str">
        <f>"げんきいっぱい；川上郡子どもセンターＮＥＷＳ"</f>
        <v>げんきいっぱい；川上郡子どもセンターＮＥＷＳ</v>
      </c>
      <c r="B2328" s="1" t="str">
        <f t="shared" si="132"/>
        <v>げんきいっぱい；川上郡子どもセンターＮＥＷＳ</v>
      </c>
      <c r="C2328" t="str">
        <f>"ゲンキ　イッパイ　カワカミグン　コドモ　センター　ニュース"</f>
        <v>ゲンキ　イッパイ　カワカミグン　コドモ　センター　ニュース</v>
      </c>
      <c r="D2328" t="str">
        <f>"川上郡子どもセンター事務局"</f>
        <v>川上郡子どもセンター事務局</v>
      </c>
      <c r="E2328" t="str">
        <f>"カワカミグンコドモセンタージムキョク"</f>
        <v>カワカミグンコドモセンタージムキョク</v>
      </c>
      <c r="F2328" t="str">
        <f>"成羽町（川上郡）"</f>
        <v>成羽町（川上郡）</v>
      </c>
      <c r="G2328" t="str">
        <f>"頻度不明"</f>
        <v>頻度不明</v>
      </c>
      <c r="H2328" t="str">
        <f>"2002222285511"</f>
        <v>2002222285511</v>
      </c>
      <c r="I2328" t="str">
        <f>HYPERLINK("#", "https://opac.libnet.pref.okayama.jp/licsxp-opac/WOpacMsgNewListToTifTilDetailAction.do?tilcod=2002222285511")</f>
        <v>https://opac.libnet.pref.okayama.jp/licsxp-opac/WOpacMsgNewListToTifTilDetailAction.do?tilcod=2002222285511</v>
      </c>
    </row>
    <row r="2329" spans="1:9" x14ac:dyDescent="0.4">
      <c r="A2329" t="str">
        <f>"元気じゃ農！；農林水産情報おかやま"</f>
        <v>元気じゃ農！；農林水産情報おかやま</v>
      </c>
      <c r="B2329" s="1" t="str">
        <f t="shared" si="132"/>
        <v>元気じゃ農！；農林水産情報おかやま</v>
      </c>
      <c r="C2329" t="str">
        <f>"ゲンキジャノウ　ノウリン　スイサン　ジョウホウ　オカヤマ"</f>
        <v>ゲンキジャノウ　ノウリン　スイサン　ジョウホウ　オカヤマ</v>
      </c>
      <c r="D2329" t="str">
        <f>"岡山県農林水産部農政企画課"</f>
        <v>岡山県農林水産部農政企画課</v>
      </c>
      <c r="E2329" t="str">
        <f>"オカヤマケン ノウリン スイサンブ ノウセイ キカクカ"</f>
        <v>オカヤマケン ノウリン スイサンブ ノウセイ キカクカ</v>
      </c>
      <c r="F2329" t="str">
        <f>"岡山"</f>
        <v>岡山</v>
      </c>
      <c r="G2329" t="str">
        <f>"不定期刊"</f>
        <v>不定期刊</v>
      </c>
      <c r="H2329" t="str">
        <f>"2002222291361"</f>
        <v>2002222291361</v>
      </c>
      <c r="I2329" t="str">
        <f>HYPERLINK("#", "https://opac.libnet.pref.okayama.jp/licsxp-opac/WOpacMsgNewListToTifTilDetailAction.do?tilcod=2002222291361")</f>
        <v>https://opac.libnet.pref.okayama.jp/licsxp-opac/WOpacMsgNewListToTifTilDetailAction.do?tilcod=2002222291361</v>
      </c>
    </row>
    <row r="2330" spans="1:9" x14ac:dyDescent="0.4">
      <c r="A2330" t="str">
        <f>"研究紀要"</f>
        <v>研究紀要</v>
      </c>
      <c r="B2330" s="1" t="str">
        <f t="shared" si="132"/>
        <v>研究紀要</v>
      </c>
      <c r="C2330" t="str">
        <f>"ケンキュウ　ヨウラン"</f>
        <v>ケンキュウ　ヨウラン</v>
      </c>
      <c r="D2330" t="str">
        <f>"岡山大学教育学部附属特別支援学校"</f>
        <v>岡山大学教育学部附属特別支援学校</v>
      </c>
      <c r="E2330" t="str">
        <f>"オカヤマダイガクキョウイクガクブフゾクトクベツシエンガッコウ"</f>
        <v>オカヤマダイガクキョウイクガクブフゾクトクベツシエンガッコウ</v>
      </c>
      <c r="F2330" t="str">
        <f>"岡山"</f>
        <v>岡山</v>
      </c>
      <c r="G2330" t="str">
        <f>"３年１回刊"</f>
        <v>３年１回刊</v>
      </c>
      <c r="H2330" t="str">
        <f>"2002222302168"</f>
        <v>2002222302168</v>
      </c>
      <c r="I2330" t="str">
        <f>HYPERLINK("#", "https://opac.libnet.pref.okayama.jp/licsxp-opac/WOpacMsgNewListToTifTilDetailAction.do?tilcod=2002222302168")</f>
        <v>https://opac.libnet.pref.okayama.jp/licsxp-opac/WOpacMsgNewListToTifTilDetailAction.do?tilcod=2002222302168</v>
      </c>
    </row>
    <row r="2331" spans="1:9" x14ac:dyDescent="0.4">
      <c r="A2331" t="str">
        <f>"研究会報告〔岡山県へき地複式教育研究連盟〕"</f>
        <v>研究会報告〔岡山県へき地複式教育研究連盟〕</v>
      </c>
      <c r="B2331" s="1" t="str">
        <f t="shared" si="132"/>
        <v>研究会報告〔岡山県へき地複式教育研究連盟〕</v>
      </c>
      <c r="C2331" t="str">
        <f>"ケンキュウカイ　ホウコク＊オカヤマケン　ヘキチ　フクシキ　キョウイク　ケンキュウ　レンメイ"</f>
        <v>ケンキュウカイ　ホウコク＊オカヤマケン　ヘキチ　フクシキ　キョウイク　ケンキュウ　レンメイ</v>
      </c>
      <c r="D2331" t="str">
        <f>"岡山県へき地複式教育研究連盟"</f>
        <v>岡山県へき地複式教育研究連盟</v>
      </c>
      <c r="E2331" t="str">
        <f>"オカヤマケンヘキチフクシキキョウイクケンキュウレンメイ"</f>
        <v>オカヤマケンヘキチフクシキキョウイクケンキュウレンメイ</v>
      </c>
      <c r="F2331" t="str">
        <f>"新見"</f>
        <v>新見</v>
      </c>
      <c r="G2331" t="str">
        <f>"年刊"</f>
        <v>年刊</v>
      </c>
      <c r="H2331" t="str">
        <f>"2002222284831"</f>
        <v>2002222284831</v>
      </c>
      <c r="I2331" t="str">
        <f>HYPERLINK("#", "https://opac.libnet.pref.okayama.jp/licsxp-opac/WOpacMsgNewListToTifTilDetailAction.do?tilcod=2002222284831")</f>
        <v>https://opac.libnet.pref.okayama.jp/licsxp-opac/WOpacMsgNewListToTifTilDetailAction.do?tilcod=2002222284831</v>
      </c>
    </row>
    <row r="2332" spans="1:9" x14ac:dyDescent="0.4">
      <c r="A2332" t="str">
        <f>"研究誌"</f>
        <v>研究誌</v>
      </c>
      <c r="B2332" s="1" t="str">
        <f t="shared" si="132"/>
        <v>研究誌</v>
      </c>
      <c r="C2332" t="str">
        <f>"ケンキュウシ"</f>
        <v>ケンキュウシ</v>
      </c>
      <c r="D2332" t="str">
        <f>"[天城高等学校]自然科学同好会"</f>
        <v>[天城高等学校]自然科学同好会</v>
      </c>
      <c r="E2332" t="str">
        <f>"アマキ コウトウガッコウ シゼンカガク ドウコウカイ"</f>
        <v>アマキ コウトウガッコウ シゼンカガク ドウコウカイ</v>
      </c>
      <c r="F2332" t="str">
        <f>"児島"</f>
        <v>児島</v>
      </c>
      <c r="G2332" t="str">
        <f>"頻度不明"</f>
        <v>頻度不明</v>
      </c>
      <c r="H2332" t="str">
        <f>"2002222341710"</f>
        <v>2002222341710</v>
      </c>
      <c r="I2332" t="str">
        <f>HYPERLINK("#", "https://opac.libnet.pref.okayama.jp/licsxp-opac/WOpacMsgNewListToTifTilDetailAction.do?tilcod=2002222341710")</f>
        <v>https://opac.libnet.pref.okayama.jp/licsxp-opac/WOpacMsgNewListToTifTilDetailAction.do?tilcod=2002222341710</v>
      </c>
    </row>
    <row r="2333" spans="1:9" x14ac:dyDescent="0.4">
      <c r="A2333" t="str">
        <f>"県境サミット通信　エメラルドＮＥＷＳ"</f>
        <v>県境サミット通信　エメラルドＮＥＷＳ</v>
      </c>
      <c r="B2333" s="1" t="str">
        <f t="shared" si="132"/>
        <v>県境サミット通信　エメラルドＮＥＷＳ</v>
      </c>
      <c r="C2333" t="str">
        <f>"ケンキョウ　サミット　ツウシン　エメラルド　ニュース"</f>
        <v>ケンキョウ　サミット　ツウシン　エメラルド　ニュース</v>
      </c>
      <c r="D2333" t="str">
        <f>"中国山地県境市町村連絡協議会"</f>
        <v>中国山地県境市町村連絡協議会</v>
      </c>
      <c r="E2333" t="str">
        <f>"チュウゴクサンチケンキョウシチョウソンレンラクキョウギカイ"</f>
        <v>チュウゴクサンチケンキョウシチョウソンレンラクキョウギカイ</v>
      </c>
      <c r="F2333" t="str">
        <f>"日南町（鳥取県）"</f>
        <v>日南町（鳥取県）</v>
      </c>
      <c r="G2333" t="str">
        <f>"月刊"</f>
        <v>月刊</v>
      </c>
      <c r="H2333" t="str">
        <f>"2002222282201"</f>
        <v>2002222282201</v>
      </c>
      <c r="I2333" t="str">
        <f>HYPERLINK("#", "https://opac.libnet.pref.okayama.jp/licsxp-opac/WOpacMsgNewListToTifTilDetailAction.do?tilcod=2002222282201")</f>
        <v>https://opac.libnet.pref.okayama.jp/licsxp-opac/WOpacMsgNewListToTifTilDetailAction.do?tilcod=2002222282201</v>
      </c>
    </row>
    <row r="2334" spans="1:9" x14ac:dyDescent="0.4">
      <c r="A2334" t="str">
        <f>"健康重視の磐梨教育"</f>
        <v>健康重視の磐梨教育</v>
      </c>
      <c r="B2334" s="1" t="str">
        <f t="shared" si="132"/>
        <v>健康重視の磐梨教育</v>
      </c>
      <c r="C2334" t="str">
        <f>"ケンコウ　ジュウシ　ノ　イワナシ　キョウイク"</f>
        <v>ケンコウ　ジュウシ　ノ　イワナシ　キョウイク</v>
      </c>
      <c r="D2334" t="str">
        <f>"赤磐郡磐梨中学校"</f>
        <v>赤磐郡磐梨中学校</v>
      </c>
      <c r="E2334" t="str">
        <f>"アカイワグンイワナシチュウガッコウ"</f>
        <v>アカイワグンイワナシチュウガッコウ</v>
      </c>
      <c r="F2334" t="str">
        <f>""</f>
        <v/>
      </c>
      <c r="G2334" t="str">
        <f>"年刊"</f>
        <v>年刊</v>
      </c>
      <c r="H2334" t="str">
        <f>"2002222280383"</f>
        <v>2002222280383</v>
      </c>
      <c r="I2334" t="str">
        <f>HYPERLINK("#", "https://opac.libnet.pref.okayama.jp/licsxp-opac/WOpacMsgNewListToTifTilDetailAction.do?tilcod=2002222280383")</f>
        <v>https://opac.libnet.pref.okayama.jp/licsxp-opac/WOpacMsgNewListToTifTilDetailAction.do?tilcod=2002222280383</v>
      </c>
    </row>
    <row r="2335" spans="1:9" x14ac:dyDescent="0.4">
      <c r="A2335" t="str">
        <f>"健康と青汁"</f>
        <v>健康と青汁</v>
      </c>
      <c r="B2335" s="1" t="str">
        <f t="shared" si="132"/>
        <v>健康と青汁</v>
      </c>
      <c r="C2335" t="str">
        <f>"ケンコウ　ト　アオジル"</f>
        <v>ケンコウ　ト　アオジル</v>
      </c>
      <c r="D2335" t="str">
        <f>"遠藤青汁の会"</f>
        <v>遠藤青汁の会</v>
      </c>
      <c r="E2335" t="str">
        <f>"エンドウアオジルノカイ"</f>
        <v>エンドウアオジルノカイ</v>
      </c>
      <c r="F2335" t="str">
        <f>"倉敷"</f>
        <v>倉敷</v>
      </c>
      <c r="G2335" t="str">
        <f>"月刊"</f>
        <v>月刊</v>
      </c>
      <c r="H2335" t="str">
        <f>"2002222300868"</f>
        <v>2002222300868</v>
      </c>
      <c r="I2335" t="str">
        <f>HYPERLINK("#", "https://opac.libnet.pref.okayama.jp/licsxp-opac/WOpacMsgNewListToTifTilDetailAction.do?tilcod=2002222300868")</f>
        <v>https://opac.libnet.pref.okayama.jp/licsxp-opac/WOpacMsgNewListToTifTilDetailAction.do?tilcod=2002222300868</v>
      </c>
    </row>
    <row r="2336" spans="1:9" x14ac:dyDescent="0.4">
      <c r="A2336" t="str">
        <f>"健康と環境"</f>
        <v>健康と環境</v>
      </c>
      <c r="B2336" s="1" t="str">
        <f t="shared" si="132"/>
        <v>健康と環境</v>
      </c>
      <c r="C2336" t="str">
        <f>"ケンコウ　ト　カンキョウ"</f>
        <v>ケンコウ　ト　カンキョウ</v>
      </c>
      <c r="D2336" t="str">
        <f>"岡山県健康づくり財団"</f>
        <v>岡山県健康づくり財団</v>
      </c>
      <c r="E2336" t="str">
        <f>"オカヤマケンケンコウツクリザイダン"</f>
        <v>オカヤマケンケンコウツクリザイダン</v>
      </c>
      <c r="F2336" t="str">
        <f>"岡山"</f>
        <v>岡山</v>
      </c>
      <c r="G2336" t="str">
        <f>"季刊"</f>
        <v>季刊</v>
      </c>
      <c r="H2336" t="str">
        <f>"2002222282301"</f>
        <v>2002222282301</v>
      </c>
      <c r="I2336" t="str">
        <f>HYPERLINK("#", "https://opac.libnet.pref.okayama.jp/licsxp-opac/WOpacMsgNewListToTifTilDetailAction.do?tilcod=2002222282301")</f>
        <v>https://opac.libnet.pref.okayama.jp/licsxp-opac/WOpacMsgNewListToTifTilDetailAction.do?tilcod=2002222282301</v>
      </c>
    </row>
    <row r="2337" spans="1:9" x14ac:dyDescent="0.4">
      <c r="A2337" t="str">
        <f>"健康と生活"</f>
        <v>健康と生活</v>
      </c>
      <c r="B2337" s="1" t="str">
        <f t="shared" si="132"/>
        <v>健康と生活</v>
      </c>
      <c r="C2337" t="str">
        <f>"ケンコウ ト セイカツ"</f>
        <v>ケンコウ ト セイカツ</v>
      </c>
      <c r="D2337" t="str">
        <f>"岡山医療生活協同組合"</f>
        <v>岡山医療生活協同組合</v>
      </c>
      <c r="E2337" t="str">
        <f>"オカヤマ イリョウ セイカツ キョウドウ クミアイ"</f>
        <v>オカヤマ イリョウ セイカツ キョウドウ クミアイ</v>
      </c>
      <c r="F2337" t="str">
        <f>"岡山"</f>
        <v>岡山</v>
      </c>
      <c r="G2337" t="str">
        <f>"月刊"</f>
        <v>月刊</v>
      </c>
      <c r="H2337" t="str">
        <f>"2002222331933"</f>
        <v>2002222331933</v>
      </c>
      <c r="I2337" t="str">
        <f>HYPERLINK("#", "https://opac.libnet.pref.okayama.jp/licsxp-opac/WOpacMsgNewListToTifTilDetailAction.do?tilcod=2002222331933")</f>
        <v>https://opac.libnet.pref.okayama.jp/licsxp-opac/WOpacMsgNewListToTifTilDetailAction.do?tilcod=2002222331933</v>
      </c>
    </row>
    <row r="2338" spans="1:9" x14ac:dyDescent="0.4">
      <c r="A2338" t="str">
        <f>"県政"</f>
        <v>県政</v>
      </c>
      <c r="B2338" s="1" t="str">
        <f t="shared" si="132"/>
        <v>県政</v>
      </c>
      <c r="C2338" t="str">
        <f>"ケンセイ"</f>
        <v>ケンセイ</v>
      </c>
      <c r="D2338" t="str">
        <f>"県政新聞社"</f>
        <v>県政新聞社</v>
      </c>
      <c r="E2338" t="str">
        <f>"ケンセイシンブンシャ"</f>
        <v>ケンセイシンブンシャ</v>
      </c>
      <c r="F2338" t="str">
        <f>"岡山"</f>
        <v>岡山</v>
      </c>
      <c r="G2338" t="str">
        <f>"旬刊"</f>
        <v>旬刊</v>
      </c>
      <c r="H2338" t="str">
        <f>"2002222300870"</f>
        <v>2002222300870</v>
      </c>
      <c r="I2338" t="str">
        <f>HYPERLINK("#", "https://opac.libnet.pref.okayama.jp/licsxp-opac/WOpacMsgNewListToTifTilDetailAction.do?tilcod=2002222300870")</f>
        <v>https://opac.libnet.pref.okayama.jp/licsxp-opac/WOpacMsgNewListToTifTilDetailAction.do?tilcod=2002222300870</v>
      </c>
    </row>
    <row r="2339" spans="1:9" x14ac:dyDescent="0.4">
      <c r="A2339" t="str">
        <f>"健生"</f>
        <v>健生</v>
      </c>
      <c r="B2339" s="1" t="str">
        <f t="shared" si="132"/>
        <v>健生</v>
      </c>
      <c r="C2339" t="str">
        <f>"ケンセイ"</f>
        <v>ケンセイ</v>
      </c>
      <c r="D2339" t="str">
        <f>"岡山県自救健生会"</f>
        <v>岡山県自救健生会</v>
      </c>
      <c r="E2339" t="str">
        <f>"オカヤマケンジキュウケンセイカイ"</f>
        <v>オカヤマケンジキュウケンセイカイ</v>
      </c>
      <c r="F2339" t="str">
        <f>""</f>
        <v/>
      </c>
      <c r="G2339" t="str">
        <f>"頻度不明"</f>
        <v>頻度不明</v>
      </c>
      <c r="H2339" t="str">
        <f>"2002222280393"</f>
        <v>2002222280393</v>
      </c>
      <c r="I2339" t="str">
        <f>HYPERLINK("#", "https://opac.libnet.pref.okayama.jp/licsxp-opac/WOpacMsgNewListToTifTilDetailAction.do?tilcod=2002222280393")</f>
        <v>https://opac.libnet.pref.okayama.jp/licsxp-opac/WOpacMsgNewListToTifTilDetailAction.do?tilcod=2002222280393</v>
      </c>
    </row>
    <row r="2340" spans="1:9" x14ac:dyDescent="0.4">
      <c r="A2340" t="str">
        <f>"けんせい月報"</f>
        <v>けんせい月報</v>
      </c>
      <c r="B2340" s="1" t="str">
        <f t="shared" si="132"/>
        <v>けんせい月報</v>
      </c>
      <c r="C2340" t="str">
        <f>"ケンセイ　ゲッポウ"</f>
        <v>ケンセイ　ゲッポウ</v>
      </c>
      <c r="D2340" t="str">
        <f>"岡山県公聴広報課"</f>
        <v>岡山県公聴広報課</v>
      </c>
      <c r="E2340" t="str">
        <f>"オカヤマケン コウチョウ コウホウカ"</f>
        <v>オカヤマケン コウチョウ コウホウカ</v>
      </c>
      <c r="F2340" t="str">
        <f>"岡山"</f>
        <v>岡山</v>
      </c>
      <c r="G2340" t="str">
        <f>"頻度不明"</f>
        <v>頻度不明</v>
      </c>
      <c r="H2340" t="str">
        <f>"2002222280403"</f>
        <v>2002222280403</v>
      </c>
      <c r="I2340" t="str">
        <f>HYPERLINK("#", "https://opac.libnet.pref.okayama.jp/licsxp-opac/WOpacMsgNewListToTifTilDetailAction.do?tilcod=2002222280403")</f>
        <v>https://opac.libnet.pref.okayama.jp/licsxp-opac/WOpacMsgNewListToTifTilDetailAction.do?tilcod=2002222280403</v>
      </c>
    </row>
    <row r="2341" spans="1:9" x14ac:dyDescent="0.4">
      <c r="A2341" t="str">
        <f>"県政広報資料"</f>
        <v>県政広報資料</v>
      </c>
      <c r="B2341" s="1" t="str">
        <f t="shared" si="132"/>
        <v>県政広報資料</v>
      </c>
      <c r="C2341" t="str">
        <f>"ケンセイ　コウホウ　シリョウ"</f>
        <v>ケンセイ　コウホウ　シリョウ</v>
      </c>
      <c r="D2341" t="str">
        <f>"岡山県公聴広報課"</f>
        <v>岡山県公聴広報課</v>
      </c>
      <c r="E2341" t="str">
        <f>"オカヤマケンコウチョウコウホウカ"</f>
        <v>オカヤマケンコウチョウコウホウカ</v>
      </c>
      <c r="F2341" t="str">
        <f>"岡山"</f>
        <v>岡山</v>
      </c>
      <c r="G2341" t="str">
        <f>"月刊"</f>
        <v>月刊</v>
      </c>
      <c r="H2341" t="str">
        <f>"2002222292501"</f>
        <v>2002222292501</v>
      </c>
      <c r="I2341" t="str">
        <f>HYPERLINK("#", "https://opac.libnet.pref.okayama.jp/licsxp-opac/WOpacMsgNewListToTifTilDetailAction.do?tilcod=2002222292501")</f>
        <v>https://opac.libnet.pref.okayama.jp/licsxp-opac/WOpacMsgNewListToTifTilDetailAction.do?tilcod=2002222292501</v>
      </c>
    </row>
    <row r="2342" spans="1:9" x14ac:dyDescent="0.4">
      <c r="A2342" t="str">
        <f>"憲政時報"</f>
        <v>憲政時報</v>
      </c>
      <c r="B2342" s="1" t="str">
        <f t="shared" si="132"/>
        <v>憲政時報</v>
      </c>
      <c r="C2342" t="str">
        <f>"ケンセイ ジホウ"</f>
        <v>ケンセイ ジホウ</v>
      </c>
      <c r="D2342" t="str">
        <f>"憲政時報社"</f>
        <v>憲政時報社</v>
      </c>
      <c r="E2342" t="str">
        <f>"ケンセイ ジホウシャ"</f>
        <v>ケンセイ ジホウシャ</v>
      </c>
      <c r="F2342" t="str">
        <f>"西大寺町(上道郡)"</f>
        <v>西大寺町(上道郡)</v>
      </c>
      <c r="G2342" t="str">
        <f>"旬刊"</f>
        <v>旬刊</v>
      </c>
      <c r="H2342" t="str">
        <f>"2002222329727"</f>
        <v>2002222329727</v>
      </c>
      <c r="I2342" t="str">
        <f>HYPERLINK("#", "https://opac.libnet.pref.okayama.jp/licsxp-opac/WOpacMsgNewListToTifTilDetailAction.do?tilcod=2002222329727")</f>
        <v>https://opac.libnet.pref.okayama.jp/licsxp-opac/WOpacMsgNewListToTifTilDetailAction.do?tilcod=2002222329727</v>
      </c>
    </row>
    <row r="2343" spans="1:9" x14ac:dyDescent="0.4">
      <c r="A2343" t="str">
        <f>"県政週報"</f>
        <v>県政週報</v>
      </c>
      <c r="B2343" s="1" t="str">
        <f t="shared" si="132"/>
        <v>県政週報</v>
      </c>
      <c r="C2343" t="str">
        <f>"ケンセイ　シュウホウ"</f>
        <v>ケンセイ　シュウホウ</v>
      </c>
      <c r="D2343" t="str">
        <f>"岡山県公聴広報課"</f>
        <v>岡山県公聴広報課</v>
      </c>
      <c r="E2343" t="str">
        <f>"オカヤマケンコウチョウコウホウカ"</f>
        <v>オカヤマケンコウチョウコウホウカ</v>
      </c>
      <c r="F2343" t="str">
        <f t="shared" ref="F2343:F2350" si="134">"岡山"</f>
        <v>岡山</v>
      </c>
      <c r="G2343" t="str">
        <f>"週刊"</f>
        <v>週刊</v>
      </c>
      <c r="H2343" t="str">
        <f>"2002222281911"</f>
        <v>2002222281911</v>
      </c>
      <c r="I2343" t="str">
        <f>HYPERLINK("#", "https://opac.libnet.pref.okayama.jp/licsxp-opac/WOpacMsgNewListToTifTilDetailAction.do?tilcod=2002222281911")</f>
        <v>https://opac.libnet.pref.okayama.jp/licsxp-opac/WOpacMsgNewListToTifTilDetailAction.do?tilcod=2002222281911</v>
      </c>
    </row>
    <row r="2344" spans="1:9" x14ac:dyDescent="0.4">
      <c r="A2344" t="str">
        <f>"県政だより　速報"</f>
        <v>県政だより　速報</v>
      </c>
      <c r="B2344" s="1" t="str">
        <f t="shared" si="132"/>
        <v>県政だより　速報</v>
      </c>
      <c r="C2344" t="str">
        <f>"ケンセイ　ダヨリ　ソクホウ"</f>
        <v>ケンセイ　ダヨリ　ソクホウ</v>
      </c>
      <c r="D2344" t="str">
        <f>"岡山県県民広報課"</f>
        <v>岡山県県民広報課</v>
      </c>
      <c r="E2344" t="str">
        <f>"オカヤマケン ケンミン コウホウカ"</f>
        <v>オカヤマケン ケンミン コウホウカ</v>
      </c>
      <c r="F2344" t="str">
        <f t="shared" si="134"/>
        <v>岡山</v>
      </c>
      <c r="G2344" t="str">
        <f>"月刊"</f>
        <v>月刊</v>
      </c>
      <c r="H2344" t="str">
        <f>"2002222300871"</f>
        <v>2002222300871</v>
      </c>
      <c r="I2344" t="str">
        <f>HYPERLINK("#", "https://opac.libnet.pref.okayama.jp/licsxp-opac/WOpacMsgNewListToTifTilDetailAction.do?tilcod=2002222300871")</f>
        <v>https://opac.libnet.pref.okayama.jp/licsxp-opac/WOpacMsgNewListToTifTilDetailAction.do?tilcod=2002222300871</v>
      </c>
    </row>
    <row r="2345" spans="1:9" x14ac:dyDescent="0.4">
      <c r="A2345" t="str">
        <f>"県政のあゆみ【郷土図書で受入】"</f>
        <v>県政のあゆみ【郷土図書で受入】</v>
      </c>
      <c r="B2345" s="1" t="str">
        <f t="shared" si="132"/>
        <v>県政のあゆみ【郷土図書で受入】</v>
      </c>
      <c r="C2345" t="str">
        <f>"ケンセイ　ノ　アユミ"</f>
        <v>ケンセイ　ノ　アユミ</v>
      </c>
      <c r="D2345" t="str">
        <f>"岡山県"</f>
        <v>岡山県</v>
      </c>
      <c r="E2345" t="str">
        <f>"オカヤマケン"</f>
        <v>オカヤマケン</v>
      </c>
      <c r="F2345" t="str">
        <f t="shared" si="134"/>
        <v>岡山</v>
      </c>
      <c r="G2345" t="str">
        <f>"年刊"</f>
        <v>年刊</v>
      </c>
      <c r="H2345" t="str">
        <f>"2002222280423"</f>
        <v>2002222280423</v>
      </c>
      <c r="I2345" t="str">
        <f>HYPERLINK("#", "https://opac.libnet.pref.okayama.jp/licsxp-opac/WOpacMsgNewListToTifTilDetailAction.do?tilcod=2002222280423")</f>
        <v>https://opac.libnet.pref.okayama.jp/licsxp-opac/WOpacMsgNewListToTifTilDetailAction.do?tilcod=2002222280423</v>
      </c>
    </row>
    <row r="2346" spans="1:9" x14ac:dyDescent="0.4">
      <c r="A2346" t="str">
        <f>"県政の動き"</f>
        <v>県政の動き</v>
      </c>
      <c r="B2346" s="1" t="str">
        <f t="shared" si="132"/>
        <v>県政の動き</v>
      </c>
      <c r="C2346" t="str">
        <f>"ケンセイ　ノ　ウゴキ"</f>
        <v>ケンセイ　ノ　ウゴキ</v>
      </c>
      <c r="D2346" t="str">
        <f>"岡山県秘書広報課"</f>
        <v>岡山県秘書広報課</v>
      </c>
      <c r="E2346" t="str">
        <f>"オカヤマケンヒショコウホウカ"</f>
        <v>オカヤマケンヒショコウホウカ</v>
      </c>
      <c r="F2346" t="str">
        <f t="shared" si="134"/>
        <v>岡山</v>
      </c>
      <c r="G2346" t="str">
        <f>"頻度不明"</f>
        <v>頻度不明</v>
      </c>
      <c r="H2346" t="str">
        <f>"2002222280433"</f>
        <v>2002222280433</v>
      </c>
      <c r="I2346" t="str">
        <f>HYPERLINK("#", "https://opac.libnet.pref.okayama.jp/licsxp-opac/WOpacMsgNewListToTifTilDetailAction.do?tilcod=2002222280433")</f>
        <v>https://opac.libnet.pref.okayama.jp/licsxp-opac/WOpacMsgNewListToTifTilDetailAction.do?tilcod=2002222280433</v>
      </c>
    </row>
    <row r="2347" spans="1:9" x14ac:dyDescent="0.4">
      <c r="A2347" t="str">
        <f>"県政の窓　県政情報シリーズ"</f>
        <v>県政の窓　県政情報シリーズ</v>
      </c>
      <c r="B2347" s="1" t="str">
        <f t="shared" si="132"/>
        <v>県政の窓　県政情報シリーズ</v>
      </c>
      <c r="C2347" t="str">
        <f>"ケンセイ　ノ　マド　ケンセイ　ジョウホウ　シリーズ"</f>
        <v>ケンセイ　ノ　マド　ケンセイ　ジョウホウ　シリーズ</v>
      </c>
      <c r="D2347" t="str">
        <f>"岡山県公聴広報課"</f>
        <v>岡山県公聴広報課</v>
      </c>
      <c r="E2347" t="str">
        <f>"オカヤマケンコウチョウコウホウカ"</f>
        <v>オカヤマケンコウチョウコウホウカ</v>
      </c>
      <c r="F2347" t="str">
        <f t="shared" si="134"/>
        <v>岡山</v>
      </c>
      <c r="G2347" t="str">
        <f>"年２回刊"</f>
        <v>年２回刊</v>
      </c>
      <c r="H2347" t="str">
        <f>"2002222283191"</f>
        <v>2002222283191</v>
      </c>
      <c r="I2347" t="str">
        <f>HYPERLINK("#", "https://opac.libnet.pref.okayama.jp/licsxp-opac/WOpacMsgNewListToTifTilDetailAction.do?tilcod=2002222283191")</f>
        <v>https://opac.libnet.pref.okayama.jp/licsxp-opac/WOpacMsgNewListToTifTilDetailAction.do?tilcod=2002222283191</v>
      </c>
    </row>
    <row r="2348" spans="1:9" x14ac:dyDescent="0.4">
      <c r="A2348" t="str">
        <f>"県政モニター通信の概要"</f>
        <v>県政モニター通信の概要</v>
      </c>
      <c r="B2348" s="1" t="str">
        <f t="shared" si="132"/>
        <v>県政モニター通信の概要</v>
      </c>
      <c r="C2348" t="str">
        <f>"ケンセイ　モニター　ツウシンノ　ガイヨウ"</f>
        <v>ケンセイ　モニター　ツウシンノ　ガイヨウ</v>
      </c>
      <c r="D2348" t="str">
        <f>"岡山県知事室広聴広報課"</f>
        <v>岡山県知事室広聴広報課</v>
      </c>
      <c r="E2348" t="str">
        <f>"オカヤマケン チジシツ コウチョウ コウホウカ"</f>
        <v>オカヤマケン チジシツ コウチョウ コウホウカ</v>
      </c>
      <c r="F2348" t="str">
        <f t="shared" si="134"/>
        <v>岡山</v>
      </c>
      <c r="G2348" t="str">
        <f>"月刊"</f>
        <v>月刊</v>
      </c>
      <c r="H2348" t="str">
        <f>"2002222285031"</f>
        <v>2002222285031</v>
      </c>
      <c r="I2348" t="str">
        <f>HYPERLINK("#", "https://opac.libnet.pref.okayama.jp/licsxp-opac/WOpacMsgNewListToTifTilDetailAction.do?tilcod=2002222285031")</f>
        <v>https://opac.libnet.pref.okayama.jp/licsxp-opac/WOpacMsgNewListToTifTilDetailAction.do?tilcod=2002222285031</v>
      </c>
    </row>
    <row r="2349" spans="1:9" x14ac:dyDescent="0.4">
      <c r="A2349" t="str">
        <f>"県政レディーの晴れの国ジャーナル"</f>
        <v>県政レディーの晴れの国ジャーナル</v>
      </c>
      <c r="B2349" s="1" t="str">
        <f t="shared" si="132"/>
        <v>県政レディーの晴れの国ジャーナル</v>
      </c>
      <c r="C2349" t="str">
        <f>"ケンセイ　レディー　ノ　ハレ　ノ　クニ　ジャーナル"</f>
        <v>ケンセイ　レディー　ノ　ハレ　ノ　クニ　ジャーナル</v>
      </c>
      <c r="D2349" t="str">
        <f>"岡山県知事室広聴広報課"</f>
        <v>岡山県知事室広聴広報課</v>
      </c>
      <c r="E2349" t="str">
        <f>"オカヤマケン チジシツ コウチョウ コウホウカ"</f>
        <v>オカヤマケン チジシツ コウチョウ コウホウカ</v>
      </c>
      <c r="F2349" t="str">
        <f t="shared" si="134"/>
        <v>岡山</v>
      </c>
      <c r="G2349" t="str">
        <f>"年２回刊"</f>
        <v>年２回刊</v>
      </c>
      <c r="H2349" t="str">
        <f>"2002222281741"</f>
        <v>2002222281741</v>
      </c>
      <c r="I2349" t="str">
        <f>HYPERLINK("#", "https://opac.libnet.pref.okayama.jp/licsxp-opac/WOpacMsgNewListToTifTilDetailAction.do?tilcod=2002222281741")</f>
        <v>https://opac.libnet.pref.okayama.jp/licsxp-opac/WOpacMsgNewListToTifTilDetailAction.do?tilcod=2002222281741</v>
      </c>
    </row>
    <row r="2350" spans="1:9" x14ac:dyDescent="0.4">
      <c r="A2350" t="str">
        <f>"建設日報"</f>
        <v>建設日報</v>
      </c>
      <c r="B2350" s="1" t="str">
        <f t="shared" si="132"/>
        <v>建設日報</v>
      </c>
      <c r="C2350" t="str">
        <f>"ケンセツ　ニッポウ"</f>
        <v>ケンセツ　ニッポウ</v>
      </c>
      <c r="D2350" t="str">
        <f>"建設日報社"</f>
        <v>建設日報社</v>
      </c>
      <c r="E2350" t="str">
        <f>"ケンセツニッポウシャ"</f>
        <v>ケンセツニッポウシャ</v>
      </c>
      <c r="F2350" t="str">
        <f t="shared" si="134"/>
        <v>岡山</v>
      </c>
      <c r="G2350" t="str">
        <f>"日刊"</f>
        <v>日刊</v>
      </c>
      <c r="H2350" t="str">
        <f>"2002222300872"</f>
        <v>2002222300872</v>
      </c>
      <c r="I2350" t="str">
        <f>HYPERLINK("#", "https://opac.libnet.pref.okayama.jp/licsxp-opac/WOpacMsgNewListToTifTilDetailAction.do?tilcod=2002222300872")</f>
        <v>https://opac.libnet.pref.okayama.jp/licsxp-opac/WOpacMsgNewListToTifTilDetailAction.do?tilcod=2002222300872</v>
      </c>
    </row>
    <row r="2351" spans="1:9" x14ac:dyDescent="0.4">
      <c r="A2351" t="str">
        <f>"県体時報"</f>
        <v>県体時報</v>
      </c>
      <c r="B2351" s="1" t="str">
        <f t="shared" si="132"/>
        <v>県体時報</v>
      </c>
      <c r="C2351" t="str">
        <f>"ケンタイ　ジホウ"</f>
        <v>ケンタイ　ジホウ</v>
      </c>
      <c r="D2351" t="str">
        <f>"岡山県体育協会"</f>
        <v>岡山県体育協会</v>
      </c>
      <c r="E2351" t="str">
        <f>"オカヤマケン タイイク キョウカイ"</f>
        <v>オカヤマケン タイイク キョウカイ</v>
      </c>
      <c r="F2351" t="str">
        <f>""</f>
        <v/>
      </c>
      <c r="G2351" t="str">
        <f>"頻度不明"</f>
        <v>頻度不明</v>
      </c>
      <c r="H2351" t="str">
        <f>"2002222280443"</f>
        <v>2002222280443</v>
      </c>
      <c r="I2351" t="str">
        <f>HYPERLINK("#", "https://opac.libnet.pref.okayama.jp/licsxp-opac/WOpacMsgNewListToTifTilDetailAction.do?tilcod=2002222280443")</f>
        <v>https://opac.libnet.pref.okayama.jp/licsxp-opac/WOpacMsgNewListToTifTilDetailAction.do?tilcod=2002222280443</v>
      </c>
    </row>
    <row r="2352" spans="1:9" x14ac:dyDescent="0.4">
      <c r="A2352" t="str">
        <f>"現代宗教"</f>
        <v>現代宗教</v>
      </c>
      <c r="B2352" s="1" t="str">
        <f t="shared" si="132"/>
        <v>現代宗教</v>
      </c>
      <c r="C2352" t="str">
        <f>"ゲンダイ　シュウキョウ"</f>
        <v>ゲンダイ　シュウキョウ</v>
      </c>
      <c r="D2352" t="str">
        <f>"現代宗教社"</f>
        <v>現代宗教社</v>
      </c>
      <c r="E2352" t="str">
        <f>"ゲンダイシュウキョウシャ"</f>
        <v>ゲンダイシュウキョウシャ</v>
      </c>
      <c r="F2352" t="str">
        <f>""</f>
        <v/>
      </c>
      <c r="G2352" t="str">
        <f>"頻度不明"</f>
        <v>頻度不明</v>
      </c>
      <c r="H2352" t="str">
        <f>"2002222280453"</f>
        <v>2002222280453</v>
      </c>
      <c r="I2352" t="str">
        <f>HYPERLINK("#", "https://opac.libnet.pref.okayama.jp/licsxp-opac/WOpacMsgNewListToTifTilDetailAction.do?tilcod=2002222280453")</f>
        <v>https://opac.libnet.pref.okayama.jp/licsxp-opac/WOpacMsgNewListToTifTilDetailAction.do?tilcod=2002222280453</v>
      </c>
    </row>
    <row r="2353" spans="1:9" x14ac:dyDescent="0.4">
      <c r="A2353" t="str">
        <f>"現代俳句岡山"</f>
        <v>現代俳句岡山</v>
      </c>
      <c r="B2353" s="1" t="str">
        <f t="shared" si="132"/>
        <v>現代俳句岡山</v>
      </c>
      <c r="C2353" t="str">
        <f>"ゲンダイ　ハイク　オカヤマ"</f>
        <v>ゲンダイ　ハイク　オカヤマ</v>
      </c>
      <c r="D2353" t="str">
        <f>"岡山県現代俳句協会"</f>
        <v>岡山県現代俳句協会</v>
      </c>
      <c r="E2353" t="str">
        <f>"オカヤマケンゲンダイハイクキョウカイ"</f>
        <v>オカヤマケンゲンダイハイクキョウカイ</v>
      </c>
      <c r="F2353" t="str">
        <f>"岡山"</f>
        <v>岡山</v>
      </c>
      <c r="G2353" t="str">
        <f>"頻度不明"</f>
        <v>頻度不明</v>
      </c>
      <c r="H2353" t="str">
        <f>"2002222293501"</f>
        <v>2002222293501</v>
      </c>
      <c r="I2353" t="str">
        <f>HYPERLINK("#", "https://opac.libnet.pref.okayama.jp/licsxp-opac/WOpacMsgNewListToTifTilDetailAction.do?tilcod=2002222293501")</f>
        <v>https://opac.libnet.pref.okayama.jp/licsxp-opac/WOpacMsgNewListToTifTilDetailAction.do?tilcod=2002222293501</v>
      </c>
    </row>
    <row r="2354" spans="1:9" x14ac:dyDescent="0.4">
      <c r="A2354" t="str">
        <f>"建築岡山"</f>
        <v>建築岡山</v>
      </c>
      <c r="B2354" s="1" t="str">
        <f t="shared" si="132"/>
        <v>建築岡山</v>
      </c>
      <c r="C2354" t="str">
        <f>"ケンチク オカヤマ"</f>
        <v>ケンチク オカヤマ</v>
      </c>
      <c r="D2354" t="str">
        <f>"岡山県建築士会"</f>
        <v>岡山県建築士会</v>
      </c>
      <c r="E2354" t="str">
        <f>"オカヤマケン ケンチクシカイ"</f>
        <v>オカヤマケン ケンチクシカイ</v>
      </c>
      <c r="F2354" t="str">
        <f>"岡山"</f>
        <v>岡山</v>
      </c>
      <c r="G2354" t="str">
        <f>"隔月刊"</f>
        <v>隔月刊</v>
      </c>
      <c r="H2354" t="str">
        <f>"2002222300221"</f>
        <v>2002222300221</v>
      </c>
      <c r="I2354" t="str">
        <f>HYPERLINK("#", "https://opac.libnet.pref.okayama.jp/licsxp-opac/WOpacMsgNewListToTifTilDetailAction.do?tilcod=2002222300221")</f>
        <v>https://opac.libnet.pref.okayama.jp/licsxp-opac/WOpacMsgNewListToTifTilDetailAction.do?tilcod=2002222300221</v>
      </c>
    </row>
    <row r="2355" spans="1:9" x14ac:dyDescent="0.4">
      <c r="A2355" t="str">
        <f>"県庁OB通信"</f>
        <v>県庁OB通信</v>
      </c>
      <c r="B2355" s="1" t="str">
        <f t="shared" si="132"/>
        <v>県庁OB通信</v>
      </c>
      <c r="C2355" t="str">
        <f>"ケンチョウ オービー ツウシン"</f>
        <v>ケンチョウ オービー ツウシン</v>
      </c>
      <c r="D2355" t="str">
        <f>"岡山県OB会"</f>
        <v>岡山県OB会</v>
      </c>
      <c r="E2355" t="str">
        <f>"オカヤマケンオービーカイ"</f>
        <v>オカヤマケンオービーカイ</v>
      </c>
      <c r="F2355" t="str">
        <f>""</f>
        <v/>
      </c>
      <c r="G2355" t="str">
        <f>"季刊"</f>
        <v>季刊</v>
      </c>
      <c r="H2355" t="str">
        <f>"2002222280463"</f>
        <v>2002222280463</v>
      </c>
      <c r="I2355" t="str">
        <f>HYPERLINK("#", "https://opac.libnet.pref.okayama.jp/licsxp-opac/WOpacMsgNewListToTifTilDetailAction.do?tilcod=2002222280463")</f>
        <v>https://opac.libnet.pref.okayama.jp/licsxp-opac/WOpacMsgNewListToTifTilDetailAction.do?tilcod=2002222280463</v>
      </c>
    </row>
    <row r="2356" spans="1:9" x14ac:dyDescent="0.4">
      <c r="A2356" t="str">
        <f>"県南朝日新聞"</f>
        <v>県南朝日新聞</v>
      </c>
      <c r="B2356" s="1" t="str">
        <f t="shared" si="132"/>
        <v>県南朝日新聞</v>
      </c>
      <c r="C2356" t="str">
        <f>"ケンナン アサヒ シンブン"</f>
        <v>ケンナン アサヒ シンブン</v>
      </c>
      <c r="D2356" t="str">
        <f>"玉島朝日新聞社"</f>
        <v>玉島朝日新聞社</v>
      </c>
      <c r="E2356" t="str">
        <f>"タマシマ アサヒ シンブンシャ"</f>
        <v>タマシマ アサヒ シンブンシャ</v>
      </c>
      <c r="F2356" t="str">
        <f>"倉敷"</f>
        <v>倉敷</v>
      </c>
      <c r="G2356" t="str">
        <f>"頻度不明"</f>
        <v>頻度不明</v>
      </c>
      <c r="H2356" t="str">
        <f>"2002222336775"</f>
        <v>2002222336775</v>
      </c>
      <c r="I2356" t="str">
        <f>HYPERLINK("#", "https://opac.libnet.pref.okayama.jp/licsxp-opac/WOpacMsgNewListToTifTilDetailAction.do?tilcod=2002222336775")</f>
        <v>https://opac.libnet.pref.okayama.jp/licsxp-opac/WOpacMsgNewListToTifTilDetailAction.do?tilcod=2002222336775</v>
      </c>
    </row>
    <row r="2357" spans="1:9" x14ac:dyDescent="0.4">
      <c r="A2357" t="str">
        <f>"県民運動だより"</f>
        <v>県民運動だより</v>
      </c>
      <c r="B2357" s="1" t="str">
        <f t="shared" si="132"/>
        <v>県民運動だより</v>
      </c>
      <c r="C2357" t="str">
        <f>"ケンミン　ウンドウ　ダヨリ"</f>
        <v>ケンミン　ウンドウ　ダヨリ</v>
      </c>
      <c r="D2357" t="str">
        <f>"岡山県総務部県民運動室"</f>
        <v>岡山県総務部県民運動室</v>
      </c>
      <c r="E2357" t="str">
        <f>"オカヤマケン ソウムブ ケンミン ウンドウシツ"</f>
        <v>オカヤマケン ソウムブ ケンミン ウンドウシツ</v>
      </c>
      <c r="F2357" t="str">
        <f>"岡山"</f>
        <v>岡山</v>
      </c>
      <c r="G2357" t="str">
        <f>"月刊"</f>
        <v>月刊</v>
      </c>
      <c r="H2357" t="str">
        <f>"2002222280473"</f>
        <v>2002222280473</v>
      </c>
      <c r="I2357" t="str">
        <f>HYPERLINK("#", "https://opac.libnet.pref.okayama.jp/licsxp-opac/WOpacMsgNewListToTifTilDetailAction.do?tilcod=2002222280473")</f>
        <v>https://opac.libnet.pref.okayama.jp/licsxp-opac/WOpacMsgNewListToTifTilDetailAction.do?tilcod=2002222280473</v>
      </c>
    </row>
    <row r="2358" spans="1:9" x14ac:dyDescent="0.4">
      <c r="A2358" t="str">
        <f>"県民ガイド"</f>
        <v>県民ガイド</v>
      </c>
      <c r="B2358" s="1" t="str">
        <f t="shared" si="132"/>
        <v>県民ガイド</v>
      </c>
      <c r="C2358" t="str">
        <f>"ケンミン　ガイド"</f>
        <v>ケンミン　ガイド</v>
      </c>
      <c r="D2358" t="str">
        <f>"県民ガイド新聞社"</f>
        <v>県民ガイド新聞社</v>
      </c>
      <c r="E2358" t="str">
        <f>"ケンミンガイドシンブンシャ"</f>
        <v>ケンミンガイドシンブンシャ</v>
      </c>
      <c r="F2358" t="str">
        <f>"岡山"</f>
        <v>岡山</v>
      </c>
      <c r="G2358" t="str">
        <f>"不定期刊"</f>
        <v>不定期刊</v>
      </c>
      <c r="H2358" t="str">
        <f>"2002222300874"</f>
        <v>2002222300874</v>
      </c>
      <c r="I2358" t="str">
        <f>HYPERLINK("#", "https://opac.libnet.pref.okayama.jp/licsxp-opac/WOpacMsgNewListToTifTilDetailAction.do?tilcod=2002222300874")</f>
        <v>https://opac.libnet.pref.okayama.jp/licsxp-opac/WOpacMsgNewListToTifTilDetailAction.do?tilcod=2002222300874</v>
      </c>
    </row>
    <row r="2359" spans="1:9" x14ac:dyDescent="0.4">
      <c r="A2359" t="str">
        <f>"県民グラフ"</f>
        <v>県民グラフ</v>
      </c>
      <c r="B2359" s="1" t="str">
        <f t="shared" si="132"/>
        <v>県民グラフ</v>
      </c>
      <c r="C2359" t="str">
        <f>"ケンミン　グラフ"</f>
        <v>ケンミン　グラフ</v>
      </c>
      <c r="D2359" t="str">
        <f>"〔出版者不明〕"</f>
        <v>〔出版者不明〕</v>
      </c>
      <c r="E2359" t="str">
        <f>"シュッパンシャフメイ"</f>
        <v>シュッパンシャフメイ</v>
      </c>
      <c r="F2359" t="str">
        <f>""</f>
        <v/>
      </c>
      <c r="G2359" t="str">
        <f>"頻度不明"</f>
        <v>頻度不明</v>
      </c>
      <c r="H2359" t="str">
        <f>"2002222280483"</f>
        <v>2002222280483</v>
      </c>
      <c r="I2359" t="str">
        <f>HYPERLINK("#", "https://opac.libnet.pref.okayama.jp/licsxp-opac/WOpacMsgNewListToTifTilDetailAction.do?tilcod=2002222280483")</f>
        <v>https://opac.libnet.pref.okayama.jp/licsxp-opac/WOpacMsgNewListToTifTilDetailAction.do?tilcod=2002222280483</v>
      </c>
    </row>
    <row r="2360" spans="1:9" x14ac:dyDescent="0.4">
      <c r="A2360" t="str">
        <f>"県民新聞"</f>
        <v>県民新聞</v>
      </c>
      <c r="B2360" s="1" t="str">
        <f t="shared" si="132"/>
        <v>県民新聞</v>
      </c>
      <c r="C2360" t="str">
        <f>"ケンミン　シンブン"</f>
        <v>ケンミン　シンブン</v>
      </c>
      <c r="D2360" t="str">
        <f>"岡山県民新聞社"</f>
        <v>岡山県民新聞社</v>
      </c>
      <c r="E2360" t="str">
        <f>"オカヤマケンミンシンブンシャ"</f>
        <v>オカヤマケンミンシンブンシャ</v>
      </c>
      <c r="F2360" t="str">
        <f>"岡山"</f>
        <v>岡山</v>
      </c>
      <c r="G2360" t="str">
        <f>"旬刊"</f>
        <v>旬刊</v>
      </c>
      <c r="H2360" t="str">
        <f>"2002222300886"</f>
        <v>2002222300886</v>
      </c>
      <c r="I2360" t="str">
        <f>HYPERLINK("#", "https://opac.libnet.pref.okayama.jp/licsxp-opac/WOpacMsgNewListToTifTilDetailAction.do?tilcod=2002222300886")</f>
        <v>https://opac.libnet.pref.okayama.jp/licsxp-opac/WOpacMsgNewListToTifTilDetailAction.do?tilcod=2002222300886</v>
      </c>
    </row>
    <row r="2361" spans="1:9" x14ac:dyDescent="0.4">
      <c r="A2361" t="str">
        <f>"県民通信"</f>
        <v>県民通信</v>
      </c>
      <c r="B2361" s="1" t="str">
        <f t="shared" si="132"/>
        <v>県民通信</v>
      </c>
      <c r="C2361" t="str">
        <f>"ケンミン　ツウシン"</f>
        <v>ケンミン　ツウシン</v>
      </c>
      <c r="D2361" t="str">
        <f>"岡山県民通信社"</f>
        <v>岡山県民通信社</v>
      </c>
      <c r="E2361" t="str">
        <f>"オカヤマケンミンツウシンシャ"</f>
        <v>オカヤマケンミンツウシンシャ</v>
      </c>
      <c r="F2361" t="str">
        <f>"岡山"</f>
        <v>岡山</v>
      </c>
      <c r="G2361" t="str">
        <f>"頻度不明"</f>
        <v>頻度不明</v>
      </c>
      <c r="H2361" t="str">
        <f>"2002222289601"</f>
        <v>2002222289601</v>
      </c>
      <c r="I2361" t="str">
        <f>HYPERLINK("#", "https://opac.libnet.pref.okayama.jp/licsxp-opac/WOpacMsgNewListToTifTilDetailAction.do?tilcod=2002222289601")</f>
        <v>https://opac.libnet.pref.okayama.jp/licsxp-opac/WOpacMsgNewListToTifTilDetailAction.do?tilcod=2002222289601</v>
      </c>
    </row>
    <row r="2362" spans="1:9" x14ac:dyDescent="0.4">
      <c r="A2362" t="str">
        <f>"県民の警察"</f>
        <v>県民の警察</v>
      </c>
      <c r="B2362" s="1" t="str">
        <f t="shared" si="132"/>
        <v>県民の警察</v>
      </c>
      <c r="C2362" t="str">
        <f>"ケンミン　ノ　ケイサツ"</f>
        <v>ケンミン　ノ　ケイサツ</v>
      </c>
      <c r="D2362" t="str">
        <f>"岡山県公安委員会"</f>
        <v>岡山県公安委員会</v>
      </c>
      <c r="E2362" t="str">
        <f>"オカヤマケン コウアン イインカイ"</f>
        <v>オカヤマケン コウアン イインカイ</v>
      </c>
      <c r="F2362" t="str">
        <f>""</f>
        <v/>
      </c>
      <c r="G2362" t="str">
        <f>"頻度不明"</f>
        <v>頻度不明</v>
      </c>
      <c r="H2362" t="str">
        <f>"2002222280493"</f>
        <v>2002222280493</v>
      </c>
      <c r="I2362" t="str">
        <f>HYPERLINK("#", "https://opac.libnet.pref.okayama.jp/licsxp-opac/WOpacMsgNewListToTifTilDetailAction.do?tilcod=2002222280493")</f>
        <v>https://opac.libnet.pref.okayama.jp/licsxp-opac/WOpacMsgNewListToTifTilDetailAction.do?tilcod=2002222280493</v>
      </c>
    </row>
    <row r="2363" spans="1:9" x14ac:dyDescent="0.4">
      <c r="A2363" t="str">
        <f>"県民教だより"</f>
        <v>県民教だより</v>
      </c>
      <c r="B2363" s="1" t="str">
        <f t="shared" si="132"/>
        <v>県民教だより</v>
      </c>
      <c r="C2363" t="str">
        <f>"ケンミンキョウ　ダヨリ"</f>
        <v>ケンミンキョウ　ダヨリ</v>
      </c>
      <c r="D2363" t="str">
        <f>"岡山県民主教育協議会"</f>
        <v>岡山県民主教育協議会</v>
      </c>
      <c r="E2363" t="str">
        <f>"オカヤマケン ミンシュ キョウイク キョウギカイ"</f>
        <v>オカヤマケン ミンシュ キョウイク キョウギカイ</v>
      </c>
      <c r="F2363" t="str">
        <f>"岡山"</f>
        <v>岡山</v>
      </c>
      <c r="G2363" t="str">
        <f>"頻度不明"</f>
        <v>頻度不明</v>
      </c>
      <c r="H2363" t="str">
        <f>"2002222302375"</f>
        <v>2002222302375</v>
      </c>
      <c r="I2363" t="str">
        <f>HYPERLINK("#", "https://opac.libnet.pref.okayama.jp/licsxp-opac/WOpacMsgNewListToTifTilDetailAction.do?tilcod=2002222302375")</f>
        <v>https://opac.libnet.pref.okayama.jp/licsxp-opac/WOpacMsgNewListToTifTilDetailAction.do?tilcod=2002222302375</v>
      </c>
    </row>
    <row r="2364" spans="1:9" x14ac:dyDescent="0.4">
      <c r="A2364" t="str">
        <f>"県友"</f>
        <v>県友</v>
      </c>
      <c r="B2364" s="1" t="str">
        <f t="shared" si="132"/>
        <v>県友</v>
      </c>
      <c r="C2364" t="str">
        <f>"ケンユウ"</f>
        <v>ケンユウ</v>
      </c>
      <c r="D2364" t="str">
        <f>"県寮社"</f>
        <v>県寮社</v>
      </c>
      <c r="E2364" t="str">
        <f>"ケンリョウシャ"</f>
        <v>ケンリョウシャ</v>
      </c>
      <c r="F2364" t="str">
        <f>""</f>
        <v/>
      </c>
      <c r="G2364" t="str">
        <f>"頻度不明"</f>
        <v>頻度不明</v>
      </c>
      <c r="H2364" t="str">
        <f>"2002222280503"</f>
        <v>2002222280503</v>
      </c>
      <c r="I2364" t="str">
        <f>HYPERLINK("#", "https://opac.libnet.pref.okayama.jp/licsxp-opac/WOpacMsgNewListToTifTilDetailAction.do?tilcod=2002222280503")</f>
        <v>https://opac.libnet.pref.okayama.jp/licsxp-opac/WOpacMsgNewListToTifTilDetailAction.do?tilcod=2002222280503</v>
      </c>
    </row>
    <row r="2365" spans="1:9" x14ac:dyDescent="0.4">
      <c r="A2365" t="str">
        <f>"剣友会誌"</f>
        <v>剣友会誌</v>
      </c>
      <c r="B2365" s="1" t="str">
        <f t="shared" si="132"/>
        <v>剣友会誌</v>
      </c>
      <c r="C2365" t="str">
        <f>"ケンユウカイシ"</f>
        <v>ケンユウカイシ</v>
      </c>
      <c r="D2365" t="str">
        <f>"六高剣友会本部"</f>
        <v>六高剣友会本部</v>
      </c>
      <c r="E2365" t="str">
        <f>"ロッコウ ケンユウカイ ホンブ"</f>
        <v>ロッコウ ケンユウカイ ホンブ</v>
      </c>
      <c r="F2365" t="str">
        <f>"東京"</f>
        <v>東京</v>
      </c>
      <c r="G2365" t="str">
        <f>"年刊"</f>
        <v>年刊</v>
      </c>
      <c r="H2365" t="str">
        <f>"2002222334569"</f>
        <v>2002222334569</v>
      </c>
      <c r="I2365" t="str">
        <f>HYPERLINK("#", "https://opac.libnet.pref.okayama.jp/licsxp-opac/WOpacMsgNewListToTifTilDetailAction.do?tilcod=2002222334569")</f>
        <v>https://opac.libnet.pref.okayama.jp/licsxp-opac/WOpacMsgNewListToTifTilDetailAction.do?tilcod=2002222334569</v>
      </c>
    </row>
    <row r="2366" spans="1:9" x14ac:dyDescent="0.4">
      <c r="A2366" t="str">
        <f>"県立児童会館ニュース"</f>
        <v>県立児童会館ニュース</v>
      </c>
      <c r="B2366" s="1" t="str">
        <f t="shared" si="132"/>
        <v>県立児童会館ニュース</v>
      </c>
      <c r="C2366" t="str">
        <f>"ケンリツ　ジドウ　カイカン　ニュース"</f>
        <v>ケンリツ　ジドウ　カイカン　ニュース</v>
      </c>
      <c r="D2366" t="str">
        <f>"岡山県立児童会館"</f>
        <v>岡山県立児童会館</v>
      </c>
      <c r="E2366" t="str">
        <f>"オカヤマケンリツジドウカイカン"</f>
        <v>オカヤマケンリツジドウカイカン</v>
      </c>
      <c r="F2366" t="str">
        <f>"岡山"</f>
        <v>岡山</v>
      </c>
      <c r="G2366" t="str">
        <f>"季刊"</f>
        <v>季刊</v>
      </c>
      <c r="H2366" t="str">
        <f>"2002222301305"</f>
        <v>2002222301305</v>
      </c>
      <c r="I2366" t="str">
        <f>HYPERLINK("#", "https://opac.libnet.pref.okayama.jp/licsxp-opac/WOpacMsgNewListToTifTilDetailAction.do?tilcod=2002222301305")</f>
        <v>https://opac.libnet.pref.okayama.jp/licsxp-opac/WOpacMsgNewListToTifTilDetailAction.do?tilcod=2002222301305</v>
      </c>
    </row>
    <row r="2367" spans="1:9" x14ac:dyDescent="0.4">
      <c r="A2367" t="str">
        <f>"鴻の広場"</f>
        <v>鴻の広場</v>
      </c>
      <c r="B2367" s="1" t="str">
        <f t="shared" si="132"/>
        <v>鴻の広場</v>
      </c>
      <c r="C2367" t="str">
        <f>"コウ　ノ　ヒロバ"</f>
        <v>コウ　ノ　ヒロバ</v>
      </c>
      <c r="D2367" t="str">
        <f>"倉敷市立琴浦西小学校ＰＴＡ"</f>
        <v>倉敷市立琴浦西小学校ＰＴＡ</v>
      </c>
      <c r="E2367" t="str">
        <f>"クラシキシリツコトウラニシショウガッコウピーティーエー"</f>
        <v>クラシキシリツコトウラニシショウガッコウピーティーエー</v>
      </c>
      <c r="F2367" t="str">
        <f>"〔倉敷〕"</f>
        <v>〔倉敷〕</v>
      </c>
      <c r="G2367" t="str">
        <f>"頻度不明"</f>
        <v>頻度不明</v>
      </c>
      <c r="H2367" t="str">
        <f>"2002222302082"</f>
        <v>2002222302082</v>
      </c>
      <c r="I2367" t="str">
        <f>HYPERLINK("#", "https://opac.libnet.pref.okayama.jp/licsxp-opac/WOpacMsgNewListToTifTilDetailAction.do?tilcod=2002222302082")</f>
        <v>https://opac.libnet.pref.okayama.jp/licsxp-opac/WOpacMsgNewListToTifTilDetailAction.do?tilcod=2002222302082</v>
      </c>
    </row>
    <row r="2368" spans="1:9" x14ac:dyDescent="0.4">
      <c r="A2368" t="str">
        <f>"広域行政だより"</f>
        <v>広域行政だより</v>
      </c>
      <c r="B2368" s="1" t="str">
        <f t="shared" si="132"/>
        <v>広域行政だより</v>
      </c>
      <c r="C2368" t="str">
        <f>"コウイキ　ギョウセイ　ダヨリ"</f>
        <v>コウイキ　ギョウセイ　ダヨリ</v>
      </c>
      <c r="D2368" t="str">
        <f>"岡山県企画部広域行政調査室"</f>
        <v>岡山県企画部広域行政調査室</v>
      </c>
      <c r="E2368" t="str">
        <f>"オカヤマケンキカクブコウイキギョウセイチョウサシツ"</f>
        <v>オカヤマケンキカクブコウイキギョウセイチョウサシツ</v>
      </c>
      <c r="F2368" t="str">
        <f>"岡山"</f>
        <v>岡山</v>
      </c>
      <c r="G2368" t="str">
        <f>"頻度不明"</f>
        <v>頻度不明</v>
      </c>
      <c r="H2368" t="str">
        <f>"2002222280513"</f>
        <v>2002222280513</v>
      </c>
      <c r="I2368" t="str">
        <f>HYPERLINK("#", "https://opac.libnet.pref.okayama.jp/licsxp-opac/WOpacMsgNewListToTifTilDetailAction.do?tilcod=2002222280513")</f>
        <v>https://opac.libnet.pref.okayama.jp/licsxp-opac/WOpacMsgNewListToTifTilDetailAction.do?tilcod=2002222280513</v>
      </c>
    </row>
    <row r="2369" spans="1:9" x14ac:dyDescent="0.4">
      <c r="A2369" t="str">
        <f>"広域行政ホットニュース"</f>
        <v>広域行政ホットニュース</v>
      </c>
      <c r="B2369" s="1" t="str">
        <f t="shared" si="132"/>
        <v>広域行政ホットニュース</v>
      </c>
      <c r="C2369" t="str">
        <f>"コウイキ ギョウセイ ホット ニュース"</f>
        <v>コウイキ ギョウセイ ホット ニュース</v>
      </c>
      <c r="D2369" t="str">
        <f>"津山広域事務組合"</f>
        <v>津山広域事務組合</v>
      </c>
      <c r="E2369" t="str">
        <f>"ツヤマ コウイキ ジム クミアイ"</f>
        <v>ツヤマ コウイキ ジム クミアイ</v>
      </c>
      <c r="F2369" t="str">
        <f>"津山"</f>
        <v>津山</v>
      </c>
      <c r="G2369" t="str">
        <f>"季刊"</f>
        <v>季刊</v>
      </c>
      <c r="H2369" t="str">
        <f>"2002222301639"</f>
        <v>2002222301639</v>
      </c>
      <c r="I2369" t="str">
        <f>HYPERLINK("#", "https://opac.libnet.pref.okayama.jp/licsxp-opac/WOpacMsgNewListToTifTilDetailAction.do?tilcod=2002222301639")</f>
        <v>https://opac.libnet.pref.okayama.jp/licsxp-opac/WOpacMsgNewListToTifTilDetailAction.do?tilcod=2002222301639</v>
      </c>
    </row>
    <row r="2370" spans="1:9" x14ac:dyDescent="0.4">
      <c r="A2370" t="str">
        <f>"光苑"</f>
        <v>光苑</v>
      </c>
      <c r="B2370" s="1" t="str">
        <f t="shared" si="132"/>
        <v>光苑</v>
      </c>
      <c r="C2370" t="str">
        <f>"コウエン"</f>
        <v>コウエン</v>
      </c>
      <c r="D2370" t="str">
        <f>"中国電力岡山支店厚生係"</f>
        <v>中国電力岡山支店厚生係</v>
      </c>
      <c r="E2370" t="str">
        <f>"チュウゴク デンリョク オカヤマ シテン コウセイ ガカリ"</f>
        <v>チュウゴク デンリョク オカヤマ シテン コウセイ ガカリ</v>
      </c>
      <c r="F2370" t="str">
        <f>"岡山"</f>
        <v>岡山</v>
      </c>
      <c r="G2370" t="str">
        <f>"頻度不明"</f>
        <v>頻度不明</v>
      </c>
      <c r="H2370" t="str">
        <f>"2002222313587"</f>
        <v>2002222313587</v>
      </c>
      <c r="I2370" t="str">
        <f>HYPERLINK("#", "https://opac.libnet.pref.okayama.jp/licsxp-opac/WOpacMsgNewListToTifTilDetailAction.do?tilcod=2002222313587")</f>
        <v>https://opac.libnet.pref.okayama.jp/licsxp-opac/WOpacMsgNewListToTifTilDetailAction.do?tilcod=2002222313587</v>
      </c>
    </row>
    <row r="2371" spans="1:9" x14ac:dyDescent="0.4">
      <c r="A2371" t="str">
        <f>"向礒"</f>
        <v>向礒</v>
      </c>
      <c r="B2371" s="1" t="str">
        <f t="shared" si="132"/>
        <v>向礒</v>
      </c>
      <c r="C2371" t="str">
        <f>"コウギ"</f>
        <v>コウギ</v>
      </c>
      <c r="D2371" t="str">
        <f>"八浜尋常高等小学校校友会"</f>
        <v>八浜尋常高等小学校校友会</v>
      </c>
      <c r="E2371" t="str">
        <f>"ハチハマ ジンジョウ コウトウ ショウガッコウ コウユウカイ"</f>
        <v>ハチハマ ジンジョウ コウトウ ショウガッコウ コウユウカイ</v>
      </c>
      <c r="F2371" t="str">
        <f>"八浜町(児島郡)"</f>
        <v>八浜町(児島郡)</v>
      </c>
      <c r="G2371" t="str">
        <f>"頻度不明"</f>
        <v>頻度不明</v>
      </c>
      <c r="H2371" t="str">
        <f>"2002222336974"</f>
        <v>2002222336974</v>
      </c>
      <c r="I2371" t="str">
        <f>HYPERLINK("#", "https://opac.libnet.pref.okayama.jp/licsxp-opac/WOpacMsgNewListToTifTilDetailAction.do?tilcod=2002222336974")</f>
        <v>https://opac.libnet.pref.okayama.jp/licsxp-opac/WOpacMsgNewListToTifTilDetailAction.do?tilcod=2002222336974</v>
      </c>
    </row>
    <row r="2372" spans="1:9" x14ac:dyDescent="0.4">
      <c r="A2372" t="str">
        <f>"岡輝公民館 ; 岡輝公民館だより"</f>
        <v>岡輝公民館 ; 岡輝公民館だより</v>
      </c>
      <c r="B2372" s="1" t="str">
        <f t="shared" ref="B2372:B2435" si="135">HYPERLINK("#", A2372)</f>
        <v>岡輝公民館 ; 岡輝公民館だより</v>
      </c>
      <c r="C2372" t="str">
        <f>"コウキ コウミンカン ダヨリ＊コウキ コウミンカン"</f>
        <v>コウキ コウミンカン ダヨリ＊コウキ コウミンカン</v>
      </c>
      <c r="D2372" t="str">
        <f>"岡山市立岡輝公民館"</f>
        <v>岡山市立岡輝公民館</v>
      </c>
      <c r="E2372" t="str">
        <f>"オカヤマシリツ コウキ コウミンカン"</f>
        <v>オカヤマシリツ コウキ コウミンカン</v>
      </c>
      <c r="F2372" t="str">
        <f>"岡山"</f>
        <v>岡山</v>
      </c>
      <c r="G2372" t="str">
        <f>"頻度不明"</f>
        <v>頻度不明</v>
      </c>
      <c r="H2372" t="str">
        <f>"2002222334750"</f>
        <v>2002222334750</v>
      </c>
      <c r="I2372" t="str">
        <f>HYPERLINK("#", "https://opac.libnet.pref.okayama.jp/licsxp-opac/WOpacMsgNewListToTifTilDetailAction.do?tilcod=2002222334750")</f>
        <v>https://opac.libnet.pref.okayama.jp/licsxp-opac/WOpacMsgNewListToTifTilDetailAction.do?tilcod=2002222334750</v>
      </c>
    </row>
    <row r="2373" spans="1:9" x14ac:dyDescent="0.4">
      <c r="A2373" t="str">
        <f>"岡輝；岡輝中学校PTA会報"</f>
        <v>岡輝；岡輝中学校PTA会報</v>
      </c>
      <c r="B2373" s="1" t="str">
        <f t="shared" si="135"/>
        <v>岡輝；岡輝中学校PTA会報</v>
      </c>
      <c r="C2373" t="str">
        <f>"コウキ＊コウキ チュウガッコウ ピーティーエー カイホウ"</f>
        <v>コウキ＊コウキ チュウガッコウ ピーティーエー カイホウ</v>
      </c>
      <c r="D2373" t="str">
        <f>"岡山市立岡輝中学校PTA広報委員会"</f>
        <v>岡山市立岡輝中学校PTA広報委員会</v>
      </c>
      <c r="E2373" t="str">
        <f>"オカヤマシリツ コウキ チュウガッコウ"</f>
        <v>オカヤマシリツ コウキ チュウガッコウ</v>
      </c>
      <c r="F2373" t="str">
        <f>"岡山"</f>
        <v>岡山</v>
      </c>
      <c r="G2373" t="str">
        <f>"頻度不明"</f>
        <v>頻度不明</v>
      </c>
      <c r="H2373" t="str">
        <f>"2002222334049"</f>
        <v>2002222334049</v>
      </c>
      <c r="I2373" t="str">
        <f>HYPERLINK("#", "https://opac.libnet.pref.okayama.jp/licsxp-opac/WOpacMsgNewListToTifTilDetailAction.do?tilcod=2002222334049")</f>
        <v>https://opac.libnet.pref.okayama.jp/licsxp-opac/WOpacMsgNewListToTifTilDetailAction.do?tilcod=2002222334049</v>
      </c>
    </row>
    <row r="2374" spans="1:9" x14ac:dyDescent="0.4">
      <c r="A2374" t="str">
        <f>"工業教育"</f>
        <v>工業教育</v>
      </c>
      <c r="B2374" s="1" t="str">
        <f t="shared" si="135"/>
        <v>工業教育</v>
      </c>
      <c r="C2374" t="str">
        <f>"コウギョウ　キョウイク"</f>
        <v>コウギョウ　キョウイク</v>
      </c>
      <c r="D2374" t="str">
        <f>"岡山県高等学校教育研究会工業部会"</f>
        <v>岡山県高等学校教育研究会工業部会</v>
      </c>
      <c r="E2374" t="str">
        <f>"オカヤマケンコウトウガッコウキョウイクケンキュウカイコウギョウブカイ"</f>
        <v>オカヤマケンコウトウガッコウキョウイクケンキュウカイコウギョウブカイ</v>
      </c>
      <c r="F2374" t="str">
        <f>"岡山"</f>
        <v>岡山</v>
      </c>
      <c r="G2374" t="str">
        <f>"年刊"</f>
        <v>年刊</v>
      </c>
      <c r="H2374" t="str">
        <f>"2002222294191"</f>
        <v>2002222294191</v>
      </c>
      <c r="I2374" t="str">
        <f>HYPERLINK("#", "https://opac.libnet.pref.okayama.jp/licsxp-opac/WOpacMsgNewListToTifTilDetailAction.do?tilcod=2002222294191")</f>
        <v>https://opac.libnet.pref.okayama.jp/licsxp-opac/WOpacMsgNewListToTifTilDetailAction.do?tilcod=2002222294191</v>
      </c>
    </row>
    <row r="2375" spans="1:9" x14ac:dyDescent="0.4">
      <c r="A2375" t="str">
        <f>"高教組の広場"</f>
        <v>高教組の広場</v>
      </c>
      <c r="B2375" s="1" t="str">
        <f t="shared" si="135"/>
        <v>高教組の広場</v>
      </c>
      <c r="C2375" t="str">
        <f>"コウキョウソ ノ ヒロバ"</f>
        <v>コウキョウソ ノ ヒロバ</v>
      </c>
      <c r="D2375" t="str">
        <f>"岡山県高等学校教職員組合"</f>
        <v>岡山県高等学校教職員組合</v>
      </c>
      <c r="E2375" t="str">
        <f>"オカヤマケン コウトウ ガッコウ キョウショクイン クミアイ"</f>
        <v>オカヤマケン コウトウ ガッコウ キョウショクイン クミアイ</v>
      </c>
      <c r="F2375" t="str">
        <f>"岡山"</f>
        <v>岡山</v>
      </c>
      <c r="G2375" t="str">
        <f>"年刊"</f>
        <v>年刊</v>
      </c>
      <c r="H2375" t="str">
        <f>"2002222319568"</f>
        <v>2002222319568</v>
      </c>
      <c r="I2375" t="str">
        <f>HYPERLINK("#", "https://opac.libnet.pref.okayama.jp/licsxp-opac/WOpacMsgNewListToTifTilDetailAction.do?tilcod=2002222319568")</f>
        <v>https://opac.libnet.pref.okayama.jp/licsxp-opac/WOpacMsgNewListToTifTilDetailAction.do?tilcod=2002222319568</v>
      </c>
    </row>
    <row r="2376" spans="1:9" x14ac:dyDescent="0.4">
      <c r="A2376" t="str">
        <f>"攻玉"</f>
        <v>攻玉</v>
      </c>
      <c r="B2376" s="1" t="str">
        <f t="shared" si="135"/>
        <v>攻玉</v>
      </c>
      <c r="C2376" t="str">
        <f>"コウギョク"</f>
        <v>コウギョク</v>
      </c>
      <c r="D2376" t="str">
        <f>"岡山県玉島商業学校攻玉会"</f>
        <v>岡山県玉島商業学校攻玉会</v>
      </c>
      <c r="E2376" t="str">
        <f>"オカヤマケン タマシマ ショウギョウ ガッコウ コウギョクカイ"</f>
        <v>オカヤマケン タマシマ ショウギョウ ガッコウ コウギョクカイ</v>
      </c>
      <c r="F2376" t="str">
        <f>"玉島町(浅口郡)"</f>
        <v>玉島町(浅口郡)</v>
      </c>
      <c r="G2376" t="str">
        <f>"頻度不明"</f>
        <v>頻度不明</v>
      </c>
      <c r="H2376" t="str">
        <f>"2002222331028"</f>
        <v>2002222331028</v>
      </c>
      <c r="I2376" t="str">
        <f>HYPERLINK("#", "https://opac.libnet.pref.okayama.jp/licsxp-opac/WOpacMsgNewListToTifTilDetailAction.do?tilcod=2002222331028")</f>
        <v>https://opac.libnet.pref.okayama.jp/licsxp-opac/WOpacMsgNewListToTifTilDetailAction.do?tilcod=2002222331028</v>
      </c>
    </row>
    <row r="2377" spans="1:9" x14ac:dyDescent="0.4">
      <c r="A2377" t="str">
        <f>"敲鍵暁　岡山人間論ゼミ講義録"</f>
        <v>敲鍵暁　岡山人間論ゼミ講義録</v>
      </c>
      <c r="B2377" s="1" t="str">
        <f t="shared" si="135"/>
        <v>敲鍵暁　岡山人間論ゼミ講義録</v>
      </c>
      <c r="C2377" t="str">
        <f>"コウケンギョウ　オカヤマ　ニンゲンロン　ゼミ　コウギロク"</f>
        <v>コウケンギョウ　オカヤマ　ニンゲンロン　ゼミ　コウギロク</v>
      </c>
      <c r="D2377" t="str">
        <f>"岡山人間論ゼミ編集部"</f>
        <v>岡山人間論ゼミ編集部</v>
      </c>
      <c r="E2377" t="str">
        <f>"オカヤマニンゲンロンゼミヘンシュウブ"</f>
        <v>オカヤマニンゲンロンゼミヘンシュウブ</v>
      </c>
      <c r="F2377" t="str">
        <f>"岡山"</f>
        <v>岡山</v>
      </c>
      <c r="G2377" t="str">
        <f>"隔月刊"</f>
        <v>隔月刊</v>
      </c>
      <c r="H2377" t="str">
        <f>"2002222282451"</f>
        <v>2002222282451</v>
      </c>
      <c r="I2377" t="str">
        <f>HYPERLINK("#", "https://opac.libnet.pref.okayama.jp/licsxp-opac/WOpacMsgNewListToTifTilDetailAction.do?tilcod=2002222282451")</f>
        <v>https://opac.libnet.pref.okayama.jp/licsxp-opac/WOpacMsgNewListToTifTilDetailAction.do?tilcod=2002222282451</v>
      </c>
    </row>
    <row r="2378" spans="1:9" x14ac:dyDescent="0.4">
      <c r="A2378" t="str">
        <f>"考古"</f>
        <v>考古</v>
      </c>
      <c r="B2378" s="1" t="str">
        <f t="shared" si="135"/>
        <v>考古</v>
      </c>
      <c r="C2378" t="str">
        <f>"コウコ"</f>
        <v>コウコ</v>
      </c>
      <c r="D2378" t="str">
        <f>"吉備考古会"</f>
        <v>吉備考古会</v>
      </c>
      <c r="E2378" t="str">
        <f>"キビ コウコカイ"</f>
        <v>キビ コウコカイ</v>
      </c>
      <c r="F2378" t="str">
        <f>"岡山"</f>
        <v>岡山</v>
      </c>
      <c r="G2378" t="str">
        <f>"頻度不明"</f>
        <v>頻度不明</v>
      </c>
      <c r="H2378" t="str">
        <f>"2002222317207"</f>
        <v>2002222317207</v>
      </c>
      <c r="I2378" t="str">
        <f>HYPERLINK("#", "https://opac.libnet.pref.okayama.jp/licsxp-opac/WOpacMsgNewListToTifTilDetailAction.do?tilcod=2002222317207")</f>
        <v>https://opac.libnet.pref.okayama.jp/licsxp-opac/WOpacMsgNewListToTifTilDetailAction.do?tilcod=2002222317207</v>
      </c>
    </row>
    <row r="2379" spans="1:9" x14ac:dyDescent="0.4">
      <c r="A2379" t="str">
        <f>"高考情報"</f>
        <v>高考情報</v>
      </c>
      <c r="B2379" s="1" t="str">
        <f t="shared" si="135"/>
        <v>高考情報</v>
      </c>
      <c r="C2379" t="str">
        <f>"コウコウ　ジョウホウ"</f>
        <v>コウコウ　ジョウホウ</v>
      </c>
      <c r="D2379" t="str">
        <f>"勝英高齢者地域福祉・保健活動ネットワークシステム研究会"</f>
        <v>勝英高齢者地域福祉・保健活動ネットワークシステム研究会</v>
      </c>
      <c r="E2379" t="str">
        <f>"ショウエイコウレイシャチイキフクシホケンカツドウネットワークシステムケンキュウカイ"</f>
        <v>ショウエイコウレイシャチイキフクシホケンカツドウネットワークシステムケンキュウカイ</v>
      </c>
      <c r="F2379" t="str">
        <f>""</f>
        <v/>
      </c>
      <c r="G2379" t="str">
        <f>"頻度不明"</f>
        <v>頻度不明</v>
      </c>
      <c r="H2379" t="str">
        <f>"2002222280523"</f>
        <v>2002222280523</v>
      </c>
      <c r="I2379" t="str">
        <f>HYPERLINK("#", "https://opac.libnet.pref.okayama.jp/licsxp-opac/WOpacMsgNewListToTifTilDetailAction.do?tilcod=2002222280523")</f>
        <v>https://opac.libnet.pref.okayama.jp/licsxp-opac/WOpacMsgNewListToTifTilDetailAction.do?tilcod=2002222280523</v>
      </c>
    </row>
    <row r="2380" spans="1:9" x14ac:dyDescent="0.4">
      <c r="A2380" t="str">
        <f>"考古学研究"</f>
        <v>考古学研究</v>
      </c>
      <c r="B2380" s="1" t="str">
        <f t="shared" si="135"/>
        <v>考古学研究</v>
      </c>
      <c r="C2380" t="str">
        <f>"コウコガク　ケンキュウ"</f>
        <v>コウコガク　ケンキュウ</v>
      </c>
      <c r="D2380" t="str">
        <f>"考古学研究会"</f>
        <v>考古学研究会</v>
      </c>
      <c r="E2380" t="str">
        <f>"コウコガク ケンキュウカイ"</f>
        <v>コウコガク ケンキュウカイ</v>
      </c>
      <c r="F2380" t="str">
        <f>"岡山"</f>
        <v>岡山</v>
      </c>
      <c r="G2380" t="str">
        <f>"季刊"</f>
        <v>季刊</v>
      </c>
      <c r="H2380" t="str">
        <f>"2002222291371"</f>
        <v>2002222291371</v>
      </c>
      <c r="I2380" t="str">
        <f>HYPERLINK("#", "https://opac.libnet.pref.okayama.jp/licsxp-opac/WOpacMsgNewListToTifTilDetailAction.do?tilcod=2002222291371")</f>
        <v>https://opac.libnet.pref.okayama.jp/licsxp-opac/WOpacMsgNewListToTifTilDetailAction.do?tilcod=2002222291371</v>
      </c>
    </row>
    <row r="2381" spans="1:9" x14ac:dyDescent="0.4">
      <c r="A2381" t="str">
        <f>"こうさい"</f>
        <v>こうさい</v>
      </c>
      <c r="B2381" s="1" t="str">
        <f t="shared" si="135"/>
        <v>こうさい</v>
      </c>
      <c r="C2381" t="str">
        <f>"コウサイ"</f>
        <v>コウサイ</v>
      </c>
      <c r="D2381" t="str">
        <f>"岡山市立弘西小学校P.T.A.広報委員会"</f>
        <v>岡山市立弘西小学校P.T.A.広報委員会</v>
      </c>
      <c r="E2381" t="str">
        <f>"オカヤマシリツ コウサイ ショウガッコウ"</f>
        <v>オカヤマシリツ コウサイ ショウガッコウ</v>
      </c>
      <c r="F2381" t="str">
        <f>"岡山"</f>
        <v>岡山</v>
      </c>
      <c r="G2381" t="str">
        <f>"頻度不明"</f>
        <v>頻度不明</v>
      </c>
      <c r="H2381" t="str">
        <f>"2002222339590"</f>
        <v>2002222339590</v>
      </c>
      <c r="I2381" t="str">
        <f>HYPERLINK("#", "https://opac.libnet.pref.okayama.jp/licsxp-opac/WOpacMsgNewListToTifTilDetailAction.do?tilcod=2002222339590")</f>
        <v>https://opac.libnet.pref.okayama.jp/licsxp-opac/WOpacMsgNewListToTifTilDetailAction.do?tilcod=2002222339590</v>
      </c>
    </row>
    <row r="2382" spans="1:9" x14ac:dyDescent="0.4">
      <c r="A2382" t="str">
        <f>"弘済会報"</f>
        <v>弘済会報</v>
      </c>
      <c r="B2382" s="1" t="str">
        <f t="shared" si="135"/>
        <v>弘済会報</v>
      </c>
      <c r="C2382" t="str">
        <f>"コウサイ　カイホウ"</f>
        <v>コウサイ　カイホウ</v>
      </c>
      <c r="D2382" t="str">
        <f>"日本教育公務員弘済会岡山支部"</f>
        <v>日本教育公務員弘済会岡山支部</v>
      </c>
      <c r="E2382" t="str">
        <f>"ニホン キョウイク コウムイン コウサイカイ オカヤマ シブ"</f>
        <v>ニホン キョウイク コウムイン コウサイカイ オカヤマ シブ</v>
      </c>
      <c r="F2382" t="str">
        <f>"岡山"</f>
        <v>岡山</v>
      </c>
      <c r="G2382" t="str">
        <f>"年３回刊"</f>
        <v>年３回刊</v>
      </c>
      <c r="H2382" t="str">
        <f>"2002222284361"</f>
        <v>2002222284361</v>
      </c>
      <c r="I2382" t="str">
        <f>HYPERLINK("#", "https://opac.libnet.pref.okayama.jp/licsxp-opac/WOpacMsgNewListToTifTilDetailAction.do?tilcod=2002222284361")</f>
        <v>https://opac.libnet.pref.okayama.jp/licsxp-opac/WOpacMsgNewListToTifTilDetailAction.do?tilcod=2002222284361</v>
      </c>
    </row>
    <row r="2383" spans="1:9" x14ac:dyDescent="0.4">
      <c r="A2383" t="str">
        <f>"弘済会通信"</f>
        <v>弘済会通信</v>
      </c>
      <c r="B2383" s="1" t="str">
        <f t="shared" si="135"/>
        <v>弘済会通信</v>
      </c>
      <c r="C2383" t="str">
        <f>"コウサイカイ　ツウシン"</f>
        <v>コウサイカイ　ツウシン</v>
      </c>
      <c r="D2383" t="str">
        <f>"岡山教弘"</f>
        <v>岡山教弘</v>
      </c>
      <c r="E2383" t="str">
        <f>"オカヤマキョウコウ"</f>
        <v>オカヤマキョウコウ</v>
      </c>
      <c r="F2383" t="str">
        <f>"岡山"</f>
        <v>岡山</v>
      </c>
      <c r="G2383" t="str">
        <f>"頻度不明"</f>
        <v>頻度不明</v>
      </c>
      <c r="H2383" t="str">
        <f>"2002222281891"</f>
        <v>2002222281891</v>
      </c>
      <c r="I2383" t="str">
        <f>HYPERLINK("#", "https://opac.libnet.pref.okayama.jp/licsxp-opac/WOpacMsgNewListToTifTilDetailAction.do?tilcod=2002222281891")</f>
        <v>https://opac.libnet.pref.okayama.jp/licsxp-opac/WOpacMsgNewListToTifTilDetailAction.do?tilcod=2002222281891</v>
      </c>
    </row>
    <row r="2384" spans="1:9" x14ac:dyDescent="0.4">
      <c r="A2384" t="str">
        <f>"校誌しらゆり"</f>
        <v>校誌しらゆり</v>
      </c>
      <c r="B2384" s="1" t="str">
        <f t="shared" si="135"/>
        <v>校誌しらゆり</v>
      </c>
      <c r="C2384" t="str">
        <f>"コウシ シラユリ"</f>
        <v>コウシ シラユリ</v>
      </c>
      <c r="D2384" t="str">
        <f>"倉敷中央高等学校"</f>
        <v>倉敷中央高等学校</v>
      </c>
      <c r="E2384" t="str">
        <f>"クラシキ チュウオウ コウトウ ガッコウ"</f>
        <v>クラシキ チュウオウ コウトウ ガッコウ</v>
      </c>
      <c r="F2384" t="str">
        <f>"倉敷"</f>
        <v>倉敷</v>
      </c>
      <c r="G2384" t="str">
        <f>"年刊"</f>
        <v>年刊</v>
      </c>
      <c r="H2384" t="str">
        <f>"2002222342692"</f>
        <v>2002222342692</v>
      </c>
      <c r="I2384" t="str">
        <f>HYPERLINK("#", "https://opac.libnet.pref.okayama.jp/licsxp-opac/WOpacMsgNewListToTifTilDetailAction.do?tilcod=2002222342692")</f>
        <v>https://opac.libnet.pref.okayama.jp/licsxp-opac/WOpacMsgNewListToTifTilDetailAction.do?tilcod=2002222342692</v>
      </c>
    </row>
    <row r="2385" spans="1:9" x14ac:dyDescent="0.4">
      <c r="A2385" t="str">
        <f>"校誌｢東天｣"</f>
        <v>校誌｢東天｣</v>
      </c>
      <c r="B2385" s="1" t="str">
        <f t="shared" si="135"/>
        <v>校誌｢東天｣</v>
      </c>
      <c r="C2385" t="str">
        <f>"コウシ トウテン"</f>
        <v>コウシ トウテン</v>
      </c>
      <c r="D2385" t="str">
        <f>"岡山工業高等学校"</f>
        <v>岡山工業高等学校</v>
      </c>
      <c r="E2385" t="str">
        <f>"オカヤマ コウギョウ コウトウ ガッコウ"</f>
        <v>オカヤマ コウギョウ コウトウ ガッコウ</v>
      </c>
      <c r="F2385" t="str">
        <f>"岡山"</f>
        <v>岡山</v>
      </c>
      <c r="G2385" t="str">
        <f>"年刊"</f>
        <v>年刊</v>
      </c>
      <c r="H2385" t="str">
        <f>"2002222288253"</f>
        <v>2002222288253</v>
      </c>
      <c r="I2385" t="str">
        <f>HYPERLINK("#", "https://opac.libnet.pref.okayama.jp/licsxp-opac/WOpacMsgNewListToTifTilDetailAction.do?tilcod=2002222288253")</f>
        <v>https://opac.libnet.pref.okayama.jp/licsxp-opac/WOpacMsgNewListToTifTilDetailAction.do?tilcod=2002222288253</v>
      </c>
    </row>
    <row r="2386" spans="1:9" x14ac:dyDescent="0.4">
      <c r="A2386" t="str">
        <f>"校誌みかど"</f>
        <v>校誌みかど</v>
      </c>
      <c r="B2386" s="1" t="str">
        <f t="shared" si="135"/>
        <v>校誌みかど</v>
      </c>
      <c r="C2386" t="str">
        <f>"コウシ　ミカド"</f>
        <v>コウシ　ミカド</v>
      </c>
      <c r="D2386" t="str">
        <f>"関西高等学校"</f>
        <v>関西高等学校</v>
      </c>
      <c r="E2386" t="str">
        <f>"カンゼイ コウトウ ガッコウ"</f>
        <v>カンゼイ コウトウ ガッコウ</v>
      </c>
      <c r="F2386" t="str">
        <f>"岡山"</f>
        <v>岡山</v>
      </c>
      <c r="G2386" t="str">
        <f>"年刊"</f>
        <v>年刊</v>
      </c>
      <c r="H2386" t="str">
        <f>"2002222283101"</f>
        <v>2002222283101</v>
      </c>
      <c r="I2386" t="str">
        <f>HYPERLINK("#", "https://opac.libnet.pref.okayama.jp/licsxp-opac/WOpacMsgNewListToTifTilDetailAction.do?tilcod=2002222283101")</f>
        <v>https://opac.libnet.pref.okayama.jp/licsxp-opac/WOpacMsgNewListToTifTilDetailAction.do?tilcod=2002222283101</v>
      </c>
    </row>
    <row r="2387" spans="1:9" x14ac:dyDescent="0.4">
      <c r="A2387" t="str">
        <f>"公衆衛生看護研究"</f>
        <v>公衆衛生看護研究</v>
      </c>
      <c r="B2387" s="1" t="str">
        <f t="shared" si="135"/>
        <v>公衆衛生看護研究</v>
      </c>
      <c r="C2387" t="str">
        <f>"コウシュウ　エイセイ　カンゴ　ケンキュウ"</f>
        <v>コウシュウ　エイセイ　カンゴ　ケンキュウ</v>
      </c>
      <c r="D2387" t="str">
        <f>"新見公立短期大学地域看護学専攻科"</f>
        <v>新見公立短期大学地域看護学専攻科</v>
      </c>
      <c r="E2387" t="str">
        <f>"ニイミコウリツタンキダイガクチイキカンゴガクセンコウカ"</f>
        <v>ニイミコウリツタンキダイガクチイキカンゴガクセンコウカ</v>
      </c>
      <c r="F2387" t="str">
        <f>"新見"</f>
        <v>新見</v>
      </c>
      <c r="G2387" t="str">
        <f>"頻度不明"</f>
        <v>頻度不明</v>
      </c>
      <c r="H2387" t="str">
        <f>"2002222302426"</f>
        <v>2002222302426</v>
      </c>
      <c r="I2387" t="str">
        <f>HYPERLINK("#", "https://opac.libnet.pref.okayama.jp/licsxp-opac/WOpacMsgNewListToTifTilDetailAction.do?tilcod=2002222302426")</f>
        <v>https://opac.libnet.pref.okayama.jp/licsxp-opac/WOpacMsgNewListToTifTilDetailAction.do?tilcod=2002222302426</v>
      </c>
    </row>
    <row r="2388" spans="1:9" x14ac:dyDescent="0.4">
      <c r="A2388" t="str">
        <f>"こうじょ"</f>
        <v>こうじょ</v>
      </c>
      <c r="B2388" s="1" t="str">
        <f t="shared" si="135"/>
        <v>こうじょ</v>
      </c>
      <c r="C2388" t="str">
        <f>"コウジョ"</f>
        <v>コウジョ</v>
      </c>
      <c r="D2388" t="str">
        <f>"岡山市立興除公民館"</f>
        <v>岡山市立興除公民館</v>
      </c>
      <c r="E2388" t="str">
        <f>"オカヤマ　シリツ　コウジョ　コウミンカン"</f>
        <v>オカヤマ　シリツ　コウジョ　コウミンカン</v>
      </c>
      <c r="F2388" t="str">
        <f>"岡山"</f>
        <v>岡山</v>
      </c>
      <c r="G2388" t="str">
        <f>"月刊"</f>
        <v>月刊</v>
      </c>
      <c r="H2388" t="str">
        <f>"2002222341377"</f>
        <v>2002222341377</v>
      </c>
      <c r="I2388" t="str">
        <f>HYPERLINK("#", "https://opac.libnet.pref.okayama.jp/licsxp-opac/WOpacMsgNewListToTifTilDetailAction.do?tilcod=2002222341377")</f>
        <v>https://opac.libnet.pref.okayama.jp/licsxp-opac/WOpacMsgNewListToTifTilDetailAction.do?tilcod=2002222341377</v>
      </c>
    </row>
    <row r="2389" spans="1:9" x14ac:dyDescent="0.4">
      <c r="A2389" t="str">
        <f>"興譲会報"</f>
        <v>興譲会報</v>
      </c>
      <c r="B2389" s="1" t="str">
        <f t="shared" si="135"/>
        <v>興譲会報</v>
      </c>
      <c r="C2389" t="str">
        <f>"コウジョウ　カイホウ"</f>
        <v>コウジョウ　カイホウ</v>
      </c>
      <c r="D2389" t="str">
        <f>"興譲会"</f>
        <v>興譲会</v>
      </c>
      <c r="E2389" t="str">
        <f>"コウジョウカイ"</f>
        <v>コウジョウカイ</v>
      </c>
      <c r="F2389" t="str">
        <f>"西江原村（後月郡）"</f>
        <v>西江原村（後月郡）</v>
      </c>
      <c r="G2389" t="str">
        <f>"頻度不明"</f>
        <v>頻度不明</v>
      </c>
      <c r="H2389" t="str">
        <f>"2002222301379"</f>
        <v>2002222301379</v>
      </c>
      <c r="I2389" t="str">
        <f>HYPERLINK("#", "https://opac.libnet.pref.okayama.jp/licsxp-opac/WOpacMsgNewListToTifTilDetailAction.do?tilcod=2002222301379")</f>
        <v>https://opac.libnet.pref.okayama.jp/licsxp-opac/WOpacMsgNewListToTifTilDetailAction.do?tilcod=2002222301379</v>
      </c>
    </row>
    <row r="2390" spans="1:9" x14ac:dyDescent="0.4">
      <c r="A2390" t="str">
        <f>"向上一路；邑久高等学校通信"</f>
        <v>向上一路；邑久高等学校通信</v>
      </c>
      <c r="B2390" s="1" t="str">
        <f t="shared" si="135"/>
        <v>向上一路；邑久高等学校通信</v>
      </c>
      <c r="C2390" t="str">
        <f>"コウジョウ　ノ　イチロ＊オク　コウトウ　ガッコウ"</f>
        <v>コウジョウ　ノ　イチロ＊オク　コウトウ　ガッコウ</v>
      </c>
      <c r="D2390" t="str">
        <f>"邑久高等学校"</f>
        <v>邑久高等学校</v>
      </c>
      <c r="E2390" t="str">
        <f>"オク コウトウ ガッコウ"</f>
        <v>オク コウトウ ガッコウ</v>
      </c>
      <c r="F2390" t="str">
        <f>"瀬戸内"</f>
        <v>瀬戸内</v>
      </c>
      <c r="G2390" t="str">
        <f>"年３回刊"</f>
        <v>年３回刊</v>
      </c>
      <c r="H2390" t="str">
        <f>"2002222301846"</f>
        <v>2002222301846</v>
      </c>
      <c r="I2390" t="str">
        <f>HYPERLINK("#", "https://opac.libnet.pref.okayama.jp/licsxp-opac/WOpacMsgNewListToTifTilDetailAction.do?tilcod=2002222301846")</f>
        <v>https://opac.libnet.pref.okayama.jp/licsxp-opac/WOpacMsgNewListToTifTilDetailAction.do?tilcod=2002222301846</v>
      </c>
    </row>
    <row r="2391" spans="1:9" x14ac:dyDescent="0.4">
      <c r="A2391" t="str">
        <f>"[興譲館高等学校] 学校案内"</f>
        <v>[興譲館高等学校] 学校案内</v>
      </c>
      <c r="B2391" s="1" t="str">
        <f t="shared" si="135"/>
        <v>[興譲館高等学校] 学校案内</v>
      </c>
      <c r="C2391" t="str">
        <f>"コウジョウカン　コウトウ　ガッコウ　ガッコウ　アンナイ"</f>
        <v>コウジョウカン　コウトウ　ガッコウ　ガッコウ　アンナイ</v>
      </c>
      <c r="D2391" t="str">
        <f>"興譲館高等学校"</f>
        <v>興譲館高等学校</v>
      </c>
      <c r="E2391" t="str">
        <f>"コウジョウカン コウトウ ガッコウ"</f>
        <v>コウジョウカン コウトウ ガッコウ</v>
      </c>
      <c r="F2391" t="str">
        <f>"井原"</f>
        <v>井原</v>
      </c>
      <c r="G2391" t="str">
        <f>"年刊"</f>
        <v>年刊</v>
      </c>
      <c r="H2391" t="str">
        <f>"2002222301193"</f>
        <v>2002222301193</v>
      </c>
      <c r="I2391" t="str">
        <f>HYPERLINK("#", "https://opac.libnet.pref.okayama.jp/licsxp-opac/WOpacMsgNewListToTifTilDetailAction.do?tilcod=2002222301193")</f>
        <v>https://opac.libnet.pref.okayama.jp/licsxp-opac/WOpacMsgNewListToTifTilDetailAction.do?tilcod=2002222301193</v>
      </c>
    </row>
    <row r="2392" spans="1:9" x14ac:dyDescent="0.4">
      <c r="A2392" t="str">
        <f>"[興譲館高等学校]学校要覧"</f>
        <v>[興譲館高等学校]学校要覧</v>
      </c>
      <c r="B2392" s="1" t="str">
        <f t="shared" si="135"/>
        <v>[興譲館高等学校]学校要覧</v>
      </c>
      <c r="C2392" t="str">
        <f>"コウジョウカン　コウトウ　ガッコウ　ガッコウ　ヨウラン"</f>
        <v>コウジョウカン　コウトウ　ガッコウ　ガッコウ　ヨウラン</v>
      </c>
      <c r="D2392" t="str">
        <f>"興譲館高等学校"</f>
        <v>興譲館高等学校</v>
      </c>
      <c r="E2392" t="str">
        <f>"コウジョウカン コウトウ ガッコウ"</f>
        <v>コウジョウカン コウトウ ガッコウ</v>
      </c>
      <c r="F2392" t="str">
        <f>"井原"</f>
        <v>井原</v>
      </c>
      <c r="G2392" t="str">
        <f>"年刊"</f>
        <v>年刊</v>
      </c>
      <c r="H2392" t="str">
        <f>"2002222300585"</f>
        <v>2002222300585</v>
      </c>
      <c r="I2392" t="str">
        <f>HYPERLINK("#", "https://opac.libnet.pref.okayama.jp/licsxp-opac/WOpacMsgNewListToTifTilDetailAction.do?tilcod=2002222300585")</f>
        <v>https://opac.libnet.pref.okayama.jp/licsxp-opac/WOpacMsgNewListToTifTilDetailAction.do?tilcod=2002222300585</v>
      </c>
    </row>
    <row r="2393" spans="1:9" x14ac:dyDescent="0.4">
      <c r="A2393" t="str">
        <f>"〔興譲館高等学校通信制課程〕学校案内"</f>
        <v>〔興譲館高等学校通信制課程〕学校案内</v>
      </c>
      <c r="B2393" s="1" t="str">
        <f t="shared" si="135"/>
        <v>〔興譲館高等学校通信制課程〕学校案内</v>
      </c>
      <c r="C2393" t="str">
        <f>"コウジョウカン コウトウ ガッコウ ツウシンセイ カテイ＊ガッコウ アンナイ"</f>
        <v>コウジョウカン コウトウ ガッコウ ツウシンセイ カテイ＊ガッコウ アンナイ</v>
      </c>
      <c r="D2393" t="str">
        <f>"興譲館高等学校通信制課程"</f>
        <v>興譲館高等学校通信制課程</v>
      </c>
      <c r="E2393" t="str">
        <f>"コウジョウカン コウトウ ガッコウ ツウシンセイ カテイ"</f>
        <v>コウジョウカン コウトウ ガッコウ ツウシンセイ カテイ</v>
      </c>
      <c r="F2393" t="str">
        <f>"井原"</f>
        <v>井原</v>
      </c>
      <c r="G2393" t="str">
        <f>"年刊"</f>
        <v>年刊</v>
      </c>
      <c r="H2393" t="str">
        <f>"2002222329747"</f>
        <v>2002222329747</v>
      </c>
      <c r="I2393" t="str">
        <f>HYPERLINK("#", "https://opac.libnet.pref.okayama.jp/licsxp-opac/WOpacMsgNewListToTifTilDetailAction.do?tilcod=2002222329747")</f>
        <v>https://opac.libnet.pref.okayama.jp/licsxp-opac/WOpacMsgNewListToTifTilDetailAction.do?tilcod=2002222329747</v>
      </c>
    </row>
    <row r="2394" spans="1:9" x14ac:dyDescent="0.4">
      <c r="A2394" t="str">
        <f>"〔興譲館高等学校〕興譲"</f>
        <v>〔興譲館高等学校〕興譲</v>
      </c>
      <c r="B2394" s="1" t="str">
        <f t="shared" si="135"/>
        <v>〔興譲館高等学校〕興譲</v>
      </c>
      <c r="C2394" t="str">
        <f>"コウジョウカン　コウトウ　ガッコウ＊コウジョウ"</f>
        <v>コウジョウカン　コウトウ　ガッコウ＊コウジョウ</v>
      </c>
      <c r="D2394" t="str">
        <f>"興譲館高等学校"</f>
        <v>興譲館高等学校</v>
      </c>
      <c r="E2394" t="str">
        <f>"コウジョウカン コウトウ ガッコウ"</f>
        <v>コウジョウカン コウトウ ガッコウ</v>
      </c>
      <c r="F2394" t="str">
        <f>""</f>
        <v/>
      </c>
      <c r="G2394" t="str">
        <f t="shared" ref="G2394:G2401" si="136">"頻度不明"</f>
        <v>頻度不明</v>
      </c>
      <c r="H2394" t="str">
        <f>"2002222289553"</f>
        <v>2002222289553</v>
      </c>
      <c r="I2394" t="str">
        <f>HYPERLINK("#", "https://opac.libnet.pref.okayama.jp/licsxp-opac/WOpacMsgNewListToTifTilDetailAction.do?tilcod=2002222289553")</f>
        <v>https://opac.libnet.pref.okayama.jp/licsxp-opac/WOpacMsgNewListToTifTilDetailAction.do?tilcod=2002222289553</v>
      </c>
    </row>
    <row r="2395" spans="1:9" x14ac:dyDescent="0.4">
      <c r="A2395" t="str">
        <f>"〔興譲館高等学校〕興譲新聞"</f>
        <v>〔興譲館高等学校〕興譲新聞</v>
      </c>
      <c r="B2395" s="1" t="str">
        <f t="shared" si="135"/>
        <v>〔興譲館高等学校〕興譲新聞</v>
      </c>
      <c r="C2395" t="str">
        <f>"コウジョウカン　コウトウ　ガッコウ＊コウジョウ　シンブン"</f>
        <v>コウジョウカン　コウトウ　ガッコウ＊コウジョウ　シンブン</v>
      </c>
      <c r="D2395" t="str">
        <f>"興譲館高等学校"</f>
        <v>興譲館高等学校</v>
      </c>
      <c r="E2395" t="str">
        <f>"コウジョウカン コウトウ ガッコウ"</f>
        <v>コウジョウカン コウトウ ガッコウ</v>
      </c>
      <c r="F2395" t="str">
        <f>"井原"</f>
        <v>井原</v>
      </c>
      <c r="G2395" t="str">
        <f t="shared" si="136"/>
        <v>頻度不明</v>
      </c>
      <c r="H2395" t="str">
        <f>"2002222301930"</f>
        <v>2002222301930</v>
      </c>
      <c r="I2395" t="str">
        <f>HYPERLINK("#", "https://opac.libnet.pref.okayama.jp/licsxp-opac/WOpacMsgNewListToTifTilDetailAction.do?tilcod=2002222301930")</f>
        <v>https://opac.libnet.pref.okayama.jp/licsxp-opac/WOpacMsgNewListToTifTilDetailAction.do?tilcod=2002222301930</v>
      </c>
    </row>
    <row r="2396" spans="1:9" x14ac:dyDescent="0.4">
      <c r="A2396" t="str">
        <f>"興譲館雑誌"</f>
        <v>興譲館雑誌</v>
      </c>
      <c r="B2396" s="1" t="str">
        <f t="shared" si="135"/>
        <v>興譲館雑誌</v>
      </c>
      <c r="C2396" t="str">
        <f>"コウジョウカン ザッシ"</f>
        <v>コウジョウカン ザッシ</v>
      </c>
      <c r="D2396" t="str">
        <f>"癸卯会"</f>
        <v>癸卯会</v>
      </c>
      <c r="E2396" t="str">
        <f>"ミズノトウカイ"</f>
        <v>ミズノトウカイ</v>
      </c>
      <c r="F2396" t="str">
        <f>"岡山"</f>
        <v>岡山</v>
      </c>
      <c r="G2396" t="str">
        <f t="shared" si="136"/>
        <v>頻度不明</v>
      </c>
      <c r="H2396" t="str">
        <f>"2002222309990"</f>
        <v>2002222309990</v>
      </c>
      <c r="I2396" t="str">
        <f>HYPERLINK("#", "https://opac.libnet.pref.okayama.jp/licsxp-opac/WOpacMsgNewListToTifTilDetailAction.do?tilcod=2002222309990")</f>
        <v>https://opac.libnet.pref.okayama.jp/licsxp-opac/WOpacMsgNewListToTifTilDetailAction.do?tilcod=2002222309990</v>
      </c>
    </row>
    <row r="2397" spans="1:9" x14ac:dyDescent="0.4">
      <c r="A2397" t="str">
        <f>"〔興譲館中学校〕興譲"</f>
        <v>〔興譲館中学校〕興譲</v>
      </c>
      <c r="B2397" s="1" t="str">
        <f t="shared" si="135"/>
        <v>〔興譲館中学校〕興譲</v>
      </c>
      <c r="C2397" t="str">
        <f>"コウジョウカン　チュウガッコウ＊コウジョウ"</f>
        <v>コウジョウカン　チュウガッコウ＊コウジョウ</v>
      </c>
      <c r="D2397" t="str">
        <f>"興譲館中学校癸卯会"</f>
        <v>興譲館中学校癸卯会</v>
      </c>
      <c r="E2397" t="str">
        <f>"コウジョウカンチュウガッコウキボウカイ"</f>
        <v>コウジョウカンチュウガッコウキボウカイ</v>
      </c>
      <c r="F2397" t="str">
        <f>""</f>
        <v/>
      </c>
      <c r="G2397" t="str">
        <f t="shared" si="136"/>
        <v>頻度不明</v>
      </c>
      <c r="H2397" t="str">
        <f>"2002222289543"</f>
        <v>2002222289543</v>
      </c>
      <c r="I2397" t="str">
        <f>HYPERLINK("#", "https://opac.libnet.pref.okayama.jp/licsxp-opac/WOpacMsgNewListToTifTilDetailAction.do?tilcod=2002222289543")</f>
        <v>https://opac.libnet.pref.okayama.jp/licsxp-opac/WOpacMsgNewListToTifTilDetailAction.do?tilcod=2002222289543</v>
      </c>
    </row>
    <row r="2398" spans="1:9" x14ac:dyDescent="0.4">
      <c r="A2398" t="str">
        <f>"恒心"</f>
        <v>恒心</v>
      </c>
      <c r="B2398" s="1" t="str">
        <f t="shared" si="135"/>
        <v>恒心</v>
      </c>
      <c r="C2398" t="str">
        <f>"コウシン"</f>
        <v>コウシン</v>
      </c>
      <c r="D2398" t="str">
        <f>"恒心社"</f>
        <v>恒心社</v>
      </c>
      <c r="E2398" t="str">
        <f>"コウシンシャ"</f>
        <v>コウシンシャ</v>
      </c>
      <c r="F2398" t="str">
        <f>""</f>
        <v/>
      </c>
      <c r="G2398" t="str">
        <f t="shared" si="136"/>
        <v>頻度不明</v>
      </c>
      <c r="H2398" t="str">
        <f>"2002222280543"</f>
        <v>2002222280543</v>
      </c>
      <c r="I2398" t="str">
        <f>HYPERLINK("#", "https://opac.libnet.pref.okayama.jp/licsxp-opac/WOpacMsgNewListToTifTilDetailAction.do?tilcod=2002222280543")</f>
        <v>https://opac.libnet.pref.okayama.jp/licsxp-opac/WOpacMsgNewListToTifTilDetailAction.do?tilcod=2002222280543</v>
      </c>
    </row>
    <row r="2399" spans="1:9" x14ac:dyDescent="0.4">
      <c r="A2399" t="str">
        <f>"恒心"</f>
        <v>恒心</v>
      </c>
      <c r="B2399" s="1" t="str">
        <f t="shared" si="135"/>
        <v>恒心</v>
      </c>
      <c r="C2399" t="str">
        <f>"コウシン"</f>
        <v>コウシン</v>
      </c>
      <c r="D2399" t="str">
        <f>"恒心会"</f>
        <v>恒心会</v>
      </c>
      <c r="E2399" t="str">
        <f>"コウシンカイ"</f>
        <v>コウシンカイ</v>
      </c>
      <c r="F2399" t="str">
        <f>"岡山"</f>
        <v>岡山</v>
      </c>
      <c r="G2399" t="str">
        <f t="shared" si="136"/>
        <v>頻度不明</v>
      </c>
      <c r="H2399" t="str">
        <f>"2002222280553"</f>
        <v>2002222280553</v>
      </c>
      <c r="I2399" t="str">
        <f>HYPERLINK("#", "https://opac.libnet.pref.okayama.jp/licsxp-opac/WOpacMsgNewListToTifTilDetailAction.do?tilcod=2002222280553")</f>
        <v>https://opac.libnet.pref.okayama.jp/licsxp-opac/WOpacMsgNewListToTifTilDetailAction.do?tilcod=2002222280553</v>
      </c>
    </row>
    <row r="2400" spans="1:9" x14ac:dyDescent="0.4">
      <c r="A2400" t="str">
        <f>"更新"</f>
        <v>更新</v>
      </c>
      <c r="B2400" s="1" t="str">
        <f t="shared" si="135"/>
        <v>更新</v>
      </c>
      <c r="C2400" t="str">
        <f>"コウシン"</f>
        <v>コウシン</v>
      </c>
      <c r="D2400" t="str">
        <f>"更新社"</f>
        <v>更新社</v>
      </c>
      <c r="E2400" t="str">
        <f>"コウシンシャ"</f>
        <v>コウシンシャ</v>
      </c>
      <c r="F2400" t="str">
        <f>"福田村(児島郡)"</f>
        <v>福田村(児島郡)</v>
      </c>
      <c r="G2400" t="str">
        <f t="shared" si="136"/>
        <v>頻度不明</v>
      </c>
      <c r="H2400" t="str">
        <f>"2002222331472"</f>
        <v>2002222331472</v>
      </c>
      <c r="I2400" t="str">
        <f>HYPERLINK("#", "https://opac.libnet.pref.okayama.jp/licsxp-opac/WOpacMsgNewListToTifTilDetailAction.do?tilcod=2002222331472")</f>
        <v>https://opac.libnet.pref.okayama.jp/licsxp-opac/WOpacMsgNewListToTifTilDetailAction.do?tilcod=2002222331472</v>
      </c>
    </row>
    <row r="2401" spans="1:9" x14ac:dyDescent="0.4">
      <c r="A2401" t="str">
        <f>"好事雑報"</f>
        <v>好事雑報</v>
      </c>
      <c r="B2401" s="1" t="str">
        <f t="shared" si="135"/>
        <v>好事雑報</v>
      </c>
      <c r="C2401" t="str">
        <f>"コウズ ザッポウ"</f>
        <v>コウズ ザッポウ</v>
      </c>
      <c r="D2401" t="str">
        <f>"好事社"</f>
        <v>好事社</v>
      </c>
      <c r="E2401" t="str">
        <f>"コウズシャ"</f>
        <v>コウズシャ</v>
      </c>
      <c r="F2401" t="str">
        <f>""</f>
        <v/>
      </c>
      <c r="G2401" t="str">
        <f t="shared" si="136"/>
        <v>頻度不明</v>
      </c>
      <c r="H2401" t="str">
        <f>"2002222280533"</f>
        <v>2002222280533</v>
      </c>
      <c r="I2401" t="str">
        <f>HYPERLINK("#", "https://opac.libnet.pref.okayama.jp/licsxp-opac/WOpacMsgNewListToTifTilDetailAction.do?tilcod=2002222280533")</f>
        <v>https://opac.libnet.pref.okayama.jp/licsxp-opac/WOpacMsgNewListToTifTilDetailAction.do?tilcod=2002222280533</v>
      </c>
    </row>
    <row r="2402" spans="1:9" x14ac:dyDescent="0.4">
      <c r="A2402" t="str">
        <f>"更生保護おかやま"</f>
        <v>更生保護おかやま</v>
      </c>
      <c r="B2402" s="1" t="str">
        <f t="shared" si="135"/>
        <v>更生保護おかやま</v>
      </c>
      <c r="C2402" t="str">
        <f>"コウセイ ホゴ オカヤマ"</f>
        <v>コウセイ ホゴ オカヤマ</v>
      </c>
      <c r="D2402" t="str">
        <f>"岡山県保護司会連合会"</f>
        <v>岡山県保護司会連合会</v>
      </c>
      <c r="E2402" t="str">
        <f>"オカヤマケン ホゴシカイ レンゴウカイ"</f>
        <v>オカヤマケン ホゴシカイ レンゴウカイ</v>
      </c>
      <c r="F2402" t="str">
        <f>"岡山"</f>
        <v>岡山</v>
      </c>
      <c r="G2402" t="str">
        <f>"季刊"</f>
        <v>季刊</v>
      </c>
      <c r="H2402" t="str">
        <f>"2002222342771"</f>
        <v>2002222342771</v>
      </c>
      <c r="I2402" t="str">
        <f>HYPERLINK("#", "https://opac.libnet.pref.okayama.jp/licsxp-opac/WOpacMsgNewListToTifTilDetailAction.do?tilcod=2002222342771")</f>
        <v>https://opac.libnet.pref.okayama.jp/licsxp-opac/WOpacMsgNewListToTifTilDetailAction.do?tilcod=2002222342771</v>
      </c>
    </row>
    <row r="2403" spans="1:9" x14ac:dyDescent="0.4">
      <c r="A2403" t="str">
        <f>"公孫樹"</f>
        <v>公孫樹</v>
      </c>
      <c r="B2403" s="1" t="str">
        <f t="shared" si="135"/>
        <v>公孫樹</v>
      </c>
      <c r="C2403" t="str">
        <f>"コウソンジュ"</f>
        <v>コウソンジュ</v>
      </c>
      <c r="D2403" t="str">
        <f>"公孫樹の会"</f>
        <v>公孫樹の会</v>
      </c>
      <c r="E2403" t="str">
        <f>"イチョウノカイ"</f>
        <v>イチョウノカイ</v>
      </c>
      <c r="F2403" t="str">
        <f>"鏡野町（苫田郡）"</f>
        <v>鏡野町（苫田郡）</v>
      </c>
      <c r="G2403" t="str">
        <f>"季刊"</f>
        <v>季刊</v>
      </c>
      <c r="H2403" t="str">
        <f>"2002222280563"</f>
        <v>2002222280563</v>
      </c>
      <c r="I2403" t="str">
        <f>HYPERLINK("#", "https://opac.libnet.pref.okayama.jp/licsxp-opac/WOpacMsgNewListToTifTilDetailAction.do?tilcod=2002222280563")</f>
        <v>https://opac.libnet.pref.okayama.jp/licsxp-opac/WOpacMsgNewListToTifTilDetailAction.do?tilcod=2002222280563</v>
      </c>
    </row>
    <row r="2404" spans="1:9" x14ac:dyDescent="0.4">
      <c r="A2404" t="str">
        <f>"校長会報"</f>
        <v>校長会報</v>
      </c>
      <c r="B2404" s="1" t="str">
        <f t="shared" si="135"/>
        <v>校長会報</v>
      </c>
      <c r="C2404" t="str">
        <f>"コウチョウ カイホウ"</f>
        <v>コウチョウ カイホウ</v>
      </c>
      <c r="D2404" t="str">
        <f>"岡山県小学校長会"</f>
        <v>岡山県小学校長会</v>
      </c>
      <c r="E2404" t="str">
        <f>"オカヤマケン ショウガッコウチョウカイ"</f>
        <v>オカヤマケン ショウガッコウチョウカイ</v>
      </c>
      <c r="F2404" t="str">
        <f>""</f>
        <v/>
      </c>
      <c r="G2404" t="str">
        <f>"年刊"</f>
        <v>年刊</v>
      </c>
      <c r="H2404" t="str">
        <f>"2002222322029"</f>
        <v>2002222322029</v>
      </c>
      <c r="I2404" t="str">
        <f>HYPERLINK("#", "https://opac.libnet.pref.okayama.jp/licsxp-opac/WOpacMsgNewListToTifTilDetailAction.do?tilcod=2002222322029")</f>
        <v>https://opac.libnet.pref.okayama.jp/licsxp-opac/WOpacMsgNewListToTifTilDetailAction.do?tilcod=2002222322029</v>
      </c>
    </row>
    <row r="2405" spans="1:9" x14ac:dyDescent="0.4">
      <c r="A2405" t="str">
        <f>"光塔"</f>
        <v>光塔</v>
      </c>
      <c r="B2405" s="1" t="str">
        <f t="shared" si="135"/>
        <v>光塔</v>
      </c>
      <c r="C2405" t="str">
        <f>"コウトウ"</f>
        <v>コウトウ</v>
      </c>
      <c r="D2405" t="str">
        <f>"全専売労働組合岡山支部"</f>
        <v>全専売労働組合岡山支部</v>
      </c>
      <c r="E2405" t="str">
        <f>"ゼンセンバイロウドウクミアイオカヤマシブ"</f>
        <v>ゼンセンバイロウドウクミアイオカヤマシブ</v>
      </c>
      <c r="F2405" t="str">
        <f>"〔岡山〕"</f>
        <v>〔岡山〕</v>
      </c>
      <c r="G2405" t="str">
        <f>"季刊"</f>
        <v>季刊</v>
      </c>
      <c r="H2405" t="str">
        <f>"2002222302033"</f>
        <v>2002222302033</v>
      </c>
      <c r="I2405" t="str">
        <f>HYPERLINK("#", "https://opac.libnet.pref.okayama.jp/licsxp-opac/WOpacMsgNewListToTifTilDetailAction.do?tilcod=2002222302033")</f>
        <v>https://opac.libnet.pref.okayama.jp/licsxp-opac/WOpacMsgNewListToTifTilDetailAction.do?tilcod=2002222302033</v>
      </c>
    </row>
    <row r="2406" spans="1:9" x14ac:dyDescent="0.4">
      <c r="A2406" t="str">
        <f>"皇道"</f>
        <v>皇道</v>
      </c>
      <c r="B2406" s="1" t="str">
        <f t="shared" si="135"/>
        <v>皇道</v>
      </c>
      <c r="C2406" t="str">
        <f>"コウドウ"</f>
        <v>コウドウ</v>
      </c>
      <c r="D2406" t="str">
        <f>"皇道社"</f>
        <v>皇道社</v>
      </c>
      <c r="E2406" t="str">
        <f>"コウドウシャ"</f>
        <v>コウドウシャ</v>
      </c>
      <c r="F2406" t="str">
        <f>"岡山"</f>
        <v>岡山</v>
      </c>
      <c r="G2406" t="str">
        <f>"頻度不明"</f>
        <v>頻度不明</v>
      </c>
      <c r="H2406" t="str">
        <f>"2002222280573"</f>
        <v>2002222280573</v>
      </c>
      <c r="I2406" t="str">
        <f>HYPERLINK("#", "https://opac.libnet.pref.okayama.jp/licsxp-opac/WOpacMsgNewListToTifTilDetailAction.do?tilcod=2002222280573")</f>
        <v>https://opac.libnet.pref.okayama.jp/licsxp-opac/WOpacMsgNewListToTifTilDetailAction.do?tilcod=2002222280573</v>
      </c>
    </row>
    <row r="2407" spans="1:9" x14ac:dyDescent="0.4">
      <c r="A2407" t="str">
        <f>"合同句集　英賀（あが）"</f>
        <v>合同句集　英賀（あが）</v>
      </c>
      <c r="B2407" s="1" t="str">
        <f t="shared" si="135"/>
        <v>合同句集　英賀（あが）</v>
      </c>
      <c r="C2407" t="str">
        <f>"ゴウドウ　クシュウ　アガ"</f>
        <v>ゴウドウ　クシュウ　アガ</v>
      </c>
      <c r="D2407" t="str">
        <f>"北房俳句会"</f>
        <v>北房俳句会</v>
      </c>
      <c r="E2407" t="str">
        <f>"ホクボウハイクカイ"</f>
        <v>ホクボウハイクカイ</v>
      </c>
      <c r="F2407" t="str">
        <f>"〔北房町（真庭郡）〕"</f>
        <v>〔北房町（真庭郡）〕</v>
      </c>
      <c r="G2407" t="str">
        <f>"年刊"</f>
        <v>年刊</v>
      </c>
      <c r="H2407" t="str">
        <f>"2002222300418"</f>
        <v>2002222300418</v>
      </c>
      <c r="I2407" t="str">
        <f>HYPERLINK("#", "https://opac.libnet.pref.okayama.jp/licsxp-opac/WOpacMsgNewListToTifTilDetailAction.do?tilcod=2002222300418")</f>
        <v>https://opac.libnet.pref.okayama.jp/licsxp-opac/WOpacMsgNewListToTifTilDetailAction.do?tilcod=2002222300418</v>
      </c>
    </row>
    <row r="2408" spans="1:9" x14ac:dyDescent="0.4">
      <c r="A2408" t="str">
        <f>"合同小学新聞"</f>
        <v>合同小学新聞</v>
      </c>
      <c r="B2408" s="1" t="str">
        <f t="shared" si="135"/>
        <v>合同小学新聞</v>
      </c>
      <c r="C2408" t="str">
        <f>"ゴウドウ ショウガク シンブン"</f>
        <v>ゴウドウ ショウガク シンブン</v>
      </c>
      <c r="D2408" t="str">
        <f>"合同新聞社"</f>
        <v>合同新聞社</v>
      </c>
      <c r="E2408" t="str">
        <f>"ゴウドウ シンブンシャ"</f>
        <v>ゴウドウ シンブンシャ</v>
      </c>
      <c r="F2408" t="str">
        <f>"岡山"</f>
        <v>岡山</v>
      </c>
      <c r="G2408" t="str">
        <f>"頻度不明"</f>
        <v>頻度不明</v>
      </c>
      <c r="H2408" t="str">
        <f>"2002222330046"</f>
        <v>2002222330046</v>
      </c>
      <c r="I2408" t="str">
        <f>HYPERLINK("#", "https://opac.libnet.pref.okayama.jp/licsxp-opac/WOpacMsgNewListToTifTilDetailAction.do?tilcod=2002222330046")</f>
        <v>https://opac.libnet.pref.okayama.jp/licsxp-opac/WOpacMsgNewListToTifTilDetailAction.do?tilcod=2002222330046</v>
      </c>
    </row>
    <row r="2409" spans="1:9" x14ac:dyDescent="0.4">
      <c r="A2409" t="str">
        <f>"高等推命専科"</f>
        <v>高等推命専科</v>
      </c>
      <c r="B2409" s="1" t="str">
        <f t="shared" si="135"/>
        <v>高等推命専科</v>
      </c>
      <c r="C2409" t="str">
        <f>"コウトウ　スイメイ　センカ"</f>
        <v>コウトウ　スイメイ　センカ</v>
      </c>
      <c r="D2409" t="str">
        <f>"日中推命同好研究会"</f>
        <v>日中推命同好研究会</v>
      </c>
      <c r="E2409" t="str">
        <f>"ニッチュウスイメイドウコウケンキュウカイ"</f>
        <v>ニッチュウスイメイドウコウケンキュウカイ</v>
      </c>
      <c r="F2409" t="str">
        <f>"倉敷"</f>
        <v>倉敷</v>
      </c>
      <c r="G2409" t="str">
        <f>"頻度不明"</f>
        <v>頻度不明</v>
      </c>
      <c r="H2409" t="str">
        <f>"2002222280583"</f>
        <v>2002222280583</v>
      </c>
      <c r="I2409" t="str">
        <f>HYPERLINK("#", "https://opac.libnet.pref.okayama.jp/licsxp-opac/WOpacMsgNewListToTifTilDetailAction.do?tilcod=2002222280583")</f>
        <v>https://opac.libnet.pref.okayama.jp/licsxp-opac/WOpacMsgNewListToTifTilDetailAction.do?tilcod=2002222280583</v>
      </c>
    </row>
    <row r="2410" spans="1:9" x14ac:dyDescent="0.4">
      <c r="A2410" t="str">
        <f>"合同中学生新聞"</f>
        <v>合同中学生新聞</v>
      </c>
      <c r="B2410" s="1" t="str">
        <f t="shared" si="135"/>
        <v>合同中学生新聞</v>
      </c>
      <c r="C2410" t="str">
        <f>"ゴウドウ チュウガクセイ シンブン"</f>
        <v>ゴウドウ チュウガクセイ シンブン</v>
      </c>
      <c r="D2410" t="str">
        <f>"合同新聞社"</f>
        <v>合同新聞社</v>
      </c>
      <c r="E2410" t="str">
        <f>"ゴウドウ シンブンシャ"</f>
        <v>ゴウドウ シンブンシャ</v>
      </c>
      <c r="F2410" t="str">
        <f>"岡山"</f>
        <v>岡山</v>
      </c>
      <c r="G2410" t="str">
        <f>"頻度不明"</f>
        <v>頻度不明</v>
      </c>
      <c r="H2410" t="str">
        <f>"2002222327809"</f>
        <v>2002222327809</v>
      </c>
      <c r="I2410" t="str">
        <f>HYPERLINK("#", "https://opac.libnet.pref.okayama.jp/licsxp-opac/WOpacMsgNewListToTifTilDetailAction.do?tilcod=2002222327809")</f>
        <v>https://opac.libnet.pref.okayama.jp/licsxp-opac/WOpacMsgNewListToTifTilDetailAction.do?tilcod=2002222327809</v>
      </c>
    </row>
    <row r="2411" spans="1:9" x14ac:dyDescent="0.4">
      <c r="A2411" t="str">
        <f>"合同俳句"</f>
        <v>合同俳句</v>
      </c>
      <c r="B2411" s="1" t="str">
        <f t="shared" si="135"/>
        <v>合同俳句</v>
      </c>
      <c r="C2411" t="str">
        <f>"ゴウドウ　ハイク"</f>
        <v>ゴウドウ　ハイク</v>
      </c>
      <c r="D2411" t="str">
        <f>"山陽新聞社"</f>
        <v>山陽新聞社</v>
      </c>
      <c r="E2411" t="str">
        <f>"サンヨウ シンブンシャ"</f>
        <v>サンヨウ シンブンシャ</v>
      </c>
      <c r="F2411" t="str">
        <f>"岡山"</f>
        <v>岡山</v>
      </c>
      <c r="G2411" t="str">
        <f>"頻度不明"</f>
        <v>頻度不明</v>
      </c>
      <c r="H2411" t="str">
        <f>"2002222280593"</f>
        <v>2002222280593</v>
      </c>
      <c r="I2411" t="str">
        <f>HYPERLINK("#", "https://opac.libnet.pref.okayama.jp/licsxp-opac/WOpacMsgNewListToTifTilDetailAction.do?tilcod=2002222280593")</f>
        <v>https://opac.libnet.pref.okayama.jp/licsxp-opac/WOpacMsgNewListToTifTilDetailAction.do?tilcod=2002222280593</v>
      </c>
    </row>
    <row r="2412" spans="1:9" x14ac:dyDescent="0.4">
      <c r="A2412" t="str">
        <f>"郷内文化会々誌"</f>
        <v>郷内文化会々誌</v>
      </c>
      <c r="B2412" s="1" t="str">
        <f t="shared" si="135"/>
        <v>郷内文化会々誌</v>
      </c>
      <c r="C2412" t="str">
        <f>"ゴウナイ　ブンカカイ　カイシ"</f>
        <v>ゴウナイ　ブンカカイ　カイシ</v>
      </c>
      <c r="D2412" t="str">
        <f>"郷内文化会"</f>
        <v>郷内文化会</v>
      </c>
      <c r="E2412" t="str">
        <f>"ゴウナイ ブンカカイ"</f>
        <v>ゴウナイ ブンカカイ</v>
      </c>
      <c r="F2412" t="str">
        <f>""</f>
        <v/>
      </c>
      <c r="G2412" t="str">
        <f>"頻度不明"</f>
        <v>頻度不明</v>
      </c>
      <c r="H2412" t="str">
        <f>"2002222280603"</f>
        <v>2002222280603</v>
      </c>
      <c r="I2412" t="str">
        <f>HYPERLINK("#", "https://opac.libnet.pref.okayama.jp/licsxp-opac/WOpacMsgNewListToTifTilDetailAction.do?tilcod=2002222280603")</f>
        <v>https://opac.libnet.pref.okayama.jp/licsxp-opac/WOpacMsgNewListToTifTilDetailAction.do?tilcod=2002222280603</v>
      </c>
    </row>
    <row r="2413" spans="1:9" x14ac:dyDescent="0.4">
      <c r="A2413" t="str">
        <f>"岡南公民館だより"</f>
        <v>岡南公民館だより</v>
      </c>
      <c r="B2413" s="1" t="str">
        <f t="shared" si="135"/>
        <v>岡南公民館だより</v>
      </c>
      <c r="C2413" t="str">
        <f>"コウナン コウミンカン ダヨリ"</f>
        <v>コウナン コウミンカン ダヨリ</v>
      </c>
      <c r="D2413" t="str">
        <f>"岡山市立岡南公民館"</f>
        <v>岡山市立岡南公民館</v>
      </c>
      <c r="E2413" t="str">
        <f>"オカヤマシリツ コウナン コウミンカン"</f>
        <v>オカヤマシリツ コウナン コウミンカン</v>
      </c>
      <c r="F2413" t="str">
        <f>"岡山"</f>
        <v>岡山</v>
      </c>
      <c r="G2413" t="str">
        <f>"隔月刊"</f>
        <v>隔月刊</v>
      </c>
      <c r="H2413" t="str">
        <f>"2002222341491"</f>
        <v>2002222341491</v>
      </c>
      <c r="I2413" t="str">
        <f>HYPERLINK("#", "https://opac.libnet.pref.okayama.jp/licsxp-opac/WOpacMsgNewListToTifTilDetailAction.do?tilcod=2002222341491")</f>
        <v>https://opac.libnet.pref.okayama.jp/licsxp-opac/WOpacMsgNewListToTifTilDetailAction.do?tilcod=2002222341491</v>
      </c>
    </row>
    <row r="2414" spans="1:9" x14ac:dyDescent="0.4">
      <c r="A2414" t="str">
        <f>"岡南社協だより ; 支え合い"</f>
        <v>岡南社協だより ; 支え合い</v>
      </c>
      <c r="B2414" s="1" t="str">
        <f t="shared" si="135"/>
        <v>岡南社協だより ; 支え合い</v>
      </c>
      <c r="C2414" t="str">
        <f>"コウナン シャキョウ ダヨリ＊ササエアイ"</f>
        <v>コウナン シャキョウ ダヨリ＊ササエアイ</v>
      </c>
      <c r="D2414" t="str">
        <f>"岡南地区社会福祉協議会"</f>
        <v>岡南地区社会福祉協議会</v>
      </c>
      <c r="E2414" t="str">
        <f>"コウナン チク シャカイ フクシ キョウギカイ"</f>
        <v>コウナン チク シャカイ フクシ キョウギカイ</v>
      </c>
      <c r="F2414" t="str">
        <f>"岡山"</f>
        <v>岡山</v>
      </c>
      <c r="G2414" t="str">
        <f>"年刊"</f>
        <v>年刊</v>
      </c>
      <c r="H2414" t="str">
        <f>"2002222334247"</f>
        <v>2002222334247</v>
      </c>
      <c r="I2414" t="str">
        <f>HYPERLINK("#", "https://opac.libnet.pref.okayama.jp/licsxp-opac/WOpacMsgNewListToTifTilDetailAction.do?tilcod=2002222334247")</f>
        <v>https://opac.libnet.pref.okayama.jp/licsxp-opac/WOpacMsgNewListToTifTilDetailAction.do?tilcod=2002222334247</v>
      </c>
    </row>
    <row r="2415" spans="1:9" x14ac:dyDescent="0.4">
      <c r="A2415" t="str">
        <f>"こうなんだより；道路工事＆規制情報"</f>
        <v>こうなんだより；道路工事＆規制情報</v>
      </c>
      <c r="B2415" s="1" t="str">
        <f t="shared" si="135"/>
        <v>こうなんだより；道路工事＆規制情報</v>
      </c>
      <c r="C2415" t="str">
        <f>"コウナン　ダヨリ＊ドウロ　コウジ　キセイ　ジョウホウ"</f>
        <v>コウナン　ダヨリ＊ドウロ　コウジ　キセイ　ジョウホウ</v>
      </c>
      <c r="D2415" t="str">
        <f>"国土交通省岡山国道事務所岡南維持出張所"</f>
        <v>国土交通省岡山国道事務所岡南維持出張所</v>
      </c>
      <c r="E2415" t="str">
        <f>"ココクドコウツウショウオカヤマコクドウジムショコウナンイジシュッチョウジョ"</f>
        <v>ココクドコウツウショウオカヤマコクドウジムショコウナンイジシュッチョウジョ</v>
      </c>
      <c r="F2415" t="str">
        <f>"岡山"</f>
        <v>岡山</v>
      </c>
      <c r="G2415" t="str">
        <f>"不定期刊"</f>
        <v>不定期刊</v>
      </c>
      <c r="H2415" t="str">
        <f>"2002222301150"</f>
        <v>2002222301150</v>
      </c>
      <c r="I2415" t="str">
        <f>HYPERLINK("#", "https://opac.libnet.pref.okayama.jp/licsxp-opac/WOpacMsgNewListToTifTilDetailAction.do?tilcod=2002222301150")</f>
        <v>https://opac.libnet.pref.okayama.jp/licsxp-opac/WOpacMsgNewListToTifTilDetailAction.do?tilcod=2002222301150</v>
      </c>
    </row>
    <row r="2416" spans="1:9" x14ac:dyDescent="0.4">
      <c r="A2416" t="str">
        <f>"高農生徒会"</f>
        <v>高農生徒会</v>
      </c>
      <c r="B2416" s="1" t="str">
        <f t="shared" si="135"/>
        <v>高農生徒会</v>
      </c>
      <c r="C2416" t="str">
        <f>"コウノウ  セイトカイ"</f>
        <v>コウノウ  セイトカイ</v>
      </c>
      <c r="D2416" t="str">
        <f>"高松農業高等学校生徒会"</f>
        <v>高松農業高等学校生徒会</v>
      </c>
      <c r="E2416" t="str">
        <f>"タカマツノウギョウコウトウガッコウセイトカイ"</f>
        <v>タカマツノウギョウコウトウガッコウセイトカイ</v>
      </c>
      <c r="F2416" t="str">
        <f>""</f>
        <v/>
      </c>
      <c r="G2416" t="str">
        <f>"年刊"</f>
        <v>年刊</v>
      </c>
      <c r="H2416" t="str">
        <f>"2002222335966"</f>
        <v>2002222335966</v>
      </c>
      <c r="I2416" t="str">
        <f>HYPERLINK("#", "https://opac.libnet.pref.okayama.jp/licsxp-opac/WOpacMsgNewListToTifTilDetailAction.do?tilcod=2002222335966")</f>
        <v>https://opac.libnet.pref.okayama.jp/licsxp-opac/WOpacMsgNewListToTifTilDetailAction.do?tilcod=2002222335966</v>
      </c>
    </row>
    <row r="2417" spans="1:9" x14ac:dyDescent="0.4">
      <c r="A2417" t="str">
        <f>"購買月報"</f>
        <v>購買月報</v>
      </c>
      <c r="B2417" s="1" t="str">
        <f t="shared" si="135"/>
        <v>購買月報</v>
      </c>
      <c r="C2417" t="str">
        <f>"コウバイ　ゲッポウ"</f>
        <v>コウバイ　ゲッポウ</v>
      </c>
      <c r="D2417" t="str">
        <f>"地方職員共済組合岡山県支部"</f>
        <v>地方職員共済組合岡山県支部</v>
      </c>
      <c r="E2417" t="str">
        <f>"チホウショクインキョウサイクミアイオカヤマケンシブ"</f>
        <v>チホウショクインキョウサイクミアイオカヤマケンシブ</v>
      </c>
      <c r="F2417" t="str">
        <f>""</f>
        <v/>
      </c>
      <c r="G2417" t="str">
        <f>"頻度不明"</f>
        <v>頻度不明</v>
      </c>
      <c r="H2417" t="str">
        <f>"2002222280613"</f>
        <v>2002222280613</v>
      </c>
      <c r="I2417" t="str">
        <f>HYPERLINK("#", "https://opac.libnet.pref.okayama.jp/licsxp-opac/WOpacMsgNewListToTifTilDetailAction.do?tilcod=2002222280613")</f>
        <v>https://opac.libnet.pref.okayama.jp/licsxp-opac/WOpacMsgNewListToTifTilDetailAction.do?tilcod=2002222280613</v>
      </c>
    </row>
    <row r="2418" spans="1:9" x14ac:dyDescent="0.4">
      <c r="A2418" t="str">
        <f>"広美"</f>
        <v>広美</v>
      </c>
      <c r="B2418" s="1" t="str">
        <f t="shared" si="135"/>
        <v>広美</v>
      </c>
      <c r="C2418" t="str">
        <f>"コウビ"</f>
        <v>コウビ</v>
      </c>
      <c r="D2418" t="str">
        <f>"｢広美｣編集局"</f>
        <v>｢広美｣編集局</v>
      </c>
      <c r="E2418" t="str">
        <f>"コウビ ヘンシュウキョク"</f>
        <v>コウビ ヘンシュウキョク</v>
      </c>
      <c r="F2418" t="str">
        <f>"岡山"</f>
        <v>岡山</v>
      </c>
      <c r="G2418" t="str">
        <f>"日刊"</f>
        <v>日刊</v>
      </c>
      <c r="H2418" t="str">
        <f>"2002222330247"</f>
        <v>2002222330247</v>
      </c>
      <c r="I2418" t="str">
        <f>HYPERLINK("#", "https://opac.libnet.pref.okayama.jp/licsxp-opac/WOpacMsgNewListToTifTilDetailAction.do?tilcod=2002222330247")</f>
        <v>https://opac.libnet.pref.okayama.jp/licsxp-opac/WOpacMsgNewListToTifTilDetailAction.do?tilcod=2002222330247</v>
      </c>
    </row>
    <row r="2419" spans="1:9" x14ac:dyDescent="0.4">
      <c r="A2419" t="str">
        <f>"幸福"</f>
        <v>幸福</v>
      </c>
      <c r="B2419" s="1" t="str">
        <f t="shared" si="135"/>
        <v>幸福</v>
      </c>
      <c r="C2419" t="str">
        <f>"コウフク"</f>
        <v>コウフク</v>
      </c>
      <c r="D2419" t="str">
        <f>"幸福社"</f>
        <v>幸福社</v>
      </c>
      <c r="E2419" t="str">
        <f>"コウフクシャ"</f>
        <v>コウフクシャ</v>
      </c>
      <c r="F2419" t="str">
        <f>"津山"</f>
        <v>津山</v>
      </c>
      <c r="G2419" t="str">
        <f>"月刊"</f>
        <v>月刊</v>
      </c>
      <c r="H2419" t="str">
        <f>"2002222301354"</f>
        <v>2002222301354</v>
      </c>
      <c r="I2419" t="str">
        <f>HYPERLINK("#", "https://opac.libnet.pref.okayama.jp/licsxp-opac/WOpacMsgNewListToTifTilDetailAction.do?tilcod=2002222301354")</f>
        <v>https://opac.libnet.pref.okayama.jp/licsxp-opac/WOpacMsgNewListToTifTilDetailAction.do?tilcod=2002222301354</v>
      </c>
    </row>
    <row r="2420" spans="1:9" x14ac:dyDescent="0.4">
      <c r="A2420" t="str">
        <f>"[神戸女子大学瀬戸短期大学]学術紀要"</f>
        <v>[神戸女子大学瀬戸短期大学]学術紀要</v>
      </c>
      <c r="B2420" s="1" t="str">
        <f t="shared" si="135"/>
        <v>[神戸女子大学瀬戸短期大学]学術紀要</v>
      </c>
      <c r="C2420" t="str">
        <f>"コウベ ジョシ ダイガク セト タンキ ダイガク ガクジュツ キヨウ"</f>
        <v>コウベ ジョシ ダイガク セト タンキ ダイガク ガクジュツ キヨウ</v>
      </c>
      <c r="D2420" t="str">
        <f>"神戸女子大学瀬戸短期大学"</f>
        <v>神戸女子大学瀬戸短期大学</v>
      </c>
      <c r="E2420" t="str">
        <f>"コウベジョシダイガクセトタンキダイガク"</f>
        <v>コウベジョシダイガクセトタンキダイガク</v>
      </c>
      <c r="F2420" t="str">
        <f>"岡山"</f>
        <v>岡山</v>
      </c>
      <c r="G2420" t="str">
        <f>"年刊"</f>
        <v>年刊</v>
      </c>
      <c r="H2420" t="str">
        <f>"2002222294541"</f>
        <v>2002222294541</v>
      </c>
      <c r="I2420" t="str">
        <f>HYPERLINK("#", "https://opac.libnet.pref.okayama.jp/licsxp-opac/WOpacMsgNewListToTifTilDetailAction.do?tilcod=2002222294541")</f>
        <v>https://opac.libnet.pref.okayama.jp/licsxp-opac/WOpacMsgNewListToTifTilDetailAction.do?tilcod=2002222294541</v>
      </c>
    </row>
    <row r="2421" spans="1:9" x14ac:dyDescent="0.4">
      <c r="A2421" t="str">
        <f>"光芒"</f>
        <v>光芒</v>
      </c>
      <c r="B2421" s="1" t="str">
        <f t="shared" si="135"/>
        <v>光芒</v>
      </c>
      <c r="C2421" t="str">
        <f>"コウボウ"</f>
        <v>コウボウ</v>
      </c>
      <c r="D2421" t="str">
        <f>"光芒発行所"</f>
        <v>光芒発行所</v>
      </c>
      <c r="E2421" t="str">
        <f>"コウボウハッコウショ"</f>
        <v>コウボウハッコウショ</v>
      </c>
      <c r="F2421" t="str">
        <f>""</f>
        <v/>
      </c>
      <c r="G2421" t="str">
        <f>"隔月刊"</f>
        <v>隔月刊</v>
      </c>
      <c r="H2421" t="str">
        <f>"2002222280623"</f>
        <v>2002222280623</v>
      </c>
      <c r="I2421" t="str">
        <f>HYPERLINK("#", "https://opac.libnet.pref.okayama.jp/licsxp-opac/WOpacMsgNewListToTifTilDetailAction.do?tilcod=2002222280623")</f>
        <v>https://opac.libnet.pref.okayama.jp/licsxp-opac/WOpacMsgNewListToTifTilDetailAction.do?tilcod=2002222280623</v>
      </c>
    </row>
    <row r="2422" spans="1:9" x14ac:dyDescent="0.4">
      <c r="A2422" t="str">
        <f>"広報あいだ"</f>
        <v>広報あいだ</v>
      </c>
      <c r="B2422" s="1" t="str">
        <f t="shared" si="135"/>
        <v>広報あいだ</v>
      </c>
      <c r="C2422" t="str">
        <f>"コウホウ　アイダ"</f>
        <v>コウホウ　アイダ</v>
      </c>
      <c r="D2422" t="str">
        <f>"英田町"</f>
        <v>英田町</v>
      </c>
      <c r="E2422" t="str">
        <f>"アイダチョウ"</f>
        <v>アイダチョウ</v>
      </c>
      <c r="F2422" t="str">
        <f>"英田町（英田郡）"</f>
        <v>英田町（英田郡）</v>
      </c>
      <c r="G2422" t="str">
        <f>"月刊"</f>
        <v>月刊</v>
      </c>
      <c r="H2422" t="str">
        <f>"2002222301631"</f>
        <v>2002222301631</v>
      </c>
      <c r="I2422" t="str">
        <f>HYPERLINK("#", "https://opac.libnet.pref.okayama.jp/licsxp-opac/WOpacMsgNewListToTifTilDetailAction.do?tilcod=2002222301631")</f>
        <v>https://opac.libnet.pref.okayama.jp/licsxp-opac/WOpacMsgNewListToTifTilDetailAction.do?tilcod=2002222301631</v>
      </c>
    </row>
    <row r="2423" spans="1:9" x14ac:dyDescent="0.4">
      <c r="A2423" t="str">
        <f>"広報あかいわ"</f>
        <v>広報あかいわ</v>
      </c>
      <c r="B2423" s="1" t="str">
        <f t="shared" si="135"/>
        <v>広報あかいわ</v>
      </c>
      <c r="C2423" t="str">
        <f>"コウホウ　アカイワ"</f>
        <v>コウホウ　アカイワ</v>
      </c>
      <c r="D2423" t="str">
        <f>"赤磐市"</f>
        <v>赤磐市</v>
      </c>
      <c r="E2423" t="str">
        <f>"アカイワシ"</f>
        <v>アカイワシ</v>
      </c>
      <c r="F2423" t="str">
        <f>"赤磐"</f>
        <v>赤磐</v>
      </c>
      <c r="G2423" t="str">
        <f>"月刊"</f>
        <v>月刊</v>
      </c>
      <c r="H2423" t="str">
        <f>"2002222301560"</f>
        <v>2002222301560</v>
      </c>
      <c r="I2423" t="str">
        <f>HYPERLINK("#", "https://opac.libnet.pref.okayama.jp/licsxp-opac/WOpacMsgNewListToTifTilDetailAction.do?tilcod=2002222301560")</f>
        <v>https://opac.libnet.pref.okayama.jp/licsxp-opac/WOpacMsgNewListToTifTilDetailAction.do?tilcod=2002222301560</v>
      </c>
    </row>
    <row r="2424" spans="1:9" x14ac:dyDescent="0.4">
      <c r="A2424" t="str">
        <f>"広報あかさか"</f>
        <v>広報あかさか</v>
      </c>
      <c r="B2424" s="1" t="str">
        <f t="shared" si="135"/>
        <v>広報あかさか</v>
      </c>
      <c r="C2424" t="str">
        <f>"コウホウ アカサカ"</f>
        <v>コウホウ アカサカ</v>
      </c>
      <c r="D2424" t="str">
        <f>"赤坂町"</f>
        <v>赤坂町</v>
      </c>
      <c r="E2424" t="str">
        <f>"アカサカチョウ"</f>
        <v>アカサカチョウ</v>
      </c>
      <c r="F2424" t="str">
        <f>"赤坂町(赤磐郡)"</f>
        <v>赤坂町(赤磐郡)</v>
      </c>
      <c r="G2424" t="str">
        <f>"月刊"</f>
        <v>月刊</v>
      </c>
      <c r="H2424" t="str">
        <f>"2002222301598"</f>
        <v>2002222301598</v>
      </c>
      <c r="I2424" t="str">
        <f>HYPERLINK("#", "https://opac.libnet.pref.okayama.jp/licsxp-opac/WOpacMsgNewListToTifTilDetailAction.do?tilcod=2002222301598")</f>
        <v>https://opac.libnet.pref.okayama.jp/licsxp-opac/WOpacMsgNewListToTifTilDetailAction.do?tilcod=2002222301598</v>
      </c>
    </row>
    <row r="2425" spans="1:9" x14ac:dyDescent="0.4">
      <c r="A2425" t="str">
        <f>"広報あかさか縮刷版"</f>
        <v>広報あかさか縮刷版</v>
      </c>
      <c r="B2425" s="1" t="str">
        <f t="shared" si="135"/>
        <v>広報あかさか縮刷版</v>
      </c>
      <c r="C2425" t="str">
        <f>"コウホウ アカサカ シュクサツバン"</f>
        <v>コウホウ アカサカ シュクサツバン</v>
      </c>
      <c r="D2425" t="str">
        <f>"赤坂町"</f>
        <v>赤坂町</v>
      </c>
      <c r="E2425" t="str">
        <f>"アカサカチョウ"</f>
        <v>アカサカチョウ</v>
      </c>
      <c r="F2425" t="str">
        <f>"赤坂町(赤磐郡)"</f>
        <v>赤坂町(赤磐郡)</v>
      </c>
      <c r="G2425" t="str">
        <f>"不定期刊"</f>
        <v>不定期刊</v>
      </c>
      <c r="H2425" t="str">
        <f>"2002222301599"</f>
        <v>2002222301599</v>
      </c>
      <c r="I2425" t="str">
        <f>HYPERLINK("#", "https://opac.libnet.pref.okayama.jp/licsxp-opac/WOpacMsgNewListToTifTilDetailAction.do?tilcod=2002222301599")</f>
        <v>https://opac.libnet.pref.okayama.jp/licsxp-opac/WOpacMsgNewListToTifTilDetailAction.do?tilcod=2002222301599</v>
      </c>
    </row>
    <row r="2426" spans="1:9" x14ac:dyDescent="0.4">
      <c r="A2426" t="str">
        <f>"〔広報〕明るい久米南"</f>
        <v>〔広報〕明るい久米南</v>
      </c>
      <c r="B2426" s="1" t="str">
        <f t="shared" si="135"/>
        <v>〔広報〕明るい久米南</v>
      </c>
      <c r="C2426" t="str">
        <f>"コウホウ　アカルイ　クメナン"</f>
        <v>コウホウ　アカルイ　クメナン</v>
      </c>
      <c r="D2426" t="str">
        <f>"久米南町"</f>
        <v>久米南町</v>
      </c>
      <c r="E2426" t="str">
        <f>"クメナンチョウ"</f>
        <v>クメナンチョウ</v>
      </c>
      <c r="F2426" t="str">
        <f>"久米南町（久米郡）"</f>
        <v>久米南町（久米郡）</v>
      </c>
      <c r="G2426" t="str">
        <f>"月刊"</f>
        <v>月刊</v>
      </c>
      <c r="H2426" t="str">
        <f>"2002222301648"</f>
        <v>2002222301648</v>
      </c>
      <c r="I2426" t="str">
        <f>HYPERLINK("#", "https://opac.libnet.pref.okayama.jp/licsxp-opac/WOpacMsgNewListToTifTilDetailAction.do?tilcod=2002222301648")</f>
        <v>https://opac.libnet.pref.okayama.jp/licsxp-opac/WOpacMsgNewListToTifTilDetailAction.do?tilcod=2002222301648</v>
      </c>
    </row>
    <row r="2427" spans="1:9" x14ac:dyDescent="0.4">
      <c r="A2427" t="str">
        <f>"広報あかるい成羽"</f>
        <v>広報あかるい成羽</v>
      </c>
      <c r="B2427" s="1" t="str">
        <f t="shared" si="135"/>
        <v>広報あかるい成羽</v>
      </c>
      <c r="C2427" t="str">
        <f>"コウホウ アカルイ ナリワ"</f>
        <v>コウホウ アカルイ ナリワ</v>
      </c>
      <c r="D2427" t="str">
        <f>"成羽町"</f>
        <v>成羽町</v>
      </c>
      <c r="E2427" t="str">
        <f>"ナリワチョウ"</f>
        <v>ナリワチョウ</v>
      </c>
      <c r="F2427" t="str">
        <f>"成羽町(川上郡)"</f>
        <v>成羽町(川上郡)</v>
      </c>
      <c r="G2427" t="str">
        <f>"月刊"</f>
        <v>月刊</v>
      </c>
      <c r="H2427" t="str">
        <f>"2002222301674"</f>
        <v>2002222301674</v>
      </c>
      <c r="I2427" t="str">
        <f>HYPERLINK("#", "https://opac.libnet.pref.okayama.jp/licsxp-opac/WOpacMsgNewListToTifTilDetailAction.do?tilcod=2002222301674")</f>
        <v>https://opac.libnet.pref.okayama.jp/licsxp-opac/WOpacMsgNewListToTifTilDetailAction.do?tilcod=2002222301674</v>
      </c>
    </row>
    <row r="2428" spans="1:9" x14ac:dyDescent="0.4">
      <c r="A2428" t="str">
        <f>"広報あさくち"</f>
        <v>広報あさくち</v>
      </c>
      <c r="B2428" s="1" t="str">
        <f t="shared" si="135"/>
        <v>広報あさくち</v>
      </c>
      <c r="C2428" t="str">
        <f>"コウホウ　アサクチ"</f>
        <v>コウホウ　アサクチ</v>
      </c>
      <c r="D2428" t="str">
        <f>"浅口市"</f>
        <v>浅口市</v>
      </c>
      <c r="E2428" t="str">
        <f>"アサクチシ"</f>
        <v>アサクチシ</v>
      </c>
      <c r="F2428" t="str">
        <f>"浅口"</f>
        <v>浅口</v>
      </c>
      <c r="G2428" t="str">
        <f>"月刊"</f>
        <v>月刊</v>
      </c>
      <c r="H2428" t="str">
        <f>"2002222301582"</f>
        <v>2002222301582</v>
      </c>
      <c r="I2428" t="str">
        <f>HYPERLINK("#", "https://opac.libnet.pref.okayama.jp/licsxp-opac/WOpacMsgNewListToTifTilDetailAction.do?tilcod=2002222301582")</f>
        <v>https://opac.libnet.pref.okayama.jp/licsxp-opac/WOpacMsgNewListToTifTilDetailAction.do?tilcod=2002222301582</v>
      </c>
    </row>
    <row r="2429" spans="1:9" x14ac:dyDescent="0.4">
      <c r="A2429" t="str">
        <f>"広報あさひ"</f>
        <v>広報あさひ</v>
      </c>
      <c r="B2429" s="1" t="str">
        <f t="shared" si="135"/>
        <v>広報あさひ</v>
      </c>
      <c r="C2429" t="str">
        <f>"コウホウ アサヒ"</f>
        <v>コウホウ アサヒ</v>
      </c>
      <c r="D2429" t="str">
        <f>"旭町"</f>
        <v>旭町</v>
      </c>
      <c r="E2429" t="str">
        <f>"アサヒチョウ"</f>
        <v>アサヒチョウ</v>
      </c>
      <c r="F2429" t="str">
        <f>"旭町(久米郡)"</f>
        <v>旭町(久米郡)</v>
      </c>
      <c r="G2429" t="str">
        <f>"月刊"</f>
        <v>月刊</v>
      </c>
      <c r="H2429" t="str">
        <f>"2002222301612"</f>
        <v>2002222301612</v>
      </c>
      <c r="I2429" t="str">
        <f>HYPERLINK("#", "https://opac.libnet.pref.okayama.jp/licsxp-opac/WOpacMsgNewListToTifTilDetailAction.do?tilcod=2002222301612")</f>
        <v>https://opac.libnet.pref.okayama.jp/licsxp-opac/WOpacMsgNewListToTifTilDetailAction.do?tilcod=2002222301612</v>
      </c>
    </row>
    <row r="2430" spans="1:9" x14ac:dyDescent="0.4">
      <c r="A2430" t="str">
        <f>"広報あさひがわそう"</f>
        <v>広報あさひがわそう</v>
      </c>
      <c r="B2430" s="1" t="str">
        <f t="shared" si="135"/>
        <v>広報あさひがわそう</v>
      </c>
      <c r="C2430" t="str">
        <f>"コウホウ　アサヒガワソウ"</f>
        <v>コウホウ　アサヒガワソウ</v>
      </c>
      <c r="D2430" t="str">
        <f>"旭川荘"</f>
        <v>旭川荘</v>
      </c>
      <c r="E2430" t="str">
        <f>"アサヒガワソウ"</f>
        <v>アサヒガワソウ</v>
      </c>
      <c r="F2430" t="str">
        <f>"岡山"</f>
        <v>岡山</v>
      </c>
      <c r="G2430" t="str">
        <f>"季刊"</f>
        <v>季刊</v>
      </c>
      <c r="H2430" t="str">
        <f>"2002222301342"</f>
        <v>2002222301342</v>
      </c>
      <c r="I2430" t="str">
        <f>HYPERLINK("#", "https://opac.libnet.pref.okayama.jp/licsxp-opac/WOpacMsgNewListToTifTilDetailAction.do?tilcod=2002222301342")</f>
        <v>https://opac.libnet.pref.okayama.jp/licsxp-opac/WOpacMsgNewListToTifTilDetailAction.do?tilcod=2002222301342</v>
      </c>
    </row>
    <row r="2431" spans="1:9" x14ac:dyDescent="0.4">
      <c r="A2431" t="str">
        <f>"広報あば"</f>
        <v>広報あば</v>
      </c>
      <c r="B2431" s="1" t="str">
        <f t="shared" si="135"/>
        <v>広報あば</v>
      </c>
      <c r="C2431" t="str">
        <f>"コウホウ アバ"</f>
        <v>コウホウ アバ</v>
      </c>
      <c r="D2431" t="str">
        <f>"岡山県苫田郡阿波村役場"</f>
        <v>岡山県苫田郡阿波村役場</v>
      </c>
      <c r="E2431" t="str">
        <f>"アバソン"</f>
        <v>アバソン</v>
      </c>
      <c r="F2431" t="str">
        <f>"阿波村"</f>
        <v>阿波村</v>
      </c>
      <c r="G2431" t="str">
        <f>"頻度不明"</f>
        <v>頻度不明</v>
      </c>
      <c r="H2431" t="str">
        <f>"2002222339650"</f>
        <v>2002222339650</v>
      </c>
      <c r="I2431" t="str">
        <f>HYPERLINK("#", "https://opac.libnet.pref.okayama.jp/licsxp-opac/WOpacMsgNewListToTifTilDetailAction.do?tilcod=2002222339650")</f>
        <v>https://opac.libnet.pref.okayama.jp/licsxp-opac/WOpacMsgNewListToTifTilDetailAction.do?tilcod=2002222339650</v>
      </c>
    </row>
    <row r="2432" spans="1:9" x14ac:dyDescent="0.4">
      <c r="A2432" t="str">
        <f>"広報 いき活きかみかも"</f>
        <v>広報 いき活きかみかも</v>
      </c>
      <c r="B2432" s="1" t="str">
        <f t="shared" si="135"/>
        <v>広報 いき活きかみかも</v>
      </c>
      <c r="C2432" t="str">
        <f>"コウホウ イキ イキ カミカモ"</f>
        <v>コウホウ イキ イキ カミカモ</v>
      </c>
      <c r="D2432" t="str">
        <f>"上加茂地区住民自治協議会広報部"</f>
        <v>上加茂地区住民自治協議会広報部</v>
      </c>
      <c r="E2432" t="str">
        <f>"カミカモ チク ジュウミン ジチ キョウギカイ コウホウ ブ"</f>
        <v>カミカモ チク ジュウミン ジチ キョウギカイ コウホウ ブ</v>
      </c>
      <c r="F2432" t="str">
        <f>"[加茂町(苫田郡)]"</f>
        <v>[加茂町(苫田郡)]</v>
      </c>
      <c r="G2432" t="str">
        <f>"年刊"</f>
        <v>年刊</v>
      </c>
      <c r="H2432" t="str">
        <f>"2002222335529"</f>
        <v>2002222335529</v>
      </c>
      <c r="I2432" t="str">
        <f>HYPERLINK("#", "https://opac.libnet.pref.okayama.jp/licsxp-opac/WOpacMsgNewListToTifTilDetailAction.do?tilcod=2002222335529")</f>
        <v>https://opac.libnet.pref.okayama.jp/licsxp-opac/WOpacMsgNewListToTifTilDetailAction.do?tilcod=2002222335529</v>
      </c>
    </row>
    <row r="2433" spans="1:9" x14ac:dyDescent="0.4">
      <c r="A2433" t="str">
        <f>"広報いばら"</f>
        <v>広報いばら</v>
      </c>
      <c r="B2433" s="1" t="str">
        <f t="shared" si="135"/>
        <v>広報いばら</v>
      </c>
      <c r="C2433" t="str">
        <f>"コウホウ　イバラ"</f>
        <v>コウホウ　イバラ</v>
      </c>
      <c r="D2433" t="str">
        <f>"井原市"</f>
        <v>井原市</v>
      </c>
      <c r="E2433" t="str">
        <f>"イバラシ"</f>
        <v>イバラシ</v>
      </c>
      <c r="F2433" t="str">
        <f>"井原"</f>
        <v>井原</v>
      </c>
      <c r="G2433" t="str">
        <f>"月刊"</f>
        <v>月刊</v>
      </c>
      <c r="H2433" t="str">
        <f>"2002222301557"</f>
        <v>2002222301557</v>
      </c>
      <c r="I2433" t="str">
        <f>HYPERLINK("#", "https://opac.libnet.pref.okayama.jp/licsxp-opac/WOpacMsgNewListToTifTilDetailAction.do?tilcod=2002222301557")</f>
        <v>https://opac.libnet.pref.okayama.jp/licsxp-opac/WOpacMsgNewListToTifTilDetailAction.do?tilcod=2002222301557</v>
      </c>
    </row>
    <row r="2434" spans="1:9" x14ac:dyDescent="0.4">
      <c r="A2434" t="str">
        <f>"広報いばら縮刷版"</f>
        <v>広報いばら縮刷版</v>
      </c>
      <c r="B2434" s="1" t="str">
        <f t="shared" si="135"/>
        <v>広報いばら縮刷版</v>
      </c>
      <c r="C2434" t="str">
        <f>"コウホウ　イバラ　シュクサツバン"</f>
        <v>コウホウ　イバラ　シュクサツバン</v>
      </c>
      <c r="D2434" t="str">
        <f>"井原市"</f>
        <v>井原市</v>
      </c>
      <c r="E2434" t="str">
        <f>"イバラシ"</f>
        <v>イバラシ</v>
      </c>
      <c r="F2434" t="str">
        <f>"井原"</f>
        <v>井原</v>
      </c>
      <c r="G2434" t="str">
        <f>"不定期刊"</f>
        <v>不定期刊</v>
      </c>
      <c r="H2434" t="str">
        <f>"2002222301584"</f>
        <v>2002222301584</v>
      </c>
      <c r="I2434" t="str">
        <f>HYPERLINK("#", "https://opac.libnet.pref.okayama.jp/licsxp-opac/WOpacMsgNewListToTifTilDetailAction.do?tilcod=2002222301584")</f>
        <v>https://opac.libnet.pref.okayama.jp/licsxp-opac/WOpacMsgNewListToTifTilDetailAction.do?tilcod=2002222301584</v>
      </c>
    </row>
    <row r="2435" spans="1:9" x14ac:dyDescent="0.4">
      <c r="A2435" t="str">
        <f>"広報うかん"</f>
        <v>広報うかん</v>
      </c>
      <c r="B2435" s="1" t="str">
        <f t="shared" si="135"/>
        <v>広報うかん</v>
      </c>
      <c r="C2435" t="str">
        <f>"コウホウ ウカン"</f>
        <v>コウホウ ウカン</v>
      </c>
      <c r="D2435" t="str">
        <f>"有漢町"</f>
        <v>有漢町</v>
      </c>
      <c r="E2435" t="str">
        <f>"ウカンチョウ"</f>
        <v>ウカンチョウ</v>
      </c>
      <c r="F2435" t="str">
        <f>"有漢町(上房郡)"</f>
        <v>有漢町(上房郡)</v>
      </c>
      <c r="G2435" t="str">
        <f>"隔月刊"</f>
        <v>隔月刊</v>
      </c>
      <c r="H2435" t="str">
        <f>"2002222301613"</f>
        <v>2002222301613</v>
      </c>
      <c r="I2435" t="str">
        <f>HYPERLINK("#", "https://opac.libnet.pref.okayama.jp/licsxp-opac/WOpacMsgNewListToTifTilDetailAction.do?tilcod=2002222301613")</f>
        <v>https://opac.libnet.pref.okayama.jp/licsxp-opac/WOpacMsgNewListToTifTilDetailAction.do?tilcod=2002222301613</v>
      </c>
    </row>
    <row r="2436" spans="1:9" x14ac:dyDescent="0.4">
      <c r="A2436" t="str">
        <f>"広報うしまど"</f>
        <v>広報うしまど</v>
      </c>
      <c r="B2436" s="1" t="str">
        <f t="shared" ref="B2436:B2499" si="137">HYPERLINK("#", A2436)</f>
        <v>広報うしまど</v>
      </c>
      <c r="C2436" t="str">
        <f>"コウホウ　ウシマド"</f>
        <v>コウホウ　ウシマド</v>
      </c>
      <c r="D2436" t="str">
        <f>"牛窓町"</f>
        <v>牛窓町</v>
      </c>
      <c r="E2436" t="str">
        <f>"ウシマドチョウ"</f>
        <v>ウシマドチョウ</v>
      </c>
      <c r="F2436" t="str">
        <f>"牛窓町（邑久郡）"</f>
        <v>牛窓町（邑久郡）</v>
      </c>
      <c r="G2436" t="str">
        <f t="shared" ref="G2436:G2442" si="138">"月刊"</f>
        <v>月刊</v>
      </c>
      <c r="H2436" t="str">
        <f>"2002222301615"</f>
        <v>2002222301615</v>
      </c>
      <c r="I2436" t="str">
        <f>HYPERLINK("#", "https://opac.libnet.pref.okayama.jp/licsxp-opac/WOpacMsgNewListToTifTilDetailAction.do?tilcod=2002222301615")</f>
        <v>https://opac.libnet.pref.okayama.jp/licsxp-opac/WOpacMsgNewListToTifTilDetailAction.do?tilcod=2002222301615</v>
      </c>
    </row>
    <row r="2437" spans="1:9" x14ac:dyDescent="0.4">
      <c r="A2437" t="str">
        <f>"広報おおさ"</f>
        <v>広報おおさ</v>
      </c>
      <c r="B2437" s="1" t="str">
        <f t="shared" si="137"/>
        <v>広報おおさ</v>
      </c>
      <c r="C2437" t="str">
        <f>"コウホウ　オオサ"</f>
        <v>コウホウ　オオサ</v>
      </c>
      <c r="D2437" t="str">
        <f>"大佐町"</f>
        <v>大佐町</v>
      </c>
      <c r="E2437" t="str">
        <f>"オオサチョウ"</f>
        <v>オオサチョウ</v>
      </c>
      <c r="F2437" t="str">
        <f>"大佐町（阿哲郡）"</f>
        <v>大佐町（阿哲郡）</v>
      </c>
      <c r="G2437" t="str">
        <f t="shared" si="138"/>
        <v>月刊</v>
      </c>
      <c r="H2437" t="str">
        <f>"2002222301616"</f>
        <v>2002222301616</v>
      </c>
      <c r="I2437" t="str">
        <f>HYPERLINK("#", "https://opac.libnet.pref.okayama.jp/licsxp-opac/WOpacMsgNewListToTifTilDetailAction.do?tilcod=2002222301616")</f>
        <v>https://opac.libnet.pref.okayama.jp/licsxp-opac/WOpacMsgNewListToTifTilDetailAction.do?tilcod=2002222301616</v>
      </c>
    </row>
    <row r="2438" spans="1:9" x14ac:dyDescent="0.4">
      <c r="A2438" t="str">
        <f>"広報おおはら"</f>
        <v>広報おおはら</v>
      </c>
      <c r="B2438" s="1" t="str">
        <f t="shared" si="137"/>
        <v>広報おおはら</v>
      </c>
      <c r="C2438" t="str">
        <f>"コウホウ　オオハラ"</f>
        <v>コウホウ　オオハラ</v>
      </c>
      <c r="D2438" t="str">
        <f>"大原町"</f>
        <v>大原町</v>
      </c>
      <c r="E2438" t="str">
        <f>"オオハラチョウ"</f>
        <v>オオハラチョウ</v>
      </c>
      <c r="F2438" t="str">
        <f>"大原町（英田郡）"</f>
        <v>大原町（英田郡）</v>
      </c>
      <c r="G2438" t="str">
        <f t="shared" si="138"/>
        <v>月刊</v>
      </c>
      <c r="H2438" t="str">
        <f>"2002222301617"</f>
        <v>2002222301617</v>
      </c>
      <c r="I2438" t="str">
        <f>HYPERLINK("#", "https://opac.libnet.pref.okayama.jp/licsxp-opac/WOpacMsgNewListToTifTilDetailAction.do?tilcod=2002222301617")</f>
        <v>https://opac.libnet.pref.okayama.jp/licsxp-opac/WOpacMsgNewListToTifTilDetailAction.do?tilcod=2002222301617</v>
      </c>
    </row>
    <row r="2439" spans="1:9" x14ac:dyDescent="0.4">
      <c r="A2439" t="str">
        <f>"広報おかやま"</f>
        <v>広報おかやま</v>
      </c>
      <c r="B2439" s="1" t="str">
        <f t="shared" si="137"/>
        <v>広報おかやま</v>
      </c>
      <c r="C2439" t="str">
        <f>"コウホウ　オカヤマ"</f>
        <v>コウホウ　オカヤマ</v>
      </c>
      <c r="D2439" t="str">
        <f>"岡山県広報課"</f>
        <v>岡山県広報課</v>
      </c>
      <c r="E2439" t="str">
        <f>"オカヤマケン コウホウカ"</f>
        <v>オカヤマケン コウホウカ</v>
      </c>
      <c r="F2439" t="str">
        <f>"岡山"</f>
        <v>岡山</v>
      </c>
      <c r="G2439" t="str">
        <f t="shared" si="138"/>
        <v>月刊</v>
      </c>
      <c r="H2439" t="str">
        <f>"2002222280653"</f>
        <v>2002222280653</v>
      </c>
      <c r="I2439" t="str">
        <f>HYPERLINK("#", "https://opac.libnet.pref.okayama.jp/licsxp-opac/WOpacMsgNewListToTifTilDetailAction.do?tilcod=2002222280653")</f>
        <v>https://opac.libnet.pref.okayama.jp/licsxp-opac/WOpacMsgNewListToTifTilDetailAction.do?tilcod=2002222280653</v>
      </c>
    </row>
    <row r="2440" spans="1:9" x14ac:dyDescent="0.4">
      <c r="A2440" t="str">
        <f>"広報岡山"</f>
        <v>広報岡山</v>
      </c>
      <c r="B2440" s="1" t="str">
        <f t="shared" si="137"/>
        <v>広報岡山</v>
      </c>
      <c r="C2440" t="str">
        <f>"コウホウ　オカヤマ"</f>
        <v>コウホウ　オカヤマ</v>
      </c>
      <c r="D2440" t="str">
        <f>"岡山県企画広報室"</f>
        <v>岡山県企画広報室</v>
      </c>
      <c r="E2440" t="str">
        <f>"オカヤマケン キカク コウホウシツ"</f>
        <v>オカヤマケン キカク コウホウシツ</v>
      </c>
      <c r="F2440" t="str">
        <f>"岡山"</f>
        <v>岡山</v>
      </c>
      <c r="G2440" t="str">
        <f t="shared" si="138"/>
        <v>月刊</v>
      </c>
      <c r="H2440" t="str">
        <f>"2002222331146"</f>
        <v>2002222331146</v>
      </c>
      <c r="I2440" t="str">
        <f>HYPERLINK("#", "https://opac.libnet.pref.okayama.jp/licsxp-opac/WOpacMsgNewListToTifTilDetailAction.do?tilcod=2002222331146")</f>
        <v>https://opac.libnet.pref.okayama.jp/licsxp-opac/WOpacMsgNewListToTifTilDetailAction.do?tilcod=2002222331146</v>
      </c>
    </row>
    <row r="2441" spans="1:9" x14ac:dyDescent="0.4">
      <c r="A2441" t="str">
        <f>"広報おく"</f>
        <v>広報おく</v>
      </c>
      <c r="B2441" s="1" t="str">
        <f t="shared" si="137"/>
        <v>広報おく</v>
      </c>
      <c r="C2441" t="str">
        <f>"コウホウ オク"</f>
        <v>コウホウ オク</v>
      </c>
      <c r="D2441" t="str">
        <f>"邑久町"</f>
        <v>邑久町</v>
      </c>
      <c r="E2441" t="str">
        <f>"オクチョウ"</f>
        <v>オクチョウ</v>
      </c>
      <c r="F2441" t="str">
        <f>"邑久町(邑久郡)"</f>
        <v>邑久町(邑久郡)</v>
      </c>
      <c r="G2441" t="str">
        <f t="shared" si="138"/>
        <v>月刊</v>
      </c>
      <c r="H2441" t="str">
        <f>"2002222301619"</f>
        <v>2002222301619</v>
      </c>
      <c r="I2441" t="str">
        <f>HYPERLINK("#", "https://opac.libnet.pref.okayama.jp/licsxp-opac/WOpacMsgNewListToTifTilDetailAction.do?tilcod=2002222301619")</f>
        <v>https://opac.libnet.pref.okayama.jp/licsxp-opac/WOpacMsgNewListToTifTilDetailAction.do?tilcod=2002222301619</v>
      </c>
    </row>
    <row r="2442" spans="1:9" x14ac:dyDescent="0.4">
      <c r="A2442" t="str">
        <f>"広報おくつ"</f>
        <v>広報おくつ</v>
      </c>
      <c r="B2442" s="1" t="str">
        <f t="shared" si="137"/>
        <v>広報おくつ</v>
      </c>
      <c r="C2442" t="str">
        <f>"コウホウ　オクツ"</f>
        <v>コウホウ　オクツ</v>
      </c>
      <c r="D2442" t="str">
        <f>"奥津町"</f>
        <v>奥津町</v>
      </c>
      <c r="E2442" t="str">
        <f>"オクツチョウ"</f>
        <v>オクツチョウ</v>
      </c>
      <c r="F2442" t="str">
        <f>"奥津町（苫田郡）"</f>
        <v>奥津町（苫田郡）</v>
      </c>
      <c r="G2442" t="str">
        <f t="shared" si="138"/>
        <v>月刊</v>
      </c>
      <c r="H2442" t="str">
        <f>"2002222301620"</f>
        <v>2002222301620</v>
      </c>
      <c r="I2442" t="str">
        <f>HYPERLINK("#", "https://opac.libnet.pref.okayama.jp/licsxp-opac/WOpacMsgNewListToTifTilDetailAction.do?tilcod=2002222301620")</f>
        <v>https://opac.libnet.pref.okayama.jp/licsxp-opac/WOpacMsgNewListToTifTilDetailAction.do?tilcod=2002222301620</v>
      </c>
    </row>
    <row r="2443" spans="1:9" x14ac:dyDescent="0.4">
      <c r="A2443" t="str">
        <f>"広報奥津の声"</f>
        <v>広報奥津の声</v>
      </c>
      <c r="B2443" s="1" t="str">
        <f t="shared" si="137"/>
        <v>広報奥津の声</v>
      </c>
      <c r="C2443" t="str">
        <f>"コウホウ　オクツ　ノ　コエ"</f>
        <v>コウホウ　オクツ　ノ　コエ</v>
      </c>
      <c r="D2443" t="str">
        <f>"奥津町"</f>
        <v>奥津町</v>
      </c>
      <c r="E2443" t="str">
        <f>"オクツチョウ"</f>
        <v>オクツチョウ</v>
      </c>
      <c r="F2443" t="str">
        <f>"奥津町（苫田郡）"</f>
        <v>奥津町（苫田郡）</v>
      </c>
      <c r="G2443" t="str">
        <f>"隔月刊"</f>
        <v>隔月刊</v>
      </c>
      <c r="H2443" t="str">
        <f>"2002222301634"</f>
        <v>2002222301634</v>
      </c>
      <c r="I2443" t="str">
        <f>HYPERLINK("#", "https://opac.libnet.pref.okayama.jp/licsxp-opac/WOpacMsgNewListToTifTilDetailAction.do?tilcod=2002222301634")</f>
        <v>https://opac.libnet.pref.okayama.jp/licsxp-opac/WOpacMsgNewListToTifTilDetailAction.do?tilcod=2002222301634</v>
      </c>
    </row>
    <row r="2444" spans="1:9" x14ac:dyDescent="0.4">
      <c r="A2444" t="str">
        <f>"広報おさふね"</f>
        <v>広報おさふね</v>
      </c>
      <c r="B2444" s="1" t="str">
        <f t="shared" si="137"/>
        <v>広報おさふね</v>
      </c>
      <c r="C2444" t="str">
        <f>"コウホウ　オサフネ"</f>
        <v>コウホウ　オサフネ</v>
      </c>
      <c r="D2444" t="str">
        <f>"長船町"</f>
        <v>長船町</v>
      </c>
      <c r="E2444" t="str">
        <f>"オサフネチョウ"</f>
        <v>オサフネチョウ</v>
      </c>
      <c r="F2444" t="str">
        <f>"長船町（邑久郡）"</f>
        <v>長船町（邑久郡）</v>
      </c>
      <c r="G2444" t="str">
        <f>"月刊"</f>
        <v>月刊</v>
      </c>
      <c r="H2444" t="str">
        <f>"2002222301622"</f>
        <v>2002222301622</v>
      </c>
      <c r="I2444" t="str">
        <f>HYPERLINK("#", "https://opac.libnet.pref.okayama.jp/licsxp-opac/WOpacMsgNewListToTifTilDetailAction.do?tilcod=2002222301622")</f>
        <v>https://opac.libnet.pref.okayama.jp/licsxp-opac/WOpacMsgNewListToTifTilDetailAction.do?tilcod=2002222301622</v>
      </c>
    </row>
    <row r="2445" spans="1:9" x14ac:dyDescent="0.4">
      <c r="A2445" t="str">
        <f>"広報おちあい"</f>
        <v>広報おちあい</v>
      </c>
      <c r="B2445" s="1" t="str">
        <f t="shared" si="137"/>
        <v>広報おちあい</v>
      </c>
      <c r="C2445" t="str">
        <f>"コウホウ　オチアイ"</f>
        <v>コウホウ　オチアイ</v>
      </c>
      <c r="D2445" t="str">
        <f>"落合町"</f>
        <v>落合町</v>
      </c>
      <c r="E2445" t="str">
        <f>"オチアイチョウ"</f>
        <v>オチアイチョウ</v>
      </c>
      <c r="F2445" t="str">
        <f>"落合（真庭郡）"</f>
        <v>落合（真庭郡）</v>
      </c>
      <c r="G2445" t="str">
        <f>"月刊"</f>
        <v>月刊</v>
      </c>
      <c r="H2445" t="str">
        <f>"2002222301623"</f>
        <v>2002222301623</v>
      </c>
      <c r="I2445" t="str">
        <f>HYPERLINK("#", "https://opac.libnet.pref.okayama.jp/licsxp-opac/WOpacMsgNewListToTifTilDetailAction.do?tilcod=2002222301623")</f>
        <v>https://opac.libnet.pref.okayama.jp/licsxp-opac/WOpacMsgNewListToTifTilDetailAction.do?tilcod=2002222301623</v>
      </c>
    </row>
    <row r="2446" spans="1:9" x14ac:dyDescent="0.4">
      <c r="A2446" t="str">
        <f>"広報おちあい縮刷版"</f>
        <v>広報おちあい縮刷版</v>
      </c>
      <c r="B2446" s="1" t="str">
        <f t="shared" si="137"/>
        <v>広報おちあい縮刷版</v>
      </c>
      <c r="C2446" t="str">
        <f>"コウホウ　オチアイ　シュクサツバン"</f>
        <v>コウホウ　オチアイ　シュクサツバン</v>
      </c>
      <c r="D2446" t="str">
        <f>"落合町"</f>
        <v>落合町</v>
      </c>
      <c r="E2446" t="str">
        <f>"オチアイチョウ"</f>
        <v>オチアイチョウ</v>
      </c>
      <c r="F2446" t="str">
        <f>"落合町（真庭郡）"</f>
        <v>落合町（真庭郡）</v>
      </c>
      <c r="G2446" t="str">
        <f>"不定期刊"</f>
        <v>不定期刊</v>
      </c>
      <c r="H2446" t="str">
        <f>"2002222301521"</f>
        <v>2002222301521</v>
      </c>
      <c r="I2446" t="str">
        <f>HYPERLINK("#", "https://opac.libnet.pref.okayama.jp/licsxp-opac/WOpacMsgNewListToTifTilDetailAction.do?tilcod=2002222301521")</f>
        <v>https://opac.libnet.pref.okayama.jp/licsxp-opac/WOpacMsgNewListToTifTilDetailAction.do?tilcod=2002222301521</v>
      </c>
    </row>
    <row r="2447" spans="1:9" x14ac:dyDescent="0.4">
      <c r="A2447" t="str">
        <f>"広報かがみの"</f>
        <v>広報かがみの</v>
      </c>
      <c r="B2447" s="1" t="str">
        <f t="shared" si="137"/>
        <v>広報かがみの</v>
      </c>
      <c r="C2447" t="str">
        <f>"コウホウ　カガミノ"</f>
        <v>コウホウ　カガミノ</v>
      </c>
      <c r="D2447" t="str">
        <f>"鏡野町"</f>
        <v>鏡野町</v>
      </c>
      <c r="E2447" t="str">
        <f>"カガミノチョウ"</f>
        <v>カガミノチョウ</v>
      </c>
      <c r="F2447" t="str">
        <f>"鏡野町（苫田郡）"</f>
        <v>鏡野町（苫田郡）</v>
      </c>
      <c r="G2447" t="str">
        <f>"月刊"</f>
        <v>月刊</v>
      </c>
      <c r="H2447" t="str">
        <f>"2002222301558"</f>
        <v>2002222301558</v>
      </c>
      <c r="I2447" t="str">
        <f>HYPERLINK("#", "https://opac.libnet.pref.okayama.jp/licsxp-opac/WOpacMsgNewListToTifTilDetailAction.do?tilcod=2002222301558")</f>
        <v>https://opac.libnet.pref.okayama.jp/licsxp-opac/WOpacMsgNewListToTifTilDetailAction.do?tilcod=2002222301558</v>
      </c>
    </row>
    <row r="2448" spans="1:9" x14ac:dyDescent="0.4">
      <c r="A2448" t="str">
        <f>"広報かがみの縮刷版"</f>
        <v>広報かがみの縮刷版</v>
      </c>
      <c r="B2448" s="1" t="str">
        <f t="shared" si="137"/>
        <v>広報かがみの縮刷版</v>
      </c>
      <c r="C2448" t="str">
        <f>"コウホウ　カガミノ　シュクサツバン"</f>
        <v>コウホウ　カガミノ　シュクサツバン</v>
      </c>
      <c r="D2448" t="str">
        <f>"鏡野町"</f>
        <v>鏡野町</v>
      </c>
      <c r="E2448" t="str">
        <f>"カガミノチョウ"</f>
        <v>カガミノチョウ</v>
      </c>
      <c r="F2448" t="str">
        <f>"鏡野町（苫田郡）"</f>
        <v>鏡野町（苫田郡）</v>
      </c>
      <c r="G2448" t="str">
        <f>"不定期刊"</f>
        <v>不定期刊</v>
      </c>
      <c r="H2448" t="str">
        <f>"2002222301606"</f>
        <v>2002222301606</v>
      </c>
      <c r="I2448" t="str">
        <f>HYPERLINK("#", "https://opac.libnet.pref.okayama.jp/licsxp-opac/WOpacMsgNewListToTifTilDetailAction.do?tilcod=2002222301606")</f>
        <v>https://opac.libnet.pref.okayama.jp/licsxp-opac/WOpacMsgNewListToTifTilDetailAction.do?tilcod=2002222301606</v>
      </c>
    </row>
    <row r="2449" spans="1:9" x14ac:dyDescent="0.4">
      <c r="A2449" t="str">
        <f>"広報かさおか"</f>
        <v>広報かさおか</v>
      </c>
      <c r="B2449" s="1" t="str">
        <f t="shared" si="137"/>
        <v>広報かさおか</v>
      </c>
      <c r="C2449" t="str">
        <f>"コウホウ カサオカ"</f>
        <v>コウホウ カサオカ</v>
      </c>
      <c r="D2449" t="str">
        <f>"笠岡市"</f>
        <v>笠岡市</v>
      </c>
      <c r="E2449" t="str">
        <f>"カサオカシ"</f>
        <v>カサオカシ</v>
      </c>
      <c r="F2449" t="str">
        <f>"笠岡"</f>
        <v>笠岡</v>
      </c>
      <c r="G2449" t="str">
        <f>"月刊"</f>
        <v>月刊</v>
      </c>
      <c r="H2449" t="str">
        <f>"2002222301572"</f>
        <v>2002222301572</v>
      </c>
      <c r="I2449" t="str">
        <f>HYPERLINK("#", "https://opac.libnet.pref.okayama.jp/licsxp-opac/WOpacMsgNewListToTifTilDetailAction.do?tilcod=2002222301572")</f>
        <v>https://opac.libnet.pref.okayama.jp/licsxp-opac/WOpacMsgNewListToTifTilDetailAction.do?tilcod=2002222301572</v>
      </c>
    </row>
    <row r="2450" spans="1:9" x14ac:dyDescent="0.4">
      <c r="A2450" t="str">
        <f>"広報かさおか縮刷版"</f>
        <v>広報かさおか縮刷版</v>
      </c>
      <c r="B2450" s="1" t="str">
        <f t="shared" si="137"/>
        <v>広報かさおか縮刷版</v>
      </c>
      <c r="C2450" t="str">
        <f>"コウホウ カサオカ シュクサツバン"</f>
        <v>コウホウ カサオカ シュクサツバン</v>
      </c>
      <c r="D2450" t="str">
        <f>"笠岡市"</f>
        <v>笠岡市</v>
      </c>
      <c r="E2450" t="str">
        <f>"カサオカシ"</f>
        <v>カサオカシ</v>
      </c>
      <c r="F2450" t="str">
        <f>"笠岡"</f>
        <v>笠岡</v>
      </c>
      <c r="G2450" t="str">
        <f>"不定期刊"</f>
        <v>不定期刊</v>
      </c>
      <c r="H2450" t="str">
        <f>"2002222301590"</f>
        <v>2002222301590</v>
      </c>
      <c r="I2450" t="str">
        <f>HYPERLINK("#", "https://opac.libnet.pref.okayama.jp/licsxp-opac/WOpacMsgNewListToTifTilDetailAction.do?tilcod=2002222301590")</f>
        <v>https://opac.libnet.pref.okayama.jp/licsxp-opac/WOpacMsgNewListToTifTilDetailAction.do?tilcod=2002222301590</v>
      </c>
    </row>
    <row r="2451" spans="1:9" x14ac:dyDescent="0.4">
      <c r="A2451" t="str">
        <f>"広報かつた"</f>
        <v>広報かつた</v>
      </c>
      <c r="B2451" s="1" t="str">
        <f t="shared" si="137"/>
        <v>広報かつた</v>
      </c>
      <c r="C2451" t="str">
        <f>"コウホウ カツタ"</f>
        <v>コウホウ カツタ</v>
      </c>
      <c r="D2451" t="str">
        <f>"勝田町"</f>
        <v>勝田町</v>
      </c>
      <c r="E2451" t="str">
        <f>"カツタチョウ"</f>
        <v>カツタチョウ</v>
      </c>
      <c r="F2451" t="str">
        <f>"勝田町(勝田郡)"</f>
        <v>勝田町(勝田郡)</v>
      </c>
      <c r="G2451" t="str">
        <f>"月刊"</f>
        <v>月刊</v>
      </c>
      <c r="H2451" t="str">
        <f>"2002222301609"</f>
        <v>2002222301609</v>
      </c>
      <c r="I2451" t="str">
        <f>HYPERLINK("#", "https://opac.libnet.pref.okayama.jp/licsxp-opac/WOpacMsgNewListToTifTilDetailAction.do?tilcod=2002222301609")</f>
        <v>https://opac.libnet.pref.okayama.jp/licsxp-opac/WOpacMsgNewListToTifTilDetailAction.do?tilcod=2002222301609</v>
      </c>
    </row>
    <row r="2452" spans="1:9" x14ac:dyDescent="0.4">
      <c r="A2452" t="str">
        <f>"広報勝山"</f>
        <v>広報勝山</v>
      </c>
      <c r="B2452" s="1" t="str">
        <f t="shared" si="137"/>
        <v>広報勝山</v>
      </c>
      <c r="C2452" t="str">
        <f>"コウホウ　カツヤマ"</f>
        <v>コウホウ　カツヤマ</v>
      </c>
      <c r="D2452" t="str">
        <f>"勝山町"</f>
        <v>勝山町</v>
      </c>
      <c r="E2452" t="str">
        <f>"カツヤマチョウ"</f>
        <v>カツヤマチョウ</v>
      </c>
      <c r="F2452" t="str">
        <f>"勝山町（真庭郡）"</f>
        <v>勝山町（真庭郡）</v>
      </c>
      <c r="G2452" t="str">
        <f>"月刊"</f>
        <v>月刊</v>
      </c>
      <c r="H2452" t="str">
        <f>"2002222301610"</f>
        <v>2002222301610</v>
      </c>
      <c r="I2452" t="str">
        <f>HYPERLINK("#", "https://opac.libnet.pref.okayama.jp/licsxp-opac/WOpacMsgNewListToTifTilDetailAction.do?tilcod=2002222301610")</f>
        <v>https://opac.libnet.pref.okayama.jp/licsxp-opac/WOpacMsgNewListToTifTilDetailAction.do?tilcod=2002222301610</v>
      </c>
    </row>
    <row r="2453" spans="1:9" x14ac:dyDescent="0.4">
      <c r="A2453" t="str">
        <f>"広報かみさい"</f>
        <v>広報かみさい</v>
      </c>
      <c r="B2453" s="1" t="str">
        <f t="shared" si="137"/>
        <v>広報かみさい</v>
      </c>
      <c r="C2453" t="str">
        <f>"コウホウ　カミサイ"</f>
        <v>コウホウ　カミサイ</v>
      </c>
      <c r="D2453" t="str">
        <f>"上斎原村"</f>
        <v>上斎原村</v>
      </c>
      <c r="E2453" t="str">
        <f>"カミサイバラソン"</f>
        <v>カミサイバラソン</v>
      </c>
      <c r="F2453" t="str">
        <f>"上斎原村（苫田郡）"</f>
        <v>上斎原村（苫田郡）</v>
      </c>
      <c r="G2453" t="str">
        <f>"月刊"</f>
        <v>月刊</v>
      </c>
      <c r="H2453" t="str">
        <f>"2002222301699"</f>
        <v>2002222301699</v>
      </c>
      <c r="I2453" t="str">
        <f>HYPERLINK("#", "https://opac.libnet.pref.okayama.jp/licsxp-opac/WOpacMsgNewListToTifTilDetailAction.do?tilcod=2002222301699")</f>
        <v>https://opac.libnet.pref.okayama.jp/licsxp-opac/WOpacMsgNewListToTifTilDetailAction.do?tilcod=2002222301699</v>
      </c>
    </row>
    <row r="2454" spans="1:9" x14ac:dyDescent="0.4">
      <c r="A2454" t="str">
        <f>"広報かも"</f>
        <v>広報かも</v>
      </c>
      <c r="B2454" s="1" t="str">
        <f t="shared" si="137"/>
        <v>広報かも</v>
      </c>
      <c r="C2454" t="str">
        <f>"コウホウ　カモ"</f>
        <v>コウホウ　カモ</v>
      </c>
      <c r="D2454" t="str">
        <f>"加茂町"</f>
        <v>加茂町</v>
      </c>
      <c r="E2454" t="str">
        <f>"カモチョウ"</f>
        <v>カモチョウ</v>
      </c>
      <c r="F2454" t="str">
        <f>"加茂町（苫田郡）"</f>
        <v>加茂町（苫田郡）</v>
      </c>
      <c r="G2454" t="str">
        <f>"月刊"</f>
        <v>月刊</v>
      </c>
      <c r="H2454" t="str">
        <f>"2002222301611"</f>
        <v>2002222301611</v>
      </c>
      <c r="I2454" t="str">
        <f>HYPERLINK("#", "https://opac.libnet.pref.okayama.jp/licsxp-opac/WOpacMsgNewListToTifTilDetailAction.do?tilcod=2002222301611")</f>
        <v>https://opac.libnet.pref.okayama.jp/licsxp-opac/WOpacMsgNewListToTifTilDetailAction.do?tilcod=2002222301611</v>
      </c>
    </row>
    <row r="2455" spans="1:9" x14ac:dyDescent="0.4">
      <c r="A2455" t="str">
        <f>"広報かもがた"</f>
        <v>広報かもがた</v>
      </c>
      <c r="B2455" s="1" t="str">
        <f t="shared" si="137"/>
        <v>広報かもがた</v>
      </c>
      <c r="C2455" t="str">
        <f>"コウホウ　カモガタ"</f>
        <v>コウホウ　カモガタ</v>
      </c>
      <c r="D2455" t="str">
        <f>"鴨方町"</f>
        <v>鴨方町</v>
      </c>
      <c r="E2455" t="str">
        <f>"カモガタチョウ"</f>
        <v>カモガタチョウ</v>
      </c>
      <c r="F2455" t="str">
        <f>"鴨方町（浅口郡）"</f>
        <v>鴨方町（浅口郡）</v>
      </c>
      <c r="G2455" t="str">
        <f>"月刊"</f>
        <v>月刊</v>
      </c>
      <c r="H2455" t="str">
        <f>"2002222301614"</f>
        <v>2002222301614</v>
      </c>
      <c r="I2455" t="str">
        <f>HYPERLINK("#", "https://opac.libnet.pref.okayama.jp/licsxp-opac/WOpacMsgNewListToTifTilDetailAction.do?tilcod=2002222301614")</f>
        <v>https://opac.libnet.pref.okayama.jp/licsxp-opac/WOpacMsgNewListToTifTilDetailAction.do?tilcod=2002222301614</v>
      </c>
    </row>
    <row r="2456" spans="1:9" x14ac:dyDescent="0.4">
      <c r="A2456" t="str">
        <f>"広報かもがわ縮刷版"</f>
        <v>広報かもがわ縮刷版</v>
      </c>
      <c r="B2456" s="1" t="str">
        <f t="shared" si="137"/>
        <v>広報かもがわ縮刷版</v>
      </c>
      <c r="C2456" t="str">
        <f>"コウホウ カモガワ シュクサツバン"</f>
        <v>コウホウ カモガワ シュクサツバン</v>
      </c>
      <c r="D2456" t="str">
        <f>"加茂川町"</f>
        <v>加茂川町</v>
      </c>
      <c r="E2456" t="str">
        <f>"カモガワチョウ"</f>
        <v>カモガワチョウ</v>
      </c>
      <c r="F2456" t="str">
        <f>"加茂川町(御津郡)"</f>
        <v>加茂川町(御津郡)</v>
      </c>
      <c r="G2456" t="str">
        <f>"不定期刊"</f>
        <v>不定期刊</v>
      </c>
      <c r="H2456" t="str">
        <f>"2002222301636"</f>
        <v>2002222301636</v>
      </c>
      <c r="I2456" t="str">
        <f>HYPERLINK("#", "https://opac.libnet.pref.okayama.jp/licsxp-opac/WOpacMsgNewListToTifTilDetailAction.do?tilcod=2002222301636")</f>
        <v>https://opac.libnet.pref.okayama.jp/licsxp-opac/WOpacMsgNewListToTifTilDetailAction.do?tilcod=2002222301636</v>
      </c>
    </row>
    <row r="2457" spans="1:9" x14ac:dyDescent="0.4">
      <c r="A2457" t="str">
        <f>"広報かよう"</f>
        <v>広報かよう</v>
      </c>
      <c r="B2457" s="1" t="str">
        <f t="shared" si="137"/>
        <v>広報かよう</v>
      </c>
      <c r="C2457" t="str">
        <f>"コウホウ カヨウ"</f>
        <v>コウホウ カヨウ</v>
      </c>
      <c r="D2457" t="str">
        <f>"賀陽町"</f>
        <v>賀陽町</v>
      </c>
      <c r="E2457" t="str">
        <f>"カヨウチョウ"</f>
        <v>カヨウチョウ</v>
      </c>
      <c r="F2457" t="str">
        <f>"賀陽町(上房郡)"</f>
        <v>賀陽町(上房郡)</v>
      </c>
      <c r="G2457" t="str">
        <f>"月刊"</f>
        <v>月刊</v>
      </c>
      <c r="H2457" t="str">
        <f>"2002222301618"</f>
        <v>2002222301618</v>
      </c>
      <c r="I2457" t="str">
        <f>HYPERLINK("#", "https://opac.libnet.pref.okayama.jp/licsxp-opac/WOpacMsgNewListToTifTilDetailAction.do?tilcod=2002222301618")</f>
        <v>https://opac.libnet.pref.okayama.jp/licsxp-opac/WOpacMsgNewListToTifTilDetailAction.do?tilcod=2002222301618</v>
      </c>
    </row>
    <row r="2458" spans="1:9" x14ac:dyDescent="0.4">
      <c r="A2458" t="str">
        <f>"広報かわかみ"</f>
        <v>広報かわかみ</v>
      </c>
      <c r="B2458" s="1" t="str">
        <f t="shared" si="137"/>
        <v>広報かわかみ</v>
      </c>
      <c r="C2458" t="str">
        <f>"コウホウ　カワカミ"</f>
        <v>コウホウ　カワカミ</v>
      </c>
      <c r="D2458" t="str">
        <f>"川上町"</f>
        <v>川上町</v>
      </c>
      <c r="E2458" t="str">
        <f>"カワカミチョウ"</f>
        <v>カワカミチョウ</v>
      </c>
      <c r="F2458" t="str">
        <f>"川上町（川上郡）"</f>
        <v>川上町（川上郡）</v>
      </c>
      <c r="G2458" t="str">
        <f>"月刊"</f>
        <v>月刊</v>
      </c>
      <c r="H2458" t="str">
        <f>"2002222301621"</f>
        <v>2002222301621</v>
      </c>
      <c r="I2458" t="str">
        <f>HYPERLINK("#", "https://opac.libnet.pref.okayama.jp/licsxp-opac/WOpacMsgNewListToTifTilDetailAction.do?tilcod=2002222301621")</f>
        <v>https://opac.libnet.pref.okayama.jp/licsxp-opac/WOpacMsgNewListToTifTilDetailAction.do?tilcod=2002222301621</v>
      </c>
    </row>
    <row r="2459" spans="1:9" x14ac:dyDescent="0.4">
      <c r="A2459" t="str">
        <f>"広報川上"</f>
        <v>広報川上</v>
      </c>
      <c r="B2459" s="1" t="str">
        <f t="shared" si="137"/>
        <v>広報川上</v>
      </c>
      <c r="C2459" t="str">
        <f>"コウホウ　カワカミ"</f>
        <v>コウホウ　カワカミ</v>
      </c>
      <c r="D2459" t="str">
        <f>"川上村"</f>
        <v>川上村</v>
      </c>
      <c r="E2459" t="str">
        <f>"カワカミソン"</f>
        <v>カワカミソン</v>
      </c>
      <c r="F2459" t="str">
        <f>"川上村（真庭郡）"</f>
        <v>川上村（真庭郡）</v>
      </c>
      <c r="G2459" t="str">
        <f>"月刊"</f>
        <v>月刊</v>
      </c>
      <c r="H2459" t="str">
        <f>"2002222301638"</f>
        <v>2002222301638</v>
      </c>
      <c r="I2459" t="str">
        <f>HYPERLINK("#", "https://opac.libnet.pref.okayama.jp/licsxp-opac/WOpacMsgNewListToTifTilDetailAction.do?tilcod=2002222301638")</f>
        <v>https://opac.libnet.pref.okayama.jp/licsxp-opac/WOpacMsgNewListToTifTilDetailAction.do?tilcod=2002222301638</v>
      </c>
    </row>
    <row r="2460" spans="1:9" x14ac:dyDescent="0.4">
      <c r="A2460" t="str">
        <f>"広報川上合本"</f>
        <v>広報川上合本</v>
      </c>
      <c r="B2460" s="1" t="str">
        <f t="shared" si="137"/>
        <v>広報川上合本</v>
      </c>
      <c r="C2460" t="str">
        <f>"コウホウ　カワカミ　ガッポン"</f>
        <v>コウホウ　カワカミ　ガッポン</v>
      </c>
      <c r="D2460" t="str">
        <f>"川上村"</f>
        <v>川上村</v>
      </c>
      <c r="E2460" t="str">
        <f>"カワカミソン"</f>
        <v>カワカミソン</v>
      </c>
      <c r="F2460" t="str">
        <f>"川上村（真庭郡）"</f>
        <v>川上村（真庭郡）</v>
      </c>
      <c r="G2460" t="str">
        <f>"不定期刊"</f>
        <v>不定期刊</v>
      </c>
      <c r="H2460" t="str">
        <f>"2002222301641"</f>
        <v>2002222301641</v>
      </c>
      <c r="I2460" t="str">
        <f>HYPERLINK("#", "https://opac.libnet.pref.okayama.jp/licsxp-opac/WOpacMsgNewListToTifTilDetailAction.do?tilcod=2002222301641")</f>
        <v>https://opac.libnet.pref.okayama.jp/licsxp-opac/WOpacMsgNewListToTifTilDetailAction.do?tilcod=2002222301641</v>
      </c>
    </row>
    <row r="2461" spans="1:9" x14ac:dyDescent="0.4">
      <c r="A2461" t="str">
        <f>"広報きびちゅうおう"</f>
        <v>広報きびちゅうおう</v>
      </c>
      <c r="B2461" s="1" t="str">
        <f t="shared" si="137"/>
        <v>広報きびちゅうおう</v>
      </c>
      <c r="C2461" t="str">
        <f>"コウホウ　キビチュウオウ"</f>
        <v>コウホウ　キビチュウオウ</v>
      </c>
      <c r="D2461" t="str">
        <f>"吉備中央町"</f>
        <v>吉備中央町</v>
      </c>
      <c r="E2461" t="str">
        <f>"キビチュウオウチョウ"</f>
        <v>キビチュウオウチョウ</v>
      </c>
      <c r="F2461" t="str">
        <f>"吉備中央町（加賀郡）"</f>
        <v>吉備中央町（加賀郡）</v>
      </c>
      <c r="G2461" t="str">
        <f t="shared" ref="G2461:G2467" si="139">"月刊"</f>
        <v>月刊</v>
      </c>
      <c r="H2461" t="str">
        <f>"2002222301570"</f>
        <v>2002222301570</v>
      </c>
      <c r="I2461" t="str">
        <f>HYPERLINK("#", "https://opac.libnet.pref.okayama.jp/licsxp-opac/WOpacMsgNewListToTifTilDetailAction.do?tilcod=2002222301570")</f>
        <v>https://opac.libnet.pref.okayama.jp/licsxp-opac/WOpacMsgNewListToTifTilDetailAction.do?tilcod=2002222301570</v>
      </c>
    </row>
    <row r="2462" spans="1:9" x14ac:dyDescent="0.4">
      <c r="A2462" t="str">
        <f>"広報きよね"</f>
        <v>広報きよね</v>
      </c>
      <c r="B2462" s="1" t="str">
        <f t="shared" si="137"/>
        <v>広報きよね</v>
      </c>
      <c r="C2462" t="str">
        <f>"コウホウ キヨネ"</f>
        <v>コウホウ キヨネ</v>
      </c>
      <c r="D2462" t="str">
        <f>"清音村"</f>
        <v>清音村</v>
      </c>
      <c r="E2462" t="str">
        <f>"キヨネソン"</f>
        <v>キヨネソン</v>
      </c>
      <c r="F2462" t="str">
        <f>"清音村(都窪郡)"</f>
        <v>清音村(都窪郡)</v>
      </c>
      <c r="G2462" t="str">
        <f t="shared" si="139"/>
        <v>月刊</v>
      </c>
      <c r="H2462" t="str">
        <f>"2002222301642"</f>
        <v>2002222301642</v>
      </c>
      <c r="I2462" t="str">
        <f>HYPERLINK("#", "https://opac.libnet.pref.okayama.jp/licsxp-opac/WOpacMsgNewListToTifTilDetailAction.do?tilcod=2002222301642")</f>
        <v>https://opac.libnet.pref.okayama.jp/licsxp-opac/WOpacMsgNewListToTifTilDetailAction.do?tilcod=2002222301642</v>
      </c>
    </row>
    <row r="2463" spans="1:9" x14ac:dyDescent="0.4">
      <c r="A2463" t="str">
        <f>"広報くせ"</f>
        <v>広報くせ</v>
      </c>
      <c r="B2463" s="1" t="str">
        <f t="shared" si="137"/>
        <v>広報くせ</v>
      </c>
      <c r="C2463" t="str">
        <f>"コウホウ　クセ"</f>
        <v>コウホウ　クセ</v>
      </c>
      <c r="D2463" t="str">
        <f>"久世町"</f>
        <v>久世町</v>
      </c>
      <c r="E2463" t="str">
        <f>"クセチョウ"</f>
        <v>クセチョウ</v>
      </c>
      <c r="F2463" t="str">
        <f>"久世町（真庭郡）"</f>
        <v>久世町（真庭郡）</v>
      </c>
      <c r="G2463" t="str">
        <f t="shared" si="139"/>
        <v>月刊</v>
      </c>
      <c r="H2463" t="str">
        <f>"2002222301624"</f>
        <v>2002222301624</v>
      </c>
      <c r="I2463" t="str">
        <f>HYPERLINK("#", "https://opac.libnet.pref.okayama.jp/licsxp-opac/WOpacMsgNewListToTifTilDetailAction.do?tilcod=2002222301624")</f>
        <v>https://opac.libnet.pref.okayama.jp/licsxp-opac/WOpacMsgNewListToTifTilDetailAction.do?tilcod=2002222301624</v>
      </c>
    </row>
    <row r="2464" spans="1:9" x14ac:dyDescent="0.4">
      <c r="A2464" t="str">
        <f>"広報くまやま"</f>
        <v>広報くまやま</v>
      </c>
      <c r="B2464" s="1" t="str">
        <f t="shared" si="137"/>
        <v>広報くまやま</v>
      </c>
      <c r="C2464" t="str">
        <f>"コウホウ クマヤマ"</f>
        <v>コウホウ クマヤマ</v>
      </c>
      <c r="D2464" t="str">
        <f>"熊山町"</f>
        <v>熊山町</v>
      </c>
      <c r="E2464" t="str">
        <f>"クマヤマチョウ"</f>
        <v>クマヤマチョウ</v>
      </c>
      <c r="F2464" t="str">
        <f>"熊山町(赤磐郡)"</f>
        <v>熊山町(赤磐郡)</v>
      </c>
      <c r="G2464" t="str">
        <f t="shared" si="139"/>
        <v>月刊</v>
      </c>
      <c r="H2464" t="str">
        <f>"2002222301600"</f>
        <v>2002222301600</v>
      </c>
      <c r="I2464" t="str">
        <f>HYPERLINK("#", "https://opac.libnet.pref.okayama.jp/licsxp-opac/WOpacMsgNewListToTifTilDetailAction.do?tilcod=2002222301600")</f>
        <v>https://opac.libnet.pref.okayama.jp/licsxp-opac/WOpacMsgNewListToTifTilDetailAction.do?tilcod=2002222301600</v>
      </c>
    </row>
    <row r="2465" spans="1:9" x14ac:dyDescent="0.4">
      <c r="A2465" t="str">
        <f>"広報久米"</f>
        <v>広報久米</v>
      </c>
      <c r="B2465" s="1" t="str">
        <f t="shared" si="137"/>
        <v>広報久米</v>
      </c>
      <c r="C2465" t="str">
        <f>"コウホウ　クメ"</f>
        <v>コウホウ　クメ</v>
      </c>
      <c r="D2465" t="str">
        <f>"久米町"</f>
        <v>久米町</v>
      </c>
      <c r="E2465" t="str">
        <f>"クメチョウ"</f>
        <v>クメチョウ</v>
      </c>
      <c r="F2465" t="str">
        <f>"久米町（久米郡）"</f>
        <v>久米町（久米郡）</v>
      </c>
      <c r="G2465" t="str">
        <f t="shared" si="139"/>
        <v>月刊</v>
      </c>
      <c r="H2465" t="str">
        <f>"2002222301626"</f>
        <v>2002222301626</v>
      </c>
      <c r="I2465" t="str">
        <f>HYPERLINK("#", "https://opac.libnet.pref.okayama.jp/licsxp-opac/WOpacMsgNewListToTifTilDetailAction.do?tilcod=2002222301626")</f>
        <v>https://opac.libnet.pref.okayama.jp/licsxp-opac/WOpacMsgNewListToTifTilDetailAction.do?tilcod=2002222301626</v>
      </c>
    </row>
    <row r="2466" spans="1:9" x14ac:dyDescent="0.4">
      <c r="A2466" t="str">
        <f>"広報くめなん"</f>
        <v>広報くめなん</v>
      </c>
      <c r="B2466" s="1" t="str">
        <f t="shared" si="137"/>
        <v>広報くめなん</v>
      </c>
      <c r="C2466" t="str">
        <f>"コウホウ　クメナン"</f>
        <v>コウホウ　クメナン</v>
      </c>
      <c r="D2466" t="str">
        <f>"久米南町"</f>
        <v>久米南町</v>
      </c>
      <c r="E2466" t="str">
        <f>"クメナンチョウ"</f>
        <v>クメナンチョウ</v>
      </c>
      <c r="F2466" t="str">
        <f>"久米南町（久米郡）"</f>
        <v>久米南町（久米郡）</v>
      </c>
      <c r="G2466" t="str">
        <f t="shared" si="139"/>
        <v>月刊</v>
      </c>
      <c r="H2466" t="str">
        <f>"2002222301573"</f>
        <v>2002222301573</v>
      </c>
      <c r="I2466" t="str">
        <f>HYPERLINK("#", "https://opac.libnet.pref.okayama.jp/licsxp-opac/WOpacMsgNewListToTifTilDetailAction.do?tilcod=2002222301573")</f>
        <v>https://opac.libnet.pref.okayama.jp/licsxp-opac/WOpacMsgNewListToTifTilDetailAction.do?tilcod=2002222301573</v>
      </c>
    </row>
    <row r="2467" spans="1:9" x14ac:dyDescent="0.4">
      <c r="A2467" t="str">
        <f>"広報くらしき"</f>
        <v>広報くらしき</v>
      </c>
      <c r="B2467" s="1" t="str">
        <f t="shared" si="137"/>
        <v>広報くらしき</v>
      </c>
      <c r="C2467" t="str">
        <f>"コウホウ　クラシキ"</f>
        <v>コウホウ　クラシキ</v>
      </c>
      <c r="D2467" t="str">
        <f>"倉敷市"</f>
        <v>倉敷市</v>
      </c>
      <c r="E2467" t="str">
        <f>"クラシキシ"</f>
        <v>クラシキシ</v>
      </c>
      <c r="F2467" t="str">
        <f>"倉敷"</f>
        <v>倉敷</v>
      </c>
      <c r="G2467" t="str">
        <f t="shared" si="139"/>
        <v>月刊</v>
      </c>
      <c r="H2467" t="str">
        <f>"2002222301568"</f>
        <v>2002222301568</v>
      </c>
      <c r="I2467" t="str">
        <f>HYPERLINK("#", "https://opac.libnet.pref.okayama.jp/licsxp-opac/WOpacMsgNewListToTifTilDetailAction.do?tilcod=2002222301568")</f>
        <v>https://opac.libnet.pref.okayama.jp/licsxp-opac/WOpacMsgNewListToTifTilDetailAction.do?tilcod=2002222301568</v>
      </c>
    </row>
    <row r="2468" spans="1:9" x14ac:dyDescent="0.4">
      <c r="A2468" t="str">
        <f>"広報くらっぴぃ"</f>
        <v>広報くらっぴぃ</v>
      </c>
      <c r="B2468" s="1" t="str">
        <f t="shared" si="137"/>
        <v>広報くらっぴぃ</v>
      </c>
      <c r="C2468" t="str">
        <f>"コウホウ　クラッピィ"</f>
        <v>コウホウ　クラッピィ</v>
      </c>
      <c r="D2468" t="str">
        <f>"倉敷市水道局"</f>
        <v>倉敷市水道局</v>
      </c>
      <c r="E2468" t="str">
        <f>"クラシキシ スイドウキョク"</f>
        <v>クラシキシ スイドウキョク</v>
      </c>
      <c r="F2468" t="str">
        <f>"倉敷"</f>
        <v>倉敷</v>
      </c>
      <c r="G2468" t="str">
        <f>"季刊"</f>
        <v>季刊</v>
      </c>
      <c r="H2468" t="str">
        <f>"2002222285301"</f>
        <v>2002222285301</v>
      </c>
      <c r="I2468" t="str">
        <f>HYPERLINK("#", "https://opac.libnet.pref.okayama.jp/licsxp-opac/WOpacMsgNewListToTifTilDetailAction.do?tilcod=2002222285301")</f>
        <v>https://opac.libnet.pref.okayama.jp/licsxp-opac/WOpacMsgNewListToTifTilDetailAction.do?tilcod=2002222285301</v>
      </c>
    </row>
    <row r="2469" spans="1:9" x14ac:dyDescent="0.4">
      <c r="A2469" t="str">
        <f>"広報さいだいじ"</f>
        <v>広報さいだいじ</v>
      </c>
      <c r="B2469" s="1" t="str">
        <f t="shared" si="137"/>
        <v>広報さいだいじ</v>
      </c>
      <c r="C2469" t="str">
        <f>"コウホウ サイダイジ"</f>
        <v>コウホウ サイダイジ</v>
      </c>
      <c r="D2469" t="str">
        <f>"西大寺農業協同組合"</f>
        <v>西大寺農業協同組合</v>
      </c>
      <c r="E2469" t="str">
        <f>"サイダイジ ノウギョウ キョウドウ クミアイ"</f>
        <v>サイダイジ ノウギョウ キョウドウ クミアイ</v>
      </c>
      <c r="F2469" t="str">
        <f>"岡山"</f>
        <v>岡山</v>
      </c>
      <c r="G2469" t="str">
        <f>"月刊"</f>
        <v>月刊</v>
      </c>
      <c r="H2469" t="str">
        <f>"2002222327909"</f>
        <v>2002222327909</v>
      </c>
      <c r="I2469" t="str">
        <f>HYPERLINK("#", "https://opac.libnet.pref.okayama.jp/licsxp-opac/WOpacMsgNewListToTifTilDetailAction.do?tilcod=2002222327909")</f>
        <v>https://opac.libnet.pref.okayama.jp/licsxp-opac/WOpacMsgNewListToTifTilDetailAction.do?tilcod=2002222327909</v>
      </c>
    </row>
    <row r="2470" spans="1:9" x14ac:dyDescent="0.4">
      <c r="A2470" t="str">
        <f>"広報さえき"</f>
        <v>広報さえき</v>
      </c>
      <c r="B2470" s="1" t="str">
        <f t="shared" si="137"/>
        <v>広報さえき</v>
      </c>
      <c r="C2470" t="str">
        <f>"コウホウ　サエキ"</f>
        <v>コウホウ　サエキ</v>
      </c>
      <c r="D2470" t="str">
        <f>"佐伯町"</f>
        <v>佐伯町</v>
      </c>
      <c r="E2470" t="str">
        <f>"サエキチョウ"</f>
        <v>サエキチョウ</v>
      </c>
      <c r="F2470" t="str">
        <f>"佐伯町（和気郡）"</f>
        <v>佐伯町（和気郡）</v>
      </c>
      <c r="G2470" t="str">
        <f>"月刊"</f>
        <v>月刊</v>
      </c>
      <c r="H2470" t="str">
        <f>"2002222301627"</f>
        <v>2002222301627</v>
      </c>
      <c r="I2470" t="str">
        <f>HYPERLINK("#", "https://opac.libnet.pref.okayama.jp/licsxp-opac/WOpacMsgNewListToTifTilDetailAction.do?tilcod=2002222301627")</f>
        <v>https://opac.libnet.pref.okayama.jp/licsxp-opac/WOpacMsgNewListToTifTilDetailAction.do?tilcod=2002222301627</v>
      </c>
    </row>
    <row r="2471" spans="1:9" x14ac:dyDescent="0.4">
      <c r="A2471" t="str">
        <f>"広報佐伯合本"</f>
        <v>広報佐伯合本</v>
      </c>
      <c r="B2471" s="1" t="str">
        <f t="shared" si="137"/>
        <v>広報佐伯合本</v>
      </c>
      <c r="C2471" t="str">
        <f>"コウホウ　サエキ　ガッポン"</f>
        <v>コウホウ　サエキ　ガッポン</v>
      </c>
      <c r="D2471" t="str">
        <f>"佐伯町"</f>
        <v>佐伯町</v>
      </c>
      <c r="E2471" t="str">
        <f>"サエキチョウ"</f>
        <v>サエキチョウ</v>
      </c>
      <c r="F2471" t="str">
        <f>"佐伯町（和気郡）"</f>
        <v>佐伯町（和気郡）</v>
      </c>
      <c r="G2471" t="str">
        <f>"不定期刊"</f>
        <v>不定期刊</v>
      </c>
      <c r="H2471" t="str">
        <f>"2002222301652"</f>
        <v>2002222301652</v>
      </c>
      <c r="I2471" t="str">
        <f>HYPERLINK("#", "https://opac.libnet.pref.okayama.jp/licsxp-opac/WOpacMsgNewListToTifTilDetailAction.do?tilcod=2002222301652")</f>
        <v>https://opac.libnet.pref.okayama.jp/licsxp-opac/WOpacMsgNewListToTifTilDetailAction.do?tilcod=2002222301652</v>
      </c>
    </row>
    <row r="2472" spans="1:9" x14ac:dyDescent="0.4">
      <c r="A2472" t="str">
        <f>"広報さくとう"</f>
        <v>広報さくとう</v>
      </c>
      <c r="B2472" s="1" t="str">
        <f t="shared" si="137"/>
        <v>広報さくとう</v>
      </c>
      <c r="C2472" t="str">
        <f>"コウホウ サクトウ"</f>
        <v>コウホウ サクトウ</v>
      </c>
      <c r="D2472" t="str">
        <f>"作東町"</f>
        <v>作東町</v>
      </c>
      <c r="E2472" t="str">
        <f>"サクトウチョウ"</f>
        <v>サクトウチョウ</v>
      </c>
      <c r="F2472" t="str">
        <f>"作東町(英田郡)"</f>
        <v>作東町(英田郡)</v>
      </c>
      <c r="G2472" t="str">
        <f>"月刊"</f>
        <v>月刊</v>
      </c>
      <c r="H2472" t="str">
        <f>"2002222301628"</f>
        <v>2002222301628</v>
      </c>
      <c r="I2472" t="str">
        <f>HYPERLINK("#", "https://opac.libnet.pref.okayama.jp/licsxp-opac/WOpacMsgNewListToTifTilDetailAction.do?tilcod=2002222301628")</f>
        <v>https://opac.libnet.pref.okayama.jp/licsxp-opac/WOpacMsgNewListToTifTilDetailAction.do?tilcod=2002222301628</v>
      </c>
    </row>
    <row r="2473" spans="1:9" x14ac:dyDescent="0.4">
      <c r="A2473" t="str">
        <f>"広報さとしょう"</f>
        <v>広報さとしょう</v>
      </c>
      <c r="B2473" s="1" t="str">
        <f t="shared" si="137"/>
        <v>広報さとしょう</v>
      </c>
      <c r="C2473" t="str">
        <f>"コウホウ　サトショウ"</f>
        <v>コウホウ　サトショウ</v>
      </c>
      <c r="D2473" t="str">
        <f>"里庄町"</f>
        <v>里庄町</v>
      </c>
      <c r="E2473" t="str">
        <f>"サトショウチョウ"</f>
        <v>サトショウチョウ</v>
      </c>
      <c r="F2473" t="str">
        <f>"里庄町（浅口郡）"</f>
        <v>里庄町（浅口郡）</v>
      </c>
      <c r="G2473" t="str">
        <f>"月刊"</f>
        <v>月刊</v>
      </c>
      <c r="H2473" t="str">
        <f>"2002222301574"</f>
        <v>2002222301574</v>
      </c>
      <c r="I2473" t="str">
        <f>HYPERLINK("#", "https://opac.libnet.pref.okayama.jp/licsxp-opac/WOpacMsgNewListToTifTilDetailAction.do?tilcod=2002222301574")</f>
        <v>https://opac.libnet.pref.okayama.jp/licsxp-opac/WOpacMsgNewListToTifTilDetailAction.do?tilcod=2002222301574</v>
      </c>
    </row>
    <row r="2474" spans="1:9" x14ac:dyDescent="0.4">
      <c r="A2474" t="str">
        <f>"広報さとしょう縮刷版"</f>
        <v>広報さとしょう縮刷版</v>
      </c>
      <c r="B2474" s="1" t="str">
        <f t="shared" si="137"/>
        <v>広報さとしょう縮刷版</v>
      </c>
      <c r="C2474" t="str">
        <f>"コウホウ　サトショウ　シュクサツバン"</f>
        <v>コウホウ　サトショウ　シュクサツバン</v>
      </c>
      <c r="D2474" t="str">
        <f>"里庄町"</f>
        <v>里庄町</v>
      </c>
      <c r="E2474" t="str">
        <f>"サトショウチョウ"</f>
        <v>サトショウチョウ</v>
      </c>
      <c r="F2474" t="str">
        <f>"里庄町（浅口郡）"</f>
        <v>里庄町（浅口郡）</v>
      </c>
      <c r="G2474" t="str">
        <f>"不定期刊"</f>
        <v>不定期刊</v>
      </c>
      <c r="H2474" t="str">
        <f>"2002222301520"</f>
        <v>2002222301520</v>
      </c>
      <c r="I2474" t="str">
        <f>HYPERLINK("#", "https://opac.libnet.pref.okayama.jp/licsxp-opac/WOpacMsgNewListToTifTilDetailAction.do?tilcod=2002222301520")</f>
        <v>https://opac.libnet.pref.okayama.jp/licsxp-opac/WOpacMsgNewListToTifTilDetailAction.do?tilcod=2002222301520</v>
      </c>
    </row>
    <row r="2475" spans="1:9" x14ac:dyDescent="0.4">
      <c r="A2475" t="str">
        <f>"広報さんよう"</f>
        <v>広報さんよう</v>
      </c>
      <c r="B2475" s="1" t="str">
        <f t="shared" si="137"/>
        <v>広報さんよう</v>
      </c>
      <c r="C2475" t="str">
        <f>"コウホウ　サンヨウ"</f>
        <v>コウホウ　サンヨウ</v>
      </c>
      <c r="D2475" t="str">
        <f>"山陽町"</f>
        <v>山陽町</v>
      </c>
      <c r="E2475" t="str">
        <f>"サンヨウチョウ"</f>
        <v>サンヨウチョウ</v>
      </c>
      <c r="F2475" t="str">
        <f>"山陽町（赤磐郡）"</f>
        <v>山陽町（赤磐郡）</v>
      </c>
      <c r="G2475" t="str">
        <f>"月刊"</f>
        <v>月刊</v>
      </c>
      <c r="H2475" t="str">
        <f>"2002222301601"</f>
        <v>2002222301601</v>
      </c>
      <c r="I2475" t="str">
        <f>HYPERLINK("#", "https://opac.libnet.pref.okayama.jp/licsxp-opac/WOpacMsgNewListToTifTilDetailAction.do?tilcod=2002222301601")</f>
        <v>https://opac.libnet.pref.okayama.jp/licsxp-opac/WOpacMsgNewListToTifTilDetailAction.do?tilcod=2002222301601</v>
      </c>
    </row>
    <row r="2476" spans="1:9" x14ac:dyDescent="0.4">
      <c r="A2476" t="str">
        <f>"〔広報〕市民のひろばおかやま"</f>
        <v>〔広報〕市民のひろばおかやま</v>
      </c>
      <c r="B2476" s="1" t="str">
        <f t="shared" si="137"/>
        <v>〔広報〕市民のひろばおかやま</v>
      </c>
      <c r="C2476" t="str">
        <f>"コウホウ　シミンノ　ヒロバ　オカヤマ"</f>
        <v>コウホウ　シミンノ　ヒロバ　オカヤマ</v>
      </c>
      <c r="D2476" t="str">
        <f>"岡山市"</f>
        <v>岡山市</v>
      </c>
      <c r="E2476" t="str">
        <f>"オカヤマシ"</f>
        <v>オカヤマシ</v>
      </c>
      <c r="F2476" t="str">
        <f>"岡山"</f>
        <v>岡山</v>
      </c>
      <c r="G2476" t="str">
        <f>"月刊"</f>
        <v>月刊</v>
      </c>
      <c r="H2476" t="str">
        <f>"2002222301566"</f>
        <v>2002222301566</v>
      </c>
      <c r="I2476" t="str">
        <f>HYPERLINK("#", "https://opac.libnet.pref.okayama.jp/licsxp-opac/WOpacMsgNewListToTifTilDetailAction.do?tilcod=2002222301566")</f>
        <v>https://opac.libnet.pref.okayama.jp/licsxp-opac/WOpacMsgNewListToTifTilDetailAction.do?tilcod=2002222301566</v>
      </c>
    </row>
    <row r="2477" spans="1:9" x14ac:dyDescent="0.4">
      <c r="A2477" t="str">
        <f>"広報就実学園"</f>
        <v>広報就実学園</v>
      </c>
      <c r="B2477" s="1" t="str">
        <f t="shared" si="137"/>
        <v>広報就実学園</v>
      </c>
      <c r="C2477" t="str">
        <f>"コウホウ　シュウジツ　ガクエン"</f>
        <v>コウホウ　シュウジツ　ガクエン</v>
      </c>
      <c r="D2477" t="str">
        <f>"就実学園本部"</f>
        <v>就実学園本部</v>
      </c>
      <c r="E2477" t="str">
        <f>"シュウジツガクエンホンブ"</f>
        <v>シュウジツガクエンホンブ</v>
      </c>
      <c r="F2477" t="str">
        <f>"岡山"</f>
        <v>岡山</v>
      </c>
      <c r="G2477" t="str">
        <f>"年３回刊"</f>
        <v>年３回刊</v>
      </c>
      <c r="H2477" t="str">
        <f>"2002222300619"</f>
        <v>2002222300619</v>
      </c>
      <c r="I2477" t="str">
        <f>HYPERLINK("#", "https://opac.libnet.pref.okayama.jp/licsxp-opac/WOpacMsgNewListToTifTilDetailAction.do?tilcod=2002222300619")</f>
        <v>https://opac.libnet.pref.okayama.jp/licsxp-opac/WOpacMsgNewListToTifTilDetailAction.do?tilcod=2002222300619</v>
      </c>
    </row>
    <row r="2478" spans="1:9" x14ac:dyDescent="0.4">
      <c r="A2478" t="str">
        <f>"広報しょうおう"</f>
        <v>広報しょうおう</v>
      </c>
      <c r="B2478" s="1" t="str">
        <f t="shared" si="137"/>
        <v>広報しょうおう</v>
      </c>
      <c r="C2478" t="str">
        <f>"コウホウ　ショウオウ"</f>
        <v>コウホウ　ショウオウ</v>
      </c>
      <c r="D2478" t="str">
        <f>"勝央町"</f>
        <v>勝央町</v>
      </c>
      <c r="E2478" t="str">
        <f>"ショウオウチョウ"</f>
        <v>ショウオウチョウ</v>
      </c>
      <c r="F2478" t="str">
        <f>"勝央町（勝田郡）"</f>
        <v>勝央町（勝田郡）</v>
      </c>
      <c r="G2478" t="str">
        <f>"月刊"</f>
        <v>月刊</v>
      </c>
      <c r="H2478" t="str">
        <f>"2002222301575"</f>
        <v>2002222301575</v>
      </c>
      <c r="I2478" t="str">
        <f>HYPERLINK("#", "https://opac.libnet.pref.okayama.jp/licsxp-opac/WOpacMsgNewListToTifTilDetailAction.do?tilcod=2002222301575")</f>
        <v>https://opac.libnet.pref.okayama.jp/licsxp-opac/WOpacMsgNewListToTifTilDetailAction.do?tilcod=2002222301575</v>
      </c>
    </row>
    <row r="2479" spans="1:9" x14ac:dyDescent="0.4">
      <c r="A2479" t="str">
        <f>"広報消防；１１９ばん"</f>
        <v>広報消防；１１９ばん</v>
      </c>
      <c r="B2479" s="1" t="str">
        <f t="shared" si="137"/>
        <v>広報消防；１１９ばん</v>
      </c>
      <c r="C2479" t="str">
        <f>"コウホウ　ショウボウ＊ヒャクジュウキュウバン"</f>
        <v>コウホウ　ショウボウ＊ヒャクジュウキュウバン</v>
      </c>
      <c r="D2479" t="str">
        <f>"赤磐消防本部"</f>
        <v>赤磐消防本部</v>
      </c>
      <c r="E2479" t="str">
        <f>"アカイワショウボウホンブ"</f>
        <v>アカイワショウボウホンブ</v>
      </c>
      <c r="F2479" t="str">
        <f>"赤磐"</f>
        <v>赤磐</v>
      </c>
      <c r="G2479" t="str">
        <f>"頻度不明"</f>
        <v>頻度不明</v>
      </c>
      <c r="H2479" t="str">
        <f>"2002222300460"</f>
        <v>2002222300460</v>
      </c>
      <c r="I2479" t="str">
        <f>HYPERLINK("#", "https://opac.libnet.pref.okayama.jp/licsxp-opac/WOpacMsgNewListToTifTilDetailAction.do?tilcod=2002222300460")</f>
        <v>https://opac.libnet.pref.okayama.jp/licsxp-opac/WOpacMsgNewListToTifTilDetailAction.do?tilcod=2002222300460</v>
      </c>
    </row>
    <row r="2480" spans="1:9" x14ac:dyDescent="0.4">
      <c r="A2480" t="str">
        <f>"広報しょうぼく"</f>
        <v>広報しょうぼく</v>
      </c>
      <c r="B2480" s="1" t="str">
        <f t="shared" si="137"/>
        <v>広報しょうぼく</v>
      </c>
      <c r="C2480" t="str">
        <f>"コウホウ　ショウボク"</f>
        <v>コウホウ　ショウボク</v>
      </c>
      <c r="D2480" t="str">
        <f>"勝北町"</f>
        <v>勝北町</v>
      </c>
      <c r="E2480" t="str">
        <f>"ショウボクチョウ"</f>
        <v>ショウボクチョウ</v>
      </c>
      <c r="F2480" t="str">
        <f>"勝北町（勝田郡）"</f>
        <v>勝北町（勝田郡）</v>
      </c>
      <c r="G2480" t="str">
        <f>"月刊"</f>
        <v>月刊</v>
      </c>
      <c r="H2480" t="str">
        <f>"2002222301663"</f>
        <v>2002222301663</v>
      </c>
      <c r="I2480" t="str">
        <f>HYPERLINK("#", "https://opac.libnet.pref.okayama.jp/licsxp-opac/WOpacMsgNewListToTifTilDetailAction.do?tilcod=2002222301663")</f>
        <v>https://opac.libnet.pref.okayama.jp/licsxp-opac/WOpacMsgNewListToTifTilDetailAction.do?tilcod=2002222301663</v>
      </c>
    </row>
    <row r="2481" spans="1:9" x14ac:dyDescent="0.4">
      <c r="A2481" t="str">
        <f>"広報資料版"</f>
        <v>広報資料版</v>
      </c>
      <c r="B2481" s="1" t="str">
        <f t="shared" si="137"/>
        <v>広報資料版</v>
      </c>
      <c r="C2481" t="str">
        <f>"コウホウ　シリョウバン"</f>
        <v>コウホウ　シリョウバン</v>
      </c>
      <c r="D2481" t="str">
        <f>"岡山県秘書広報課"</f>
        <v>岡山県秘書広報課</v>
      </c>
      <c r="E2481" t="str">
        <f>"オカヤマケンヒショコウホウカ"</f>
        <v>オカヤマケンヒショコウホウカ</v>
      </c>
      <c r="F2481" t="str">
        <f>"岡山"</f>
        <v>岡山</v>
      </c>
      <c r="G2481" t="str">
        <f>"月刊"</f>
        <v>月刊</v>
      </c>
      <c r="H2481" t="str">
        <f>"2002222280633"</f>
        <v>2002222280633</v>
      </c>
      <c r="I2481" t="str">
        <f>HYPERLINK("#", "https://opac.libnet.pref.okayama.jp/licsxp-opac/WOpacMsgNewListToTifTilDetailAction.do?tilcod=2002222280633")</f>
        <v>https://opac.libnet.pref.okayama.jp/licsxp-opac/WOpacMsgNewListToTifTilDetailAction.do?tilcod=2002222280633</v>
      </c>
    </row>
    <row r="2482" spans="1:9" x14ac:dyDescent="0.4">
      <c r="A2482" t="str">
        <f>"広報しんごう"</f>
        <v>広報しんごう</v>
      </c>
      <c r="B2482" s="1" t="str">
        <f t="shared" si="137"/>
        <v>広報しんごう</v>
      </c>
      <c r="C2482" t="str">
        <f>"コウホウ　シンゴウ"</f>
        <v>コウホウ　シンゴウ</v>
      </c>
      <c r="D2482" t="str">
        <f>"神郷町"</f>
        <v>神郷町</v>
      </c>
      <c r="E2482" t="str">
        <f>"シンゴウチョウ"</f>
        <v>シンゴウチョウ</v>
      </c>
      <c r="F2482" t="str">
        <f>"神郷町（阿哲郡）"</f>
        <v>神郷町（阿哲郡）</v>
      </c>
      <c r="G2482" t="str">
        <f>"月刊"</f>
        <v>月刊</v>
      </c>
      <c r="H2482" t="str">
        <f>"2002222301665"</f>
        <v>2002222301665</v>
      </c>
      <c r="I2482" t="str">
        <f>HYPERLINK("#", "https://opac.libnet.pref.okayama.jp/licsxp-opac/WOpacMsgNewListToTifTilDetailAction.do?tilcod=2002222301665")</f>
        <v>https://opac.libnet.pref.okayama.jp/licsxp-opac/WOpacMsgNewListToTifTilDetailAction.do?tilcod=2002222301665</v>
      </c>
    </row>
    <row r="2483" spans="1:9" x14ac:dyDescent="0.4">
      <c r="A2483" t="str">
        <f>"広報新庄"</f>
        <v>広報新庄</v>
      </c>
      <c r="B2483" s="1" t="str">
        <f t="shared" si="137"/>
        <v>広報新庄</v>
      </c>
      <c r="C2483" t="str">
        <f>"コウホウ　シンジョウ"</f>
        <v>コウホウ　シンジョウ</v>
      </c>
      <c r="D2483" t="str">
        <f>"新庄村"</f>
        <v>新庄村</v>
      </c>
      <c r="E2483" t="str">
        <f>"シンジョウソン"</f>
        <v>シンジョウソン</v>
      </c>
      <c r="F2483" t="str">
        <f>"新庄村（真庭郡）"</f>
        <v>新庄村（真庭郡）</v>
      </c>
      <c r="G2483" t="str">
        <f>"不定期刊"</f>
        <v>不定期刊</v>
      </c>
      <c r="H2483" t="str">
        <f>"2002222301667"</f>
        <v>2002222301667</v>
      </c>
      <c r="I2483" t="str">
        <f>HYPERLINK("#", "https://opac.libnet.pref.okayama.jp/licsxp-opac/WOpacMsgNewListToTifTilDetailAction.do?tilcod=2002222301667")</f>
        <v>https://opac.libnet.pref.okayama.jp/licsxp-opac/WOpacMsgNewListToTifTilDetailAction.do?tilcod=2002222301667</v>
      </c>
    </row>
    <row r="2484" spans="1:9" x14ac:dyDescent="0.4">
      <c r="A2484" t="str">
        <f>"広報せと"</f>
        <v>広報せと</v>
      </c>
      <c r="B2484" s="1" t="str">
        <f t="shared" si="137"/>
        <v>広報せと</v>
      </c>
      <c r="C2484" t="str">
        <f>"コウホウ　セト"</f>
        <v>コウホウ　セト</v>
      </c>
      <c r="D2484" t="str">
        <f>"瀬戸町"</f>
        <v>瀬戸町</v>
      </c>
      <c r="E2484" t="str">
        <f>"セトチョウ"</f>
        <v>セトチョウ</v>
      </c>
      <c r="F2484" t="str">
        <f>"瀬戸町（赤磐郡）"</f>
        <v>瀬戸町（赤磐郡）</v>
      </c>
      <c r="G2484" t="str">
        <f t="shared" ref="G2484:G2490" si="140">"月刊"</f>
        <v>月刊</v>
      </c>
      <c r="H2484" t="str">
        <f>"2002222301666"</f>
        <v>2002222301666</v>
      </c>
      <c r="I2484" t="str">
        <f>HYPERLINK("#", "https://opac.libnet.pref.okayama.jp/licsxp-opac/WOpacMsgNewListToTifTilDetailAction.do?tilcod=2002222301666")</f>
        <v>https://opac.libnet.pref.okayama.jp/licsxp-opac/WOpacMsgNewListToTifTilDetailAction.do?tilcod=2002222301666</v>
      </c>
    </row>
    <row r="2485" spans="1:9" x14ac:dyDescent="0.4">
      <c r="A2485" t="str">
        <f>"広報せとうち"</f>
        <v>広報せとうち</v>
      </c>
      <c r="B2485" s="1" t="str">
        <f t="shared" si="137"/>
        <v>広報せとうち</v>
      </c>
      <c r="C2485" t="str">
        <f>"コウホウ　セトウチ"</f>
        <v>コウホウ　セトウチ</v>
      </c>
      <c r="D2485" t="str">
        <f>"瀬戸内市"</f>
        <v>瀬戸内市</v>
      </c>
      <c r="E2485" t="str">
        <f>"セトウチシ"</f>
        <v>セトウチシ</v>
      </c>
      <c r="F2485" t="str">
        <f>"瀬戸内"</f>
        <v>瀬戸内</v>
      </c>
      <c r="G2485" t="str">
        <f t="shared" si="140"/>
        <v>月刊</v>
      </c>
      <c r="H2485" t="str">
        <f>"2002222301571"</f>
        <v>2002222301571</v>
      </c>
      <c r="I2485" t="str">
        <f>HYPERLINK("#", "https://opac.libnet.pref.okayama.jp/licsxp-opac/WOpacMsgNewListToTifTilDetailAction.do?tilcod=2002222301571")</f>
        <v>https://opac.libnet.pref.okayama.jp/licsxp-opac/WOpacMsgNewListToTifTilDetailAction.do?tilcod=2002222301571</v>
      </c>
    </row>
    <row r="2486" spans="1:9" x14ac:dyDescent="0.4">
      <c r="A2486" t="str">
        <f>"広報そうじゃ"</f>
        <v>広報そうじゃ</v>
      </c>
      <c r="B2486" s="1" t="str">
        <f t="shared" si="137"/>
        <v>広報そうじゃ</v>
      </c>
      <c r="C2486" t="str">
        <f>"コウホウ　ソウジャ"</f>
        <v>コウホウ　ソウジャ</v>
      </c>
      <c r="D2486" t="str">
        <f>"総社市"</f>
        <v>総社市</v>
      </c>
      <c r="E2486" t="str">
        <f>"ソウジャシ"</f>
        <v>ソウジャシ</v>
      </c>
      <c r="F2486" t="str">
        <f>"総社"</f>
        <v>総社</v>
      </c>
      <c r="G2486" t="str">
        <f t="shared" si="140"/>
        <v>月刊</v>
      </c>
      <c r="H2486" t="str">
        <f>"2002222301562"</f>
        <v>2002222301562</v>
      </c>
      <c r="I2486" t="str">
        <f>HYPERLINK("#", "https://opac.libnet.pref.okayama.jp/licsxp-opac/WOpacMsgNewListToTifTilDetailAction.do?tilcod=2002222301562")</f>
        <v>https://opac.libnet.pref.okayama.jp/licsxp-opac/WOpacMsgNewListToTifTilDetailAction.do?tilcod=2002222301562</v>
      </c>
    </row>
    <row r="2487" spans="1:9" x14ac:dyDescent="0.4">
      <c r="A2487" t="str">
        <f>"広報たかはし"</f>
        <v>広報たかはし</v>
      </c>
      <c r="B2487" s="1" t="str">
        <f t="shared" si="137"/>
        <v>広報たかはし</v>
      </c>
      <c r="C2487" t="str">
        <f>"コウホウ　タカハシ"</f>
        <v>コウホウ　タカハシ</v>
      </c>
      <c r="D2487" t="str">
        <f>"高梁市"</f>
        <v>高梁市</v>
      </c>
      <c r="E2487" t="str">
        <f>"タカハシシ"</f>
        <v>タカハシシ</v>
      </c>
      <c r="F2487" t="str">
        <f>"高梁"</f>
        <v>高梁</v>
      </c>
      <c r="G2487" t="str">
        <f t="shared" si="140"/>
        <v>月刊</v>
      </c>
      <c r="H2487" t="str">
        <f>"2002222301556"</f>
        <v>2002222301556</v>
      </c>
      <c r="I2487" t="str">
        <f>HYPERLINK("#", "https://opac.libnet.pref.okayama.jp/licsxp-opac/WOpacMsgNewListToTifTilDetailAction.do?tilcod=2002222301556")</f>
        <v>https://opac.libnet.pref.okayama.jp/licsxp-opac/WOpacMsgNewListToTifTilDetailAction.do?tilcod=2002222301556</v>
      </c>
    </row>
    <row r="2488" spans="1:9" x14ac:dyDescent="0.4">
      <c r="A2488" t="str">
        <f>"広報たけべ"</f>
        <v>広報たけべ</v>
      </c>
      <c r="B2488" s="1" t="str">
        <f t="shared" si="137"/>
        <v>広報たけべ</v>
      </c>
      <c r="C2488" t="str">
        <f>"コウホウ　タケベ"</f>
        <v>コウホウ　タケベ</v>
      </c>
      <c r="D2488" t="str">
        <f>"建部町"</f>
        <v>建部町</v>
      </c>
      <c r="E2488" t="str">
        <f>"タケベチョウ"</f>
        <v>タケベチョウ</v>
      </c>
      <c r="F2488" t="str">
        <f>"建部町（御津郡）"</f>
        <v>建部町（御津郡）</v>
      </c>
      <c r="G2488" t="str">
        <f t="shared" si="140"/>
        <v>月刊</v>
      </c>
      <c r="H2488" t="str">
        <f>"2002222301668"</f>
        <v>2002222301668</v>
      </c>
      <c r="I2488" t="str">
        <f>HYPERLINK("#", "https://opac.libnet.pref.okayama.jp/licsxp-opac/WOpacMsgNewListToTifTilDetailAction.do?tilcod=2002222301668")</f>
        <v>https://opac.libnet.pref.okayama.jp/licsxp-opac/WOpacMsgNewListToTifTilDetailAction.do?tilcod=2002222301668</v>
      </c>
    </row>
    <row r="2489" spans="1:9" x14ac:dyDescent="0.4">
      <c r="A2489" t="str">
        <f>"広報たまの"</f>
        <v>広報たまの</v>
      </c>
      <c r="B2489" s="1" t="str">
        <f t="shared" si="137"/>
        <v>広報たまの</v>
      </c>
      <c r="C2489" t="str">
        <f>"コウホウ　タマノ"</f>
        <v>コウホウ　タマノ</v>
      </c>
      <c r="D2489" t="str">
        <f>"玉野市"</f>
        <v>玉野市</v>
      </c>
      <c r="E2489" t="str">
        <f>"タマノシ"</f>
        <v>タマノシ</v>
      </c>
      <c r="F2489" t="str">
        <f>"玉野"</f>
        <v>玉野</v>
      </c>
      <c r="G2489" t="str">
        <f t="shared" si="140"/>
        <v>月刊</v>
      </c>
      <c r="H2489" t="str">
        <f>"2002222301576"</f>
        <v>2002222301576</v>
      </c>
      <c r="I2489" t="str">
        <f>HYPERLINK("#", "https://opac.libnet.pref.okayama.jp/licsxp-opac/WOpacMsgNewListToTifTilDetailAction.do?tilcod=2002222301576")</f>
        <v>https://opac.libnet.pref.okayama.jp/licsxp-opac/WOpacMsgNewListToTifTilDetailAction.do?tilcod=2002222301576</v>
      </c>
    </row>
    <row r="2490" spans="1:9" x14ac:dyDescent="0.4">
      <c r="A2490" t="str">
        <f>"広報ちゅうおう"</f>
        <v>広報ちゅうおう</v>
      </c>
      <c r="B2490" s="1" t="str">
        <f t="shared" si="137"/>
        <v>広報ちゅうおう</v>
      </c>
      <c r="C2490" t="str">
        <f>"コウホウ　チュウオウ"</f>
        <v>コウホウ　チュウオウ</v>
      </c>
      <c r="D2490" t="str">
        <f>"中央町"</f>
        <v>中央町</v>
      </c>
      <c r="E2490" t="str">
        <f>"チュウオウチョウ"</f>
        <v>チュウオウチョウ</v>
      </c>
      <c r="F2490" t="str">
        <f>"中央町（久米郡）"</f>
        <v>中央町（久米郡）</v>
      </c>
      <c r="G2490" t="str">
        <f t="shared" si="140"/>
        <v>月刊</v>
      </c>
      <c r="H2490" t="str">
        <f>"2002222301670"</f>
        <v>2002222301670</v>
      </c>
      <c r="I2490" t="str">
        <f>HYPERLINK("#", "https://opac.libnet.pref.okayama.jp/licsxp-opac/WOpacMsgNewListToTifTilDetailAction.do?tilcod=2002222301670")</f>
        <v>https://opac.libnet.pref.okayama.jp/licsxp-opac/WOpacMsgNewListToTifTilDetailAction.do?tilcod=2002222301670</v>
      </c>
    </row>
    <row r="2491" spans="1:9" x14ac:dyDescent="0.4">
      <c r="A2491" t="str">
        <f>"広報ちゅうか"</f>
        <v>広報ちゅうか</v>
      </c>
      <c r="B2491" s="1" t="str">
        <f t="shared" si="137"/>
        <v>広報ちゅうか</v>
      </c>
      <c r="C2491" t="str">
        <f>"コウホウ　チュウカ"</f>
        <v>コウホウ　チュウカ</v>
      </c>
      <c r="D2491" t="str">
        <f>"中和村"</f>
        <v>中和村</v>
      </c>
      <c r="E2491" t="str">
        <f>"チュウカソン"</f>
        <v>チュウカソン</v>
      </c>
      <c r="F2491" t="str">
        <f>"中和村（真庭郡）"</f>
        <v>中和村（真庭郡）</v>
      </c>
      <c r="G2491" t="str">
        <f>"不定期刊"</f>
        <v>不定期刊</v>
      </c>
      <c r="H2491" t="str">
        <f>"2002222301680"</f>
        <v>2002222301680</v>
      </c>
      <c r="I2491" t="str">
        <f>HYPERLINK("#", "https://opac.libnet.pref.okayama.jp/licsxp-opac/WOpacMsgNewListToTifTilDetailAction.do?tilcod=2002222301680")</f>
        <v>https://opac.libnet.pref.okayama.jp/licsxp-opac/WOpacMsgNewListToTifTilDetailAction.do?tilcod=2002222301680</v>
      </c>
    </row>
    <row r="2492" spans="1:9" x14ac:dyDescent="0.4">
      <c r="A2492" t="str">
        <f>"広報つやま"</f>
        <v>広報つやま</v>
      </c>
      <c r="B2492" s="1" t="str">
        <f t="shared" si="137"/>
        <v>広報つやま</v>
      </c>
      <c r="C2492" t="str">
        <f>"コウホウ ツヤマ"</f>
        <v>コウホウ ツヤマ</v>
      </c>
      <c r="D2492" t="str">
        <f>"津山市"</f>
        <v>津山市</v>
      </c>
      <c r="E2492" t="str">
        <f>"ツヤマシ"</f>
        <v>ツヤマシ</v>
      </c>
      <c r="F2492" t="str">
        <f>"津山"</f>
        <v>津山</v>
      </c>
      <c r="G2492" t="str">
        <f t="shared" ref="G2492:G2498" si="141">"月刊"</f>
        <v>月刊</v>
      </c>
      <c r="H2492" t="str">
        <f>"2002222301559"</f>
        <v>2002222301559</v>
      </c>
      <c r="I2492" t="str">
        <f>HYPERLINK("#", "https://opac.libnet.pref.okayama.jp/licsxp-opac/WOpacMsgNewListToTifTilDetailAction.do?tilcod=2002222301559")</f>
        <v>https://opac.libnet.pref.okayama.jp/licsxp-opac/WOpacMsgNewListToTifTilDetailAction.do?tilcod=2002222301559</v>
      </c>
    </row>
    <row r="2493" spans="1:9" x14ac:dyDescent="0.4">
      <c r="A2493" t="str">
        <f>"広報てっせい"</f>
        <v>広報てっせい</v>
      </c>
      <c r="B2493" s="1" t="str">
        <f t="shared" si="137"/>
        <v>広報てっせい</v>
      </c>
      <c r="C2493" t="str">
        <f>"コウホウ　テッセイ"</f>
        <v>コウホウ　テッセイ</v>
      </c>
      <c r="D2493" t="str">
        <f>"哲西町"</f>
        <v>哲西町</v>
      </c>
      <c r="E2493" t="str">
        <f>"テッセイチョウ"</f>
        <v>テッセイチョウ</v>
      </c>
      <c r="F2493" t="str">
        <f>"哲西町（阿哲郡）"</f>
        <v>哲西町（阿哲郡）</v>
      </c>
      <c r="G2493" t="str">
        <f t="shared" si="141"/>
        <v>月刊</v>
      </c>
      <c r="H2493" t="str">
        <f>"2002222301671"</f>
        <v>2002222301671</v>
      </c>
      <c r="I2493" t="str">
        <f>HYPERLINK("#", "https://opac.libnet.pref.okayama.jp/licsxp-opac/WOpacMsgNewListToTifTilDetailAction.do?tilcod=2002222301671")</f>
        <v>https://opac.libnet.pref.okayama.jp/licsxp-opac/WOpacMsgNewListToTifTilDetailAction.do?tilcod=2002222301671</v>
      </c>
    </row>
    <row r="2494" spans="1:9" x14ac:dyDescent="0.4">
      <c r="A2494" t="str">
        <f>"広報てった　"</f>
        <v>広報てった　</v>
      </c>
      <c r="B2494" s="1" t="str">
        <f t="shared" si="137"/>
        <v>広報てった　</v>
      </c>
      <c r="C2494" t="str">
        <f>"コウホウ　テッタ　"</f>
        <v>コウホウ　テッタ　</v>
      </c>
      <c r="D2494" t="str">
        <f>"哲多町"</f>
        <v>哲多町</v>
      </c>
      <c r="E2494" t="str">
        <f>"テッタチョウ"</f>
        <v>テッタチョウ</v>
      </c>
      <c r="F2494" t="str">
        <f>"哲多町（阿哲郡）"</f>
        <v>哲多町（阿哲郡）</v>
      </c>
      <c r="G2494" t="str">
        <f t="shared" si="141"/>
        <v>月刊</v>
      </c>
      <c r="H2494" t="str">
        <f>"2002222301672"</f>
        <v>2002222301672</v>
      </c>
      <c r="I2494" t="str">
        <f>HYPERLINK("#", "https://opac.libnet.pref.okayama.jp/licsxp-opac/WOpacMsgNewListToTifTilDetailAction.do?tilcod=2002222301672")</f>
        <v>https://opac.libnet.pref.okayama.jp/licsxp-opac/WOpacMsgNewListToTifTilDetailAction.do?tilcod=2002222301672</v>
      </c>
    </row>
    <row r="2495" spans="1:9" x14ac:dyDescent="0.4">
      <c r="A2495" t="str">
        <f>"広報とみ"</f>
        <v>広報とみ</v>
      </c>
      <c r="B2495" s="1" t="str">
        <f t="shared" si="137"/>
        <v>広報とみ</v>
      </c>
      <c r="C2495" t="str">
        <f>"コウホウ　トミ"</f>
        <v>コウホウ　トミ</v>
      </c>
      <c r="D2495" t="str">
        <f>"富村"</f>
        <v>富村</v>
      </c>
      <c r="E2495" t="str">
        <f>"トミソン"</f>
        <v>トミソン</v>
      </c>
      <c r="F2495" t="str">
        <f>"富村（苫田郡）"</f>
        <v>富村（苫田郡）</v>
      </c>
      <c r="G2495" t="str">
        <f t="shared" si="141"/>
        <v>月刊</v>
      </c>
      <c r="H2495" t="str">
        <f>"2002222301701"</f>
        <v>2002222301701</v>
      </c>
      <c r="I2495" t="str">
        <f>HYPERLINK("#", "https://opac.libnet.pref.okayama.jp/licsxp-opac/WOpacMsgNewListToTifTilDetailAction.do?tilcod=2002222301701")</f>
        <v>https://opac.libnet.pref.okayama.jp/licsxp-opac/WOpacMsgNewListToTifTilDetailAction.do?tilcod=2002222301701</v>
      </c>
    </row>
    <row r="2496" spans="1:9" x14ac:dyDescent="0.4">
      <c r="A2496" t="str">
        <f>"広報なぎ"</f>
        <v>広報なぎ</v>
      </c>
      <c r="B2496" s="1" t="str">
        <f t="shared" si="137"/>
        <v>広報なぎ</v>
      </c>
      <c r="C2496" t="str">
        <f>"コウホウ　ナギ"</f>
        <v>コウホウ　ナギ</v>
      </c>
      <c r="D2496" t="str">
        <f>"奈義町"</f>
        <v>奈義町</v>
      </c>
      <c r="E2496" t="str">
        <f>"ナギチョウ"</f>
        <v>ナギチョウ</v>
      </c>
      <c r="F2496" t="str">
        <f>"奈義町（勝田郡）"</f>
        <v>奈義町（勝田郡）</v>
      </c>
      <c r="G2496" t="str">
        <f t="shared" si="141"/>
        <v>月刊</v>
      </c>
      <c r="H2496" t="str">
        <f>"2002222301577"</f>
        <v>2002222301577</v>
      </c>
      <c r="I2496" t="str">
        <f>HYPERLINK("#", "https://opac.libnet.pref.okayama.jp/licsxp-opac/WOpacMsgNewListToTifTilDetailAction.do?tilcod=2002222301577")</f>
        <v>https://opac.libnet.pref.okayama.jp/licsxp-opac/WOpacMsgNewListToTifTilDetailAction.do?tilcod=2002222301577</v>
      </c>
    </row>
    <row r="2497" spans="1:9" x14ac:dyDescent="0.4">
      <c r="A2497" t="str">
        <f>"広報なりわ"</f>
        <v>広報なりわ</v>
      </c>
      <c r="B2497" s="1" t="str">
        <f t="shared" si="137"/>
        <v>広報なりわ</v>
      </c>
      <c r="C2497" t="str">
        <f>"コウホウ ナリワ"</f>
        <v>コウホウ ナリワ</v>
      </c>
      <c r="D2497" t="str">
        <f>"成羽町"</f>
        <v>成羽町</v>
      </c>
      <c r="E2497" t="str">
        <f>"ナリワチョウ"</f>
        <v>ナリワチョウ</v>
      </c>
      <c r="F2497" t="str">
        <f>"成羽町(川上郡)"</f>
        <v>成羽町(川上郡)</v>
      </c>
      <c r="G2497" t="str">
        <f t="shared" si="141"/>
        <v>月刊</v>
      </c>
      <c r="H2497" t="str">
        <f>"2002222301676"</f>
        <v>2002222301676</v>
      </c>
      <c r="I2497" t="str">
        <f>HYPERLINK("#", "https://opac.libnet.pref.okayama.jp/licsxp-opac/WOpacMsgNewListToTifTilDetailAction.do?tilcod=2002222301676")</f>
        <v>https://opac.libnet.pref.okayama.jp/licsxp-opac/WOpacMsgNewListToTifTilDetailAction.do?tilcod=2002222301676</v>
      </c>
    </row>
    <row r="2498" spans="1:9" x14ac:dyDescent="0.4">
      <c r="A2498" t="str">
        <f>"広報にしあわくら"</f>
        <v>広報にしあわくら</v>
      </c>
      <c r="B2498" s="1" t="str">
        <f t="shared" si="137"/>
        <v>広報にしあわくら</v>
      </c>
      <c r="C2498" t="str">
        <f>"コウホウ　ニシアワクラ"</f>
        <v>コウホウ　ニシアワクラ</v>
      </c>
      <c r="D2498" t="str">
        <f>"西粟倉村"</f>
        <v>西粟倉村</v>
      </c>
      <c r="E2498" t="str">
        <f>"ニシアワクラソン"</f>
        <v>ニシアワクラソン</v>
      </c>
      <c r="F2498" t="str">
        <f>"西粟倉村（英田郡）"</f>
        <v>西粟倉村（英田郡）</v>
      </c>
      <c r="G2498" t="str">
        <f t="shared" si="141"/>
        <v>月刊</v>
      </c>
      <c r="H2498" t="str">
        <f>"2002222301578"</f>
        <v>2002222301578</v>
      </c>
      <c r="I2498" t="str">
        <f>HYPERLINK("#", "https://opac.libnet.pref.okayama.jp/licsxp-opac/WOpacMsgNewListToTifTilDetailAction.do?tilcod=2002222301578")</f>
        <v>https://opac.libnet.pref.okayama.jp/licsxp-opac/WOpacMsgNewListToTifTilDetailAction.do?tilcod=2002222301578</v>
      </c>
    </row>
    <row r="2499" spans="1:9" x14ac:dyDescent="0.4">
      <c r="A2499" t="str">
        <f>"広報にほんばら"</f>
        <v>広報にほんばら</v>
      </c>
      <c r="B2499" s="1" t="str">
        <f t="shared" si="137"/>
        <v>広報にほんばら</v>
      </c>
      <c r="C2499" t="str">
        <f>"コウホウ　ニホンバラ"</f>
        <v>コウホウ　ニホンバラ</v>
      </c>
      <c r="D2499" t="str">
        <f>"津山防衛協会"</f>
        <v>津山防衛協会</v>
      </c>
      <c r="E2499" t="str">
        <f>"ツヤマボウエイキョウカイ"</f>
        <v>ツヤマボウエイキョウカイ</v>
      </c>
      <c r="F2499" t="str">
        <f>"津山"</f>
        <v>津山</v>
      </c>
      <c r="G2499" t="str">
        <f>"頻度不明"</f>
        <v>頻度不明</v>
      </c>
      <c r="H2499" t="str">
        <f>"2002222327507"</f>
        <v>2002222327507</v>
      </c>
      <c r="I2499" t="str">
        <f>HYPERLINK("#", "https://opac.libnet.pref.okayama.jp/licsxp-opac/WOpacMsgNewListToTifTilDetailAction.do?tilcod=2002222327507")</f>
        <v>https://opac.libnet.pref.okayama.jp/licsxp-opac/WOpacMsgNewListToTifTilDetailAction.do?tilcod=2002222327507</v>
      </c>
    </row>
    <row r="2500" spans="1:9" x14ac:dyDescent="0.4">
      <c r="A2500" t="str">
        <f>"広報はやしま"</f>
        <v>広報はやしま</v>
      </c>
      <c r="B2500" s="1" t="str">
        <f t="shared" ref="B2500:B2563" si="142">HYPERLINK("#", A2500)</f>
        <v>広報はやしま</v>
      </c>
      <c r="C2500" t="str">
        <f>"コウホウ　ハヤシマ"</f>
        <v>コウホウ　ハヤシマ</v>
      </c>
      <c r="D2500" t="str">
        <f>"早島町"</f>
        <v>早島町</v>
      </c>
      <c r="E2500" t="str">
        <f>"ハヤシマチョウ"</f>
        <v>ハヤシマチョウ</v>
      </c>
      <c r="F2500" t="str">
        <f>"早島町（都窪郡）"</f>
        <v>早島町（都窪郡）</v>
      </c>
      <c r="G2500" t="str">
        <f t="shared" ref="G2500:G2505" si="143">"月刊"</f>
        <v>月刊</v>
      </c>
      <c r="H2500" t="str">
        <f>"2002222301579"</f>
        <v>2002222301579</v>
      </c>
      <c r="I2500" t="str">
        <f>HYPERLINK("#", "https://opac.libnet.pref.okayama.jp/licsxp-opac/WOpacMsgNewListToTifTilDetailAction.do?tilcod=2002222301579")</f>
        <v>https://opac.libnet.pref.okayama.jp/licsxp-opac/WOpacMsgNewListToTifTilDetailAction.do?tilcod=2002222301579</v>
      </c>
    </row>
    <row r="2501" spans="1:9" x14ac:dyDescent="0.4">
      <c r="A2501" t="str">
        <f>"広報ひがしあわくら"</f>
        <v>広報ひがしあわくら</v>
      </c>
      <c r="B2501" s="1" t="str">
        <f t="shared" si="142"/>
        <v>広報ひがしあわくら</v>
      </c>
      <c r="C2501" t="str">
        <f>"コウホウ　ヒガシアワクラ"</f>
        <v>コウホウ　ヒガシアワクラ</v>
      </c>
      <c r="D2501" t="str">
        <f>"東粟倉村"</f>
        <v>東粟倉村</v>
      </c>
      <c r="E2501" t="str">
        <f>"ヒガシアワクラソン"</f>
        <v>ヒガシアワクラソン</v>
      </c>
      <c r="F2501" t="str">
        <f>"東粟倉村（英田郡）"</f>
        <v>東粟倉村（英田郡）</v>
      </c>
      <c r="G2501" t="str">
        <f t="shared" si="143"/>
        <v>月刊</v>
      </c>
      <c r="H2501" t="str">
        <f>"2002222301712"</f>
        <v>2002222301712</v>
      </c>
      <c r="I2501" t="str">
        <f>HYPERLINK("#", "https://opac.libnet.pref.okayama.jp/licsxp-opac/WOpacMsgNewListToTifTilDetailAction.do?tilcod=2002222301712")</f>
        <v>https://opac.libnet.pref.okayama.jp/licsxp-opac/WOpacMsgNewListToTifTilDetailAction.do?tilcod=2002222301712</v>
      </c>
    </row>
    <row r="2502" spans="1:9" x14ac:dyDescent="0.4">
      <c r="A2502" t="str">
        <f>"広報美星"</f>
        <v>広報美星</v>
      </c>
      <c r="B2502" s="1" t="str">
        <f t="shared" si="142"/>
        <v>広報美星</v>
      </c>
      <c r="C2502" t="str">
        <f>"コウホウ　ビセイ"</f>
        <v>コウホウ　ビセイ</v>
      </c>
      <c r="D2502" t="str">
        <f>"美星町"</f>
        <v>美星町</v>
      </c>
      <c r="E2502" t="str">
        <f>"ビセイチョウ"</f>
        <v>ビセイチョウ</v>
      </c>
      <c r="F2502" t="str">
        <f>"美星町（小田郡）"</f>
        <v>美星町（小田郡）</v>
      </c>
      <c r="G2502" t="str">
        <f t="shared" si="143"/>
        <v>月刊</v>
      </c>
      <c r="H2502" t="str">
        <f>"2002222301629"</f>
        <v>2002222301629</v>
      </c>
      <c r="I2502" t="str">
        <f>HYPERLINK("#", "https://opac.libnet.pref.okayama.jp/licsxp-opac/WOpacMsgNewListToTifTilDetailAction.do?tilcod=2002222301629")</f>
        <v>https://opac.libnet.pref.okayama.jp/licsxp-opac/WOpacMsgNewListToTifTilDetailAction.do?tilcod=2002222301629</v>
      </c>
    </row>
    <row r="2503" spans="1:9" x14ac:dyDescent="0.4">
      <c r="A2503" t="str">
        <f>"広報びぜん"</f>
        <v>広報びぜん</v>
      </c>
      <c r="B2503" s="1" t="str">
        <f t="shared" si="142"/>
        <v>広報びぜん</v>
      </c>
      <c r="C2503" t="str">
        <f>"コウホウ　ビゼン"</f>
        <v>コウホウ　ビゼン</v>
      </c>
      <c r="D2503" t="str">
        <f>"備前市"</f>
        <v>備前市</v>
      </c>
      <c r="E2503" t="str">
        <f>"ビゼンシ"</f>
        <v>ビゼンシ</v>
      </c>
      <c r="F2503" t="str">
        <f>"備前"</f>
        <v>備前</v>
      </c>
      <c r="G2503" t="str">
        <f t="shared" si="143"/>
        <v>月刊</v>
      </c>
      <c r="H2503" t="str">
        <f>"2002222301567"</f>
        <v>2002222301567</v>
      </c>
      <c r="I2503" t="str">
        <f>HYPERLINK("#", "https://opac.libnet.pref.okayama.jp/licsxp-opac/WOpacMsgNewListToTifTilDetailAction.do?tilcod=2002222301567")</f>
        <v>https://opac.libnet.pref.okayama.jp/licsxp-opac/WOpacMsgNewListToTifTilDetailAction.do?tilcod=2002222301567</v>
      </c>
    </row>
    <row r="2504" spans="1:9" x14ac:dyDescent="0.4">
      <c r="A2504" t="str">
        <f>"広報びっちゅう"</f>
        <v>広報びっちゅう</v>
      </c>
      <c r="B2504" s="1" t="str">
        <f t="shared" si="142"/>
        <v>広報びっちゅう</v>
      </c>
      <c r="C2504" t="str">
        <f>"コウホウ　ビッチュウ"</f>
        <v>コウホウ　ビッチュウ</v>
      </c>
      <c r="D2504" t="str">
        <f>"備中町"</f>
        <v>備中町</v>
      </c>
      <c r="E2504" t="str">
        <f>"ビッチュウチョウ"</f>
        <v>ビッチュウチョウ</v>
      </c>
      <c r="F2504" t="str">
        <f>"備中町（川上郡）"</f>
        <v>備中町（川上郡）</v>
      </c>
      <c r="G2504" t="str">
        <f t="shared" si="143"/>
        <v>月刊</v>
      </c>
      <c r="H2504" t="str">
        <f>"2002222301673"</f>
        <v>2002222301673</v>
      </c>
      <c r="I2504" t="str">
        <f>HYPERLINK("#", "https://opac.libnet.pref.okayama.jp/licsxp-opac/WOpacMsgNewListToTifTilDetailAction.do?tilcod=2002222301673")</f>
        <v>https://opac.libnet.pref.okayama.jp/licsxp-opac/WOpacMsgNewListToTifTilDetailAction.do?tilcod=2002222301673</v>
      </c>
    </row>
    <row r="2505" spans="1:9" x14ac:dyDescent="0.4">
      <c r="A2505" t="str">
        <f>"広報ひなせ"</f>
        <v>広報ひなせ</v>
      </c>
      <c r="B2505" s="1" t="str">
        <f t="shared" si="142"/>
        <v>広報ひなせ</v>
      </c>
      <c r="C2505" t="str">
        <f>"コウホウ ヒナセ"</f>
        <v>コウホウ ヒナセ</v>
      </c>
      <c r="D2505" t="str">
        <f>"日生町"</f>
        <v>日生町</v>
      </c>
      <c r="E2505" t="str">
        <f>"ヒナセチョウ"</f>
        <v>ヒナセチョウ</v>
      </c>
      <c r="F2505" t="str">
        <f>"日生町(和気郡)"</f>
        <v>日生町(和気郡)</v>
      </c>
      <c r="G2505" t="str">
        <f t="shared" si="143"/>
        <v>月刊</v>
      </c>
      <c r="H2505" t="str">
        <f>"2002222301675"</f>
        <v>2002222301675</v>
      </c>
      <c r="I2505" t="str">
        <f>HYPERLINK("#", "https://opac.libnet.pref.okayama.jp/licsxp-opac/WOpacMsgNewListToTifTilDetailAction.do?tilcod=2002222301675")</f>
        <v>https://opac.libnet.pref.okayama.jp/licsxp-opac/WOpacMsgNewListToTifTilDetailAction.do?tilcod=2002222301675</v>
      </c>
    </row>
    <row r="2506" spans="1:9" x14ac:dyDescent="0.4">
      <c r="A2506" t="str">
        <f>"広報ふじた"</f>
        <v>広報ふじた</v>
      </c>
      <c r="B2506" s="1" t="str">
        <f t="shared" si="142"/>
        <v>広報ふじた</v>
      </c>
      <c r="C2506" t="str">
        <f>"コウホウ　フジタ"</f>
        <v>コウホウ　フジタ</v>
      </c>
      <c r="D2506" t="str">
        <f>"藤田村"</f>
        <v>藤田村</v>
      </c>
      <c r="E2506" t="str">
        <f>"フジタソン"</f>
        <v>フジタソン</v>
      </c>
      <c r="F2506" t="str">
        <f>"藤田村（児島郡）"</f>
        <v>藤田村（児島郡）</v>
      </c>
      <c r="G2506" t="str">
        <f>"頻度不明"</f>
        <v>頻度不明</v>
      </c>
      <c r="H2506" t="str">
        <f>"2002222301715"</f>
        <v>2002222301715</v>
      </c>
      <c r="I2506" t="str">
        <f>HYPERLINK("#", "https://opac.libnet.pref.okayama.jp/licsxp-opac/WOpacMsgNewListToTifTilDetailAction.do?tilcod=2002222301715")</f>
        <v>https://opac.libnet.pref.okayama.jp/licsxp-opac/WOpacMsgNewListToTifTilDetailAction.do?tilcod=2002222301715</v>
      </c>
    </row>
    <row r="2507" spans="1:9" x14ac:dyDescent="0.4">
      <c r="A2507" t="str">
        <f>"広報ふなお"</f>
        <v>広報ふなお</v>
      </c>
      <c r="B2507" s="1" t="str">
        <f t="shared" si="142"/>
        <v>広報ふなお</v>
      </c>
      <c r="C2507" t="str">
        <f>"コウホウ フナオ"</f>
        <v>コウホウ フナオ</v>
      </c>
      <c r="D2507" t="str">
        <f>"船穂町"</f>
        <v>船穂町</v>
      </c>
      <c r="E2507" t="str">
        <f>"フナオチョウ"</f>
        <v>フナオチョウ</v>
      </c>
      <c r="F2507" t="str">
        <f>"船穂町(浅口郡)"</f>
        <v>船穂町(浅口郡)</v>
      </c>
      <c r="G2507" t="str">
        <f t="shared" ref="G2507:G2515" si="144">"月刊"</f>
        <v>月刊</v>
      </c>
      <c r="H2507" t="str">
        <f>"2002222301677"</f>
        <v>2002222301677</v>
      </c>
      <c r="I2507" t="str">
        <f>HYPERLINK("#", "https://opac.libnet.pref.okayama.jp/licsxp-opac/WOpacMsgNewListToTifTilDetailAction.do?tilcod=2002222301677")</f>
        <v>https://opac.libnet.pref.okayama.jp/licsxp-opac/WOpacMsgNewListToTifTilDetailAction.do?tilcod=2002222301677</v>
      </c>
    </row>
    <row r="2508" spans="1:9" x14ac:dyDescent="0.4">
      <c r="A2508" t="str">
        <f>"広報ほくぼう"</f>
        <v>広報ほくぼう</v>
      </c>
      <c r="B2508" s="1" t="str">
        <f t="shared" si="142"/>
        <v>広報ほくぼう</v>
      </c>
      <c r="C2508" t="str">
        <f>"コウホウ ホクボウ"</f>
        <v>コウホウ ホクボウ</v>
      </c>
      <c r="D2508" t="str">
        <f>"北房町"</f>
        <v>北房町</v>
      </c>
      <c r="E2508" t="str">
        <f>"ホクボウチョウ"</f>
        <v>ホクボウチョウ</v>
      </c>
      <c r="F2508" t="str">
        <f>"北房町(上房郡)"</f>
        <v>北房町(上房郡)</v>
      </c>
      <c r="G2508" t="str">
        <f t="shared" si="144"/>
        <v>月刊</v>
      </c>
      <c r="H2508" t="str">
        <f>"2002222301679"</f>
        <v>2002222301679</v>
      </c>
      <c r="I2508" t="str">
        <f>HYPERLINK("#", "https://opac.libnet.pref.okayama.jp/licsxp-opac/WOpacMsgNewListToTifTilDetailAction.do?tilcod=2002222301679")</f>
        <v>https://opac.libnet.pref.okayama.jp/licsxp-opac/WOpacMsgNewListToTifTilDetailAction.do?tilcod=2002222301679</v>
      </c>
    </row>
    <row r="2509" spans="1:9" x14ac:dyDescent="0.4">
      <c r="A2509" t="str">
        <f>"広報まにわ"</f>
        <v>広報まにわ</v>
      </c>
      <c r="B2509" s="1" t="str">
        <f t="shared" si="142"/>
        <v>広報まにわ</v>
      </c>
      <c r="C2509" t="str">
        <f>"コウホウ　マニワ"</f>
        <v>コウホウ　マニワ</v>
      </c>
      <c r="D2509" t="str">
        <f>"真庭市"</f>
        <v>真庭市</v>
      </c>
      <c r="E2509" t="str">
        <f>"マニワシ"</f>
        <v>マニワシ</v>
      </c>
      <c r="F2509" t="str">
        <f>"真庭"</f>
        <v>真庭</v>
      </c>
      <c r="G2509" t="str">
        <f t="shared" si="144"/>
        <v>月刊</v>
      </c>
      <c r="H2509" t="str">
        <f>"2002222301561"</f>
        <v>2002222301561</v>
      </c>
      <c r="I2509" t="str">
        <f>HYPERLINK("#", "https://opac.libnet.pref.okayama.jp/licsxp-opac/WOpacMsgNewListToTifTilDetailAction.do?tilcod=2002222301561")</f>
        <v>https://opac.libnet.pref.okayama.jp/licsxp-opac/WOpacMsgNewListToTifTilDetailAction.do?tilcod=2002222301561</v>
      </c>
    </row>
    <row r="2510" spans="1:9" x14ac:dyDescent="0.4">
      <c r="A2510" t="str">
        <f>"広報まび"</f>
        <v>広報まび</v>
      </c>
      <c r="B2510" s="1" t="str">
        <f t="shared" si="142"/>
        <v>広報まび</v>
      </c>
      <c r="C2510" t="str">
        <f>"コウホウ　マビ"</f>
        <v>コウホウ　マビ</v>
      </c>
      <c r="D2510" t="str">
        <f>"真備町"</f>
        <v>真備町</v>
      </c>
      <c r="E2510" t="str">
        <f>"マビチョウ"</f>
        <v>マビチョウ</v>
      </c>
      <c r="F2510" t="str">
        <f>"真備町（吉備郡）"</f>
        <v>真備町（吉備郡）</v>
      </c>
      <c r="G2510" t="str">
        <f t="shared" si="144"/>
        <v>月刊</v>
      </c>
      <c r="H2510" t="str">
        <f>"2002222301693"</f>
        <v>2002222301693</v>
      </c>
      <c r="I2510" t="str">
        <f>HYPERLINK("#", "https://opac.libnet.pref.okayama.jp/licsxp-opac/WOpacMsgNewListToTifTilDetailAction.do?tilcod=2002222301693")</f>
        <v>https://opac.libnet.pref.okayama.jp/licsxp-opac/WOpacMsgNewListToTifTilDetailAction.do?tilcod=2002222301693</v>
      </c>
    </row>
    <row r="2511" spans="1:9" x14ac:dyDescent="0.4">
      <c r="A2511" t="str">
        <f>"広報美甘"</f>
        <v>広報美甘</v>
      </c>
      <c r="B2511" s="1" t="str">
        <f t="shared" si="142"/>
        <v>広報美甘</v>
      </c>
      <c r="C2511" t="str">
        <f>"コウホウ　ミカモ"</f>
        <v>コウホウ　ミカモ</v>
      </c>
      <c r="D2511" t="str">
        <f>"美甘村"</f>
        <v>美甘村</v>
      </c>
      <c r="E2511" t="str">
        <f>"ミカモソン"</f>
        <v>ミカモソン</v>
      </c>
      <c r="F2511" t="str">
        <f>"美甘村（真庭郡）"</f>
        <v>美甘村（真庭郡）</v>
      </c>
      <c r="G2511" t="str">
        <f t="shared" si="144"/>
        <v>月刊</v>
      </c>
      <c r="H2511" t="str">
        <f>"2002222301718"</f>
        <v>2002222301718</v>
      </c>
      <c r="I2511" t="str">
        <f>HYPERLINK("#", "https://opac.libnet.pref.okayama.jp/licsxp-opac/WOpacMsgNewListToTifTilDetailAction.do?tilcod=2002222301718")</f>
        <v>https://opac.libnet.pref.okayama.jp/licsxp-opac/WOpacMsgNewListToTifTilDetailAction.do?tilcod=2002222301718</v>
      </c>
    </row>
    <row r="2512" spans="1:9" x14ac:dyDescent="0.4">
      <c r="A2512" t="str">
        <f>"広報みさき"</f>
        <v>広報みさき</v>
      </c>
      <c r="B2512" s="1" t="str">
        <f t="shared" si="142"/>
        <v>広報みさき</v>
      </c>
      <c r="C2512" t="str">
        <f>"コウホウ　ミサキ"</f>
        <v>コウホウ　ミサキ</v>
      </c>
      <c r="D2512" t="str">
        <f>"美咲町"</f>
        <v>美咲町</v>
      </c>
      <c r="E2512" t="str">
        <f>"ミサキチョウ"</f>
        <v>ミサキチョウ</v>
      </c>
      <c r="F2512" t="str">
        <f>"美咲町（久米郡）"</f>
        <v>美咲町（久米郡）</v>
      </c>
      <c r="G2512" t="str">
        <f t="shared" si="144"/>
        <v>月刊</v>
      </c>
      <c r="H2512" t="str">
        <f>"2002222301564"</f>
        <v>2002222301564</v>
      </c>
      <c r="I2512" t="str">
        <f>HYPERLINK("#", "https://opac.libnet.pref.okayama.jp/licsxp-opac/WOpacMsgNewListToTifTilDetailAction.do?tilcod=2002222301564")</f>
        <v>https://opac.libnet.pref.okayama.jp/licsxp-opac/WOpacMsgNewListToTifTilDetailAction.do?tilcod=2002222301564</v>
      </c>
    </row>
    <row r="2513" spans="1:9" x14ac:dyDescent="0.4">
      <c r="A2513" t="str">
        <f>"広報みつ"</f>
        <v>広報みつ</v>
      </c>
      <c r="B2513" s="1" t="str">
        <f t="shared" si="142"/>
        <v>広報みつ</v>
      </c>
      <c r="C2513" t="str">
        <f>"コウホウ　ミツ"</f>
        <v>コウホウ　ミツ</v>
      </c>
      <c r="D2513" t="str">
        <f>"御津町"</f>
        <v>御津町</v>
      </c>
      <c r="E2513" t="str">
        <f>"ミツチョウ"</f>
        <v>ミツチョウ</v>
      </c>
      <c r="F2513" t="str">
        <f>"御津町（御津郡）"</f>
        <v>御津町（御津郡）</v>
      </c>
      <c r="G2513" t="str">
        <f t="shared" si="144"/>
        <v>月刊</v>
      </c>
      <c r="H2513" t="str">
        <f>"2002222301597"</f>
        <v>2002222301597</v>
      </c>
      <c r="I2513" t="str">
        <f>HYPERLINK("#", "https://opac.libnet.pref.okayama.jp/licsxp-opac/WOpacMsgNewListToTifTilDetailAction.do?tilcod=2002222301597")</f>
        <v>https://opac.libnet.pref.okayama.jp/licsxp-opac/WOpacMsgNewListToTifTilDetailAction.do?tilcod=2002222301597</v>
      </c>
    </row>
    <row r="2514" spans="1:9" x14ac:dyDescent="0.4">
      <c r="A2514" t="str">
        <f>"広報みまさか"</f>
        <v>広報みまさか</v>
      </c>
      <c r="B2514" s="1" t="str">
        <f t="shared" si="142"/>
        <v>広報みまさか</v>
      </c>
      <c r="C2514" t="str">
        <f>"コウホウ　ミマサカ"</f>
        <v>コウホウ　ミマサカ</v>
      </c>
      <c r="D2514" t="str">
        <f>"美作町"</f>
        <v>美作町</v>
      </c>
      <c r="E2514" t="str">
        <f>"ミマサカチョウ"</f>
        <v>ミマサカチョウ</v>
      </c>
      <c r="F2514" t="str">
        <f>"美作町（英田郡）"</f>
        <v>美作町（英田郡）</v>
      </c>
      <c r="G2514" t="str">
        <f t="shared" si="144"/>
        <v>月刊</v>
      </c>
      <c r="H2514" t="str">
        <f>"2002222301694"</f>
        <v>2002222301694</v>
      </c>
      <c r="I2514" t="str">
        <f>HYPERLINK("#", "https://opac.libnet.pref.okayama.jp/licsxp-opac/WOpacMsgNewListToTifTilDetailAction.do?tilcod=2002222301694")</f>
        <v>https://opac.libnet.pref.okayama.jp/licsxp-opac/WOpacMsgNewListToTifTilDetailAction.do?tilcod=2002222301694</v>
      </c>
    </row>
    <row r="2515" spans="1:9" x14ac:dyDescent="0.4">
      <c r="A2515" t="str">
        <f>"広報みまさか"</f>
        <v>広報みまさか</v>
      </c>
      <c r="B2515" s="1" t="str">
        <f t="shared" si="142"/>
        <v>広報みまさか</v>
      </c>
      <c r="C2515" t="str">
        <f>"コウホウ ミマサカ"</f>
        <v>コウホウ ミマサカ</v>
      </c>
      <c r="D2515" t="str">
        <f>"美作市"</f>
        <v>美作市</v>
      </c>
      <c r="E2515" t="str">
        <f>"ミマサカシ"</f>
        <v>ミマサカシ</v>
      </c>
      <c r="F2515" t="str">
        <f>"美作"</f>
        <v>美作</v>
      </c>
      <c r="G2515" t="str">
        <f t="shared" si="144"/>
        <v>月刊</v>
      </c>
      <c r="H2515" t="str">
        <f>"2002222301565"</f>
        <v>2002222301565</v>
      </c>
      <c r="I2515" t="str">
        <f>HYPERLINK("#", "https://opac.libnet.pref.okayama.jp/licsxp-opac/WOpacMsgNewListToTifTilDetailAction.do?tilcod=2002222301565")</f>
        <v>https://opac.libnet.pref.okayama.jp/licsxp-opac/WOpacMsgNewListToTifTilDetailAction.do?tilcod=2002222301565</v>
      </c>
    </row>
    <row r="2516" spans="1:9" x14ac:dyDescent="0.4">
      <c r="A2516" t="str">
        <f>"広報美作クリーンセンターだより"</f>
        <v>広報美作クリーンセンターだより</v>
      </c>
      <c r="B2516" s="1" t="str">
        <f t="shared" si="142"/>
        <v>広報美作クリーンセンターだより</v>
      </c>
      <c r="C2516" t="str">
        <f>"コウホウ ミマサカ クリーンセンター ダヨリ"</f>
        <v>コウホウ ミマサカ クリーンセンター ダヨリ</v>
      </c>
      <c r="D2516" t="str">
        <f>"美作市市民部クリーンセンター建設室"</f>
        <v>美作市市民部クリーンセンター建設室</v>
      </c>
      <c r="E2516" t="str">
        <f>"ミマサカシ シミンブ クリーンセンター ケンセツシツ"</f>
        <v>ミマサカシ シミンブ クリーンセンター ケンセツシツ</v>
      </c>
      <c r="F2516" t="str">
        <f>""</f>
        <v/>
      </c>
      <c r="G2516" t="str">
        <f>"不定期刊"</f>
        <v>不定期刊</v>
      </c>
      <c r="H2516" t="str">
        <f>"2002222315026"</f>
        <v>2002222315026</v>
      </c>
      <c r="I2516" t="str">
        <f>HYPERLINK("#", "https://opac.libnet.pref.okayama.jp/licsxp-opac/WOpacMsgNewListToTifTilDetailAction.do?tilcod=2002222315026")</f>
        <v>https://opac.libnet.pref.okayama.jp/licsxp-opac/WOpacMsgNewListToTifTilDetailAction.do?tilcod=2002222315026</v>
      </c>
    </row>
    <row r="2517" spans="1:9" x14ac:dyDescent="0.4">
      <c r="A2517" t="str">
        <f>"広報みまさか 縮刷版"</f>
        <v>広報みまさか 縮刷版</v>
      </c>
      <c r="B2517" s="1" t="str">
        <f t="shared" si="142"/>
        <v>広報みまさか 縮刷版</v>
      </c>
      <c r="C2517" t="str">
        <f>"コウホウ ミマサカ シュクサツバン"</f>
        <v>コウホウ ミマサカ シュクサツバン</v>
      </c>
      <c r="D2517" t="str">
        <f>"美作町"</f>
        <v>美作町</v>
      </c>
      <c r="E2517" t="str">
        <f>"ミマサカチョウ"</f>
        <v>ミマサカチョウ</v>
      </c>
      <c r="F2517" t="str">
        <f>"美作町(英田郡)"</f>
        <v>美作町(英田郡)</v>
      </c>
      <c r="G2517" t="str">
        <f>"頻度不明"</f>
        <v>頻度不明</v>
      </c>
      <c r="H2517" t="str">
        <f>"2002222332388"</f>
        <v>2002222332388</v>
      </c>
      <c r="I2517" t="str">
        <f>HYPERLINK("#", "https://opac.libnet.pref.okayama.jp/licsxp-opac/WOpacMsgNewListToTifTilDetailAction.do?tilcod=2002222332388")</f>
        <v>https://opac.libnet.pref.okayama.jp/licsxp-opac/WOpacMsgNewListToTifTilDetailAction.do?tilcod=2002222332388</v>
      </c>
    </row>
    <row r="2518" spans="1:9" x14ac:dyDescent="0.4">
      <c r="A2518" t="str">
        <f>"〔広報〕メルヘンの里新庄"</f>
        <v>〔広報〕メルヘンの里新庄</v>
      </c>
      <c r="B2518" s="1" t="str">
        <f t="shared" si="142"/>
        <v>〔広報〕メルヘンの里新庄</v>
      </c>
      <c r="C2518" t="str">
        <f>"コウホウ　メルヘン　ノ　サト　シンジョウ"</f>
        <v>コウホウ　メルヘン　ノ　サト　シンジョウ</v>
      </c>
      <c r="D2518" t="str">
        <f>"新庄村"</f>
        <v>新庄村</v>
      </c>
      <c r="E2518" t="str">
        <f>"シンジョウソン"</f>
        <v>シンジョウソン</v>
      </c>
      <c r="F2518" t="str">
        <f>"新庄村（真庭郡）"</f>
        <v>新庄村（真庭郡）</v>
      </c>
      <c r="G2518" t="str">
        <f>"月刊"</f>
        <v>月刊</v>
      </c>
      <c r="H2518" t="str">
        <f>"2002222301580"</f>
        <v>2002222301580</v>
      </c>
      <c r="I2518" t="str">
        <f>HYPERLINK("#", "https://opac.libnet.pref.okayama.jp/licsxp-opac/WOpacMsgNewListToTifTilDetailAction.do?tilcod=2002222301580")</f>
        <v>https://opac.libnet.pref.okayama.jp/licsxp-opac/WOpacMsgNewListToTifTilDetailAction.do?tilcod=2002222301580</v>
      </c>
    </row>
    <row r="2519" spans="1:9" x14ac:dyDescent="0.4">
      <c r="A2519" t="str">
        <f>"広報やかげ"</f>
        <v>広報やかげ</v>
      </c>
      <c r="B2519" s="1" t="str">
        <f t="shared" si="142"/>
        <v>広報やかげ</v>
      </c>
      <c r="C2519" t="str">
        <f>"コウホウ　ヤカゲ"</f>
        <v>コウホウ　ヤカゲ</v>
      </c>
      <c r="D2519" t="str">
        <f>"矢掛町"</f>
        <v>矢掛町</v>
      </c>
      <c r="E2519" t="str">
        <f>"ヤカゲチョウ"</f>
        <v>ヤカゲチョウ</v>
      </c>
      <c r="F2519" t="str">
        <f>"矢掛町（小田郡）"</f>
        <v>矢掛町（小田郡）</v>
      </c>
      <c r="G2519" t="str">
        <f>"月刊"</f>
        <v>月刊</v>
      </c>
      <c r="H2519" t="str">
        <f>"2002222301581"</f>
        <v>2002222301581</v>
      </c>
      <c r="I2519" t="str">
        <f>HYPERLINK("#", "https://opac.libnet.pref.okayama.jp/licsxp-opac/WOpacMsgNewListToTifTilDetailAction.do?tilcod=2002222301581")</f>
        <v>https://opac.libnet.pref.okayama.jp/licsxp-opac/WOpacMsgNewListToTifTilDetailAction.do?tilcod=2002222301581</v>
      </c>
    </row>
    <row r="2520" spans="1:9" x14ac:dyDescent="0.4">
      <c r="A2520" t="str">
        <f>"広報やつか"</f>
        <v>広報やつか</v>
      </c>
      <c r="B2520" s="1" t="str">
        <f t="shared" si="142"/>
        <v>広報やつか</v>
      </c>
      <c r="C2520" t="str">
        <f>"コウホウ　ヤツカ"</f>
        <v>コウホウ　ヤツカ</v>
      </c>
      <c r="D2520" t="str">
        <f>"八束村"</f>
        <v>八束村</v>
      </c>
      <c r="E2520" t="str">
        <f>"ヤツカソン"</f>
        <v>ヤツカソン</v>
      </c>
      <c r="F2520" t="str">
        <f>"八束村（真庭郡）"</f>
        <v>八束村（真庭郡）</v>
      </c>
      <c r="G2520" t="str">
        <f>"月刊"</f>
        <v>月刊</v>
      </c>
      <c r="H2520" t="str">
        <f>"2002222301719"</f>
        <v>2002222301719</v>
      </c>
      <c r="I2520" t="str">
        <f>HYPERLINK("#", "https://opac.libnet.pref.okayama.jp/licsxp-opac/WOpacMsgNewListToTifTilDetailAction.do?tilcod=2002222301719")</f>
        <v>https://opac.libnet.pref.okayama.jp/licsxp-opac/WOpacMsgNewListToTifTilDetailAction.do?tilcod=2002222301719</v>
      </c>
    </row>
    <row r="2521" spans="1:9" x14ac:dyDescent="0.4">
      <c r="A2521" t="str">
        <f>"広報やなはら"</f>
        <v>広報やなはら</v>
      </c>
      <c r="B2521" s="1" t="str">
        <f t="shared" si="142"/>
        <v>広報やなはら</v>
      </c>
      <c r="C2521" t="str">
        <f>"コウホウ　ヤナハラ"</f>
        <v>コウホウ　ヤナハラ</v>
      </c>
      <c r="D2521" t="str">
        <f>"柵原町"</f>
        <v>柵原町</v>
      </c>
      <c r="E2521" t="str">
        <f>"ヤナハラチョウ"</f>
        <v>ヤナハラチョウ</v>
      </c>
      <c r="F2521" t="str">
        <f>"柵原町（久米郡）"</f>
        <v>柵原町（久米郡）</v>
      </c>
      <c r="G2521" t="str">
        <f>"月刊"</f>
        <v>月刊</v>
      </c>
      <c r="H2521" t="str">
        <f>"2002222301695"</f>
        <v>2002222301695</v>
      </c>
      <c r="I2521" t="str">
        <f>HYPERLINK("#", "https://opac.libnet.pref.okayama.jp/licsxp-opac/WOpacMsgNewListToTifTilDetailAction.do?tilcod=2002222301695")</f>
        <v>https://opac.libnet.pref.okayama.jp/licsxp-opac/WOpacMsgNewListToTifTilDetailAction.do?tilcod=2002222301695</v>
      </c>
    </row>
    <row r="2522" spans="1:9" x14ac:dyDescent="0.4">
      <c r="A2522" t="str">
        <f>"広報やまて"</f>
        <v>広報やまて</v>
      </c>
      <c r="B2522" s="1" t="str">
        <f t="shared" si="142"/>
        <v>広報やまて</v>
      </c>
      <c r="C2522" t="str">
        <f>"コウホウ　ヤマテ"</f>
        <v>コウホウ　ヤマテ</v>
      </c>
      <c r="D2522" t="str">
        <f>"山手村"</f>
        <v>山手村</v>
      </c>
      <c r="E2522" t="str">
        <f>"ヤマテソン"</f>
        <v>ヤマテソン</v>
      </c>
      <c r="F2522" t="str">
        <f>"山手村（都窪郡）"</f>
        <v>山手村（都窪郡）</v>
      </c>
      <c r="G2522" t="str">
        <f>"季刊"</f>
        <v>季刊</v>
      </c>
      <c r="H2522" t="str">
        <f>"2002222301720"</f>
        <v>2002222301720</v>
      </c>
      <c r="I2522" t="str">
        <f>HYPERLINK("#", "https://opac.libnet.pref.okayama.jp/licsxp-opac/WOpacMsgNewListToTifTilDetailAction.do?tilcod=2002222301720")</f>
        <v>https://opac.libnet.pref.okayama.jp/licsxp-opac/WOpacMsgNewListToTifTilDetailAction.do?tilcod=2002222301720</v>
      </c>
    </row>
    <row r="2523" spans="1:9" x14ac:dyDescent="0.4">
      <c r="A2523" t="str">
        <f>"広報ゆばら"</f>
        <v>広報ゆばら</v>
      </c>
      <c r="B2523" s="1" t="str">
        <f t="shared" si="142"/>
        <v>広報ゆばら</v>
      </c>
      <c r="C2523" t="str">
        <f>"コウホウ ユバラ"</f>
        <v>コウホウ ユバラ</v>
      </c>
      <c r="D2523" t="str">
        <f>"湯原町"</f>
        <v>湯原町</v>
      </c>
      <c r="E2523" t="str">
        <f>"ユバラチョウ"</f>
        <v>ユバラチョウ</v>
      </c>
      <c r="F2523" t="str">
        <f>"湯原町（真庭郡）"</f>
        <v>湯原町（真庭郡）</v>
      </c>
      <c r="G2523" t="str">
        <f>"月刊"</f>
        <v>月刊</v>
      </c>
      <c r="H2523" t="str">
        <f>"2002222301696"</f>
        <v>2002222301696</v>
      </c>
      <c r="I2523" t="str">
        <f>HYPERLINK("#", "https://opac.libnet.pref.okayama.jp/licsxp-opac/WOpacMsgNewListToTifTilDetailAction.do?tilcod=2002222301696")</f>
        <v>https://opac.libnet.pref.okayama.jp/licsxp-opac/WOpacMsgNewListToTifTilDetailAction.do?tilcod=2002222301696</v>
      </c>
    </row>
    <row r="2524" spans="1:9" x14ac:dyDescent="0.4">
      <c r="A2524" t="str">
        <f>"広報よしい"</f>
        <v>広報よしい</v>
      </c>
      <c r="B2524" s="1" t="str">
        <f t="shared" si="142"/>
        <v>広報よしい</v>
      </c>
      <c r="C2524" t="str">
        <f>"コウホウ ヨシイ"</f>
        <v>コウホウ ヨシイ</v>
      </c>
      <c r="D2524" t="str">
        <f>"吉井町"</f>
        <v>吉井町</v>
      </c>
      <c r="E2524" t="str">
        <f>"ヨシイチョウ"</f>
        <v>ヨシイチョウ</v>
      </c>
      <c r="F2524" t="str">
        <f>"吉井町(赤磐郡)"</f>
        <v>吉井町(赤磐郡)</v>
      </c>
      <c r="G2524" t="str">
        <f>"月刊"</f>
        <v>月刊</v>
      </c>
      <c r="H2524" t="str">
        <f>"2002222301602"</f>
        <v>2002222301602</v>
      </c>
      <c r="I2524" t="str">
        <f>HYPERLINK("#", "https://opac.libnet.pref.okayama.jp/licsxp-opac/WOpacMsgNewListToTifTilDetailAction.do?tilcod=2002222301602")</f>
        <v>https://opac.libnet.pref.okayama.jp/licsxp-opac/WOpacMsgNewListToTifTilDetailAction.do?tilcod=2002222301602</v>
      </c>
    </row>
    <row r="2525" spans="1:9" x14ac:dyDescent="0.4">
      <c r="A2525" t="str">
        <f>"広報よしい"</f>
        <v>広報よしい</v>
      </c>
      <c r="B2525" s="1" t="str">
        <f t="shared" si="142"/>
        <v>広報よしい</v>
      </c>
      <c r="C2525" t="str">
        <f>"コウホウ ヨシイ"</f>
        <v>コウホウ ヨシイ</v>
      </c>
      <c r="D2525" t="str">
        <f>"芳井町"</f>
        <v>芳井町</v>
      </c>
      <c r="E2525" t="str">
        <f>"ヨシイチョウ"</f>
        <v>ヨシイチョウ</v>
      </c>
      <c r="F2525" t="str">
        <f>"芳井町(後月郡)"</f>
        <v>芳井町(後月郡)</v>
      </c>
      <c r="G2525" t="str">
        <f>"月刊"</f>
        <v>月刊</v>
      </c>
      <c r="H2525" t="str">
        <f>"2002222301603"</f>
        <v>2002222301603</v>
      </c>
      <c r="I2525" t="str">
        <f>HYPERLINK("#", "https://opac.libnet.pref.okayama.jp/licsxp-opac/WOpacMsgNewListToTifTilDetailAction.do?tilcod=2002222301603")</f>
        <v>https://opac.libnet.pref.okayama.jp/licsxp-opac/WOpacMsgNewListToTifTilDetailAction.do?tilcod=2002222301603</v>
      </c>
    </row>
    <row r="2526" spans="1:9" x14ac:dyDescent="0.4">
      <c r="A2526" t="str">
        <f>"広報よしなが"</f>
        <v>広報よしなが</v>
      </c>
      <c r="B2526" s="1" t="str">
        <f t="shared" si="142"/>
        <v>広報よしなが</v>
      </c>
      <c r="C2526" t="str">
        <f>"コウホウ　ヨシナガ"</f>
        <v>コウホウ　ヨシナガ</v>
      </c>
      <c r="D2526" t="str">
        <f>"吉永町"</f>
        <v>吉永町</v>
      </c>
      <c r="E2526" t="str">
        <f>"ヨシナガチョウ"</f>
        <v>ヨシナガチョウ</v>
      </c>
      <c r="F2526" t="str">
        <f>"吉永町（和気郡）"</f>
        <v>吉永町（和気郡）</v>
      </c>
      <c r="G2526" t="str">
        <f>"月刊"</f>
        <v>月刊</v>
      </c>
      <c r="H2526" t="str">
        <f>"2002222301697"</f>
        <v>2002222301697</v>
      </c>
      <c r="I2526" t="str">
        <f>HYPERLINK("#", "https://opac.libnet.pref.okayama.jp/licsxp-opac/WOpacMsgNewListToTifTilDetailAction.do?tilcod=2002222301697")</f>
        <v>https://opac.libnet.pref.okayama.jp/licsxp-opac/WOpacMsgNewListToTifTilDetailAction.do?tilcod=2002222301697</v>
      </c>
    </row>
    <row r="2527" spans="1:9" x14ac:dyDescent="0.4">
      <c r="A2527" t="str">
        <f>"広報よりしま"</f>
        <v>広報よりしま</v>
      </c>
      <c r="B2527" s="1" t="str">
        <f t="shared" si="142"/>
        <v>広報よりしま</v>
      </c>
      <c r="C2527" t="str">
        <f>"コウホウ ヨリシマ"</f>
        <v>コウホウ ヨリシマ</v>
      </c>
      <c r="D2527" t="str">
        <f>"寄島町"</f>
        <v>寄島町</v>
      </c>
      <c r="E2527" t="str">
        <f>"ヨリシマチョウ"</f>
        <v>ヨリシマチョウ</v>
      </c>
      <c r="F2527" t="str">
        <f>"寄島町(浅口郡)"</f>
        <v>寄島町(浅口郡)</v>
      </c>
      <c r="G2527" t="str">
        <f>"月刊"</f>
        <v>月刊</v>
      </c>
      <c r="H2527" t="str">
        <f>"2002222301698"</f>
        <v>2002222301698</v>
      </c>
      <c r="I2527" t="str">
        <f>HYPERLINK("#", "https://opac.libnet.pref.okayama.jp/licsxp-opac/WOpacMsgNewListToTifTilDetailAction.do?tilcod=2002222301698")</f>
        <v>https://opac.libnet.pref.okayama.jp/licsxp-opac/WOpacMsgNewListToTifTilDetailAction.do?tilcod=2002222301698</v>
      </c>
    </row>
    <row r="2528" spans="1:9" x14ac:dyDescent="0.4">
      <c r="A2528" t="str">
        <f>"広報連絡"</f>
        <v>広報連絡</v>
      </c>
      <c r="B2528" s="1" t="str">
        <f t="shared" si="142"/>
        <v>広報連絡</v>
      </c>
      <c r="C2528" t="str">
        <f>"コウホウ レンラク"</f>
        <v>コウホウ レンラク</v>
      </c>
      <c r="D2528" t="str">
        <f>"岡山県警察本部"</f>
        <v>岡山県警察本部</v>
      </c>
      <c r="E2528" t="str">
        <f>"オカヤマケン ケイサツ ホンブ"</f>
        <v>オカヤマケン ケイサツ ホンブ</v>
      </c>
      <c r="F2528" t="str">
        <f>"岡山"</f>
        <v>岡山</v>
      </c>
      <c r="G2528" t="str">
        <f>"頻度不明"</f>
        <v>頻度不明</v>
      </c>
      <c r="H2528" t="str">
        <f>"2002222280643"</f>
        <v>2002222280643</v>
      </c>
      <c r="I2528" t="str">
        <f>HYPERLINK("#", "https://opac.libnet.pref.okayama.jp/licsxp-opac/WOpacMsgNewListToTifTilDetailAction.do?tilcod=2002222280643")</f>
        <v>https://opac.libnet.pref.okayama.jp/licsxp-opac/WOpacMsgNewListToTifTilDetailAction.do?tilcod=2002222280643</v>
      </c>
    </row>
    <row r="2529" spans="1:9" x14ac:dyDescent="0.4">
      <c r="A2529" t="str">
        <f>"広報わけ"</f>
        <v>広報わけ</v>
      </c>
      <c r="B2529" s="1" t="str">
        <f t="shared" si="142"/>
        <v>広報わけ</v>
      </c>
      <c r="C2529" t="str">
        <f>"コウホウ　ワケ"</f>
        <v>コウホウ　ワケ</v>
      </c>
      <c r="D2529" t="str">
        <f>"和気町"</f>
        <v>和気町</v>
      </c>
      <c r="E2529" t="str">
        <f>"ワケチョウ"</f>
        <v>ワケチョウ</v>
      </c>
      <c r="F2529" t="str">
        <f>"和気町（和気郡）"</f>
        <v>和気町（和気郡）</v>
      </c>
      <c r="G2529" t="str">
        <f>"月刊"</f>
        <v>月刊</v>
      </c>
      <c r="H2529" t="str">
        <f>"2002222301569"</f>
        <v>2002222301569</v>
      </c>
      <c r="I2529" t="str">
        <f>HYPERLINK("#", "https://opac.libnet.pref.okayama.jp/licsxp-opac/WOpacMsgNewListToTifTilDetailAction.do?tilcod=2002222301569")</f>
        <v>https://opac.libnet.pref.okayama.jp/licsxp-opac/WOpacMsgNewListToTifTilDetailAction.do?tilcod=2002222301569</v>
      </c>
    </row>
    <row r="2530" spans="1:9" x14ac:dyDescent="0.4">
      <c r="A2530" t="str">
        <f>"広報かもがわ"</f>
        <v>広報かもがわ</v>
      </c>
      <c r="B2530" s="1" t="str">
        <f t="shared" si="142"/>
        <v>広報かもがわ</v>
      </c>
      <c r="C2530" t="str">
        <f>"コウホウ＊カモガワ"</f>
        <v>コウホウ＊カモガワ</v>
      </c>
      <c r="D2530" t="str">
        <f>"御津郡加茂川町"</f>
        <v>御津郡加茂川町</v>
      </c>
      <c r="E2530" t="str">
        <f>"ミツグンカモガワチョウ"</f>
        <v>ミツグンカモガワチョウ</v>
      </c>
      <c r="F2530" t="str">
        <f>"加茂川町（御津郡）"</f>
        <v>加茂川町（御津郡）</v>
      </c>
      <c r="G2530" t="str">
        <f>"月刊"</f>
        <v>月刊</v>
      </c>
      <c r="H2530" t="str">
        <f>"2002222289112"</f>
        <v>2002222289112</v>
      </c>
      <c r="I2530" t="str">
        <f>HYPERLINK("#", "https://opac.libnet.pref.okayama.jp/licsxp-opac/WOpacMsgNewListToTifTilDetailAction.do?tilcod=2002222289112")</f>
        <v>https://opac.libnet.pref.okayama.jp/licsxp-opac/WOpacMsgNewListToTifTilDetailAction.do?tilcod=2002222289112</v>
      </c>
    </row>
    <row r="2531" spans="1:9" x14ac:dyDescent="0.4">
      <c r="A2531" t="str">
        <f>"広報たまの〔編冊版〕"</f>
        <v>広報たまの〔編冊版〕</v>
      </c>
      <c r="B2531" s="1" t="str">
        <f t="shared" si="142"/>
        <v>広報たまの〔編冊版〕</v>
      </c>
      <c r="C2531" t="str">
        <f>"コウホウ＊タマノ　ヘンサツバン"</f>
        <v>コウホウ＊タマノ　ヘンサツバン</v>
      </c>
      <c r="D2531" t="str">
        <f>"玉野市総合政策部市民活動支援課"</f>
        <v>玉野市総合政策部市民活動支援課</v>
      </c>
      <c r="E2531" t="str">
        <f>"タマノシソウゴウセイサクブシミンカツドウシエンカ"</f>
        <v>タマノシソウゴウセイサクブシミンカツドウシエンカ</v>
      </c>
      <c r="F2531" t="str">
        <f>"玉野"</f>
        <v>玉野</v>
      </c>
      <c r="G2531" t="str">
        <f>"頻度不明"</f>
        <v>頻度不明</v>
      </c>
      <c r="H2531" t="str">
        <f>"2002222301407"</f>
        <v>2002222301407</v>
      </c>
      <c r="I2531" t="str">
        <f>HYPERLINK("#", "https://opac.libnet.pref.okayama.jp/licsxp-opac/WOpacMsgNewListToTifTilDetailAction.do?tilcod=2002222301407")</f>
        <v>https://opac.libnet.pref.okayama.jp/licsxp-opac/WOpacMsgNewListToTifTilDetailAction.do?tilcod=2002222301407</v>
      </c>
    </row>
    <row r="2532" spans="1:9" x14ac:dyDescent="0.4">
      <c r="A2532" t="str">
        <f>"〔広報〕ふれあいプラザあいだ"</f>
        <v>〔広報〕ふれあいプラザあいだ</v>
      </c>
      <c r="B2532" s="1" t="str">
        <f t="shared" si="142"/>
        <v>〔広報〕ふれあいプラザあいだ</v>
      </c>
      <c r="C2532" t="str">
        <f>"コウホウ＊フレアイ　プラザ　アイダ"</f>
        <v>コウホウ＊フレアイ　プラザ　アイダ</v>
      </c>
      <c r="D2532" t="str">
        <f>"英田町"</f>
        <v>英田町</v>
      </c>
      <c r="E2532" t="str">
        <f>"アイダチョウ"</f>
        <v>アイダチョウ</v>
      </c>
      <c r="F2532" t="str">
        <f>"英田町（英田郡）"</f>
        <v>英田町（英田郡）</v>
      </c>
      <c r="G2532" t="str">
        <f>"月刊"</f>
        <v>月刊</v>
      </c>
      <c r="H2532" t="str">
        <f>"2002222301608"</f>
        <v>2002222301608</v>
      </c>
      <c r="I2532" t="str">
        <f>HYPERLINK("#", "https://opac.libnet.pref.okayama.jp/licsxp-opac/WOpacMsgNewListToTifTilDetailAction.do?tilcod=2002222301608")</f>
        <v>https://opac.libnet.pref.okayama.jp/licsxp-opac/WOpacMsgNewListToTifTilDetailAction.do?tilcod=2002222301608</v>
      </c>
    </row>
    <row r="2533" spans="1:9" x14ac:dyDescent="0.4">
      <c r="A2533" t="str">
        <f>"こうみんかん"</f>
        <v>こうみんかん</v>
      </c>
      <c r="B2533" s="1" t="str">
        <f t="shared" si="142"/>
        <v>こうみんかん</v>
      </c>
      <c r="C2533" t="str">
        <f>"コウミンカン"</f>
        <v>コウミンカン</v>
      </c>
      <c r="D2533" t="str">
        <f>"岡山県公民館協議会"</f>
        <v>岡山県公民館協議会</v>
      </c>
      <c r="E2533" t="str">
        <f>"オカヤマケンコウミンカンキョウギカイ"</f>
        <v>オカヤマケンコウミンカンキョウギカイ</v>
      </c>
      <c r="F2533" t="str">
        <f>""</f>
        <v/>
      </c>
      <c r="G2533" t="str">
        <f>"頻度不明"</f>
        <v>頻度不明</v>
      </c>
      <c r="H2533" t="str">
        <f>"2002222280663"</f>
        <v>2002222280663</v>
      </c>
      <c r="I2533" t="str">
        <f>HYPERLINK("#", "https://opac.libnet.pref.okayama.jp/licsxp-opac/WOpacMsgNewListToTifTilDetailAction.do?tilcod=2002222280663")</f>
        <v>https://opac.libnet.pref.okayama.jp/licsxp-opac/WOpacMsgNewListToTifTilDetailAction.do?tilcod=2002222280663</v>
      </c>
    </row>
    <row r="2534" spans="1:9" x14ac:dyDescent="0.4">
      <c r="A2534" t="str">
        <f>"公民館だより　あおの"</f>
        <v>公民館だより　あおの</v>
      </c>
      <c r="B2534" s="1" t="str">
        <f t="shared" si="142"/>
        <v>公民館だより　あおの</v>
      </c>
      <c r="C2534" t="str">
        <f>"コウミンカン　ダヨリ　アオノ"</f>
        <v>コウミンカン　ダヨリ　アオノ</v>
      </c>
      <c r="D2534" t="str">
        <f>"青野公民館"</f>
        <v>青野公民館</v>
      </c>
      <c r="E2534" t="str">
        <f>"アオノコウミンカン"</f>
        <v>アオノコウミンカン</v>
      </c>
      <c r="F2534" t="str">
        <f>"井原市"</f>
        <v>井原市</v>
      </c>
      <c r="G2534" t="str">
        <f>"不定期刊"</f>
        <v>不定期刊</v>
      </c>
      <c r="H2534" t="str">
        <f>"2002222281221"</f>
        <v>2002222281221</v>
      </c>
      <c r="I2534" t="str">
        <f>HYPERLINK("#", "https://opac.libnet.pref.okayama.jp/licsxp-opac/WOpacMsgNewListToTifTilDetailAction.do?tilcod=2002222281221")</f>
        <v>https://opac.libnet.pref.okayama.jp/licsxp-opac/WOpacMsgNewListToTifTilDetailAction.do?tilcod=2002222281221</v>
      </c>
    </row>
    <row r="2535" spans="1:9" x14ac:dyDescent="0.4">
      <c r="A2535" t="str">
        <f>"公民館どおり；西大寺公民館だより"</f>
        <v>公民館どおり；西大寺公民館だより</v>
      </c>
      <c r="B2535" s="1" t="str">
        <f t="shared" si="142"/>
        <v>公民館どおり；西大寺公民館だより</v>
      </c>
      <c r="C2535" t="str">
        <f>"コウミンカン　ドオリ＊サイダイジ　コウミンカン　ダヨリ"</f>
        <v>コウミンカン　ドオリ＊サイダイジ　コウミンカン　ダヨリ</v>
      </c>
      <c r="D2535" t="str">
        <f>"岡山市立西大寺公民館"</f>
        <v>岡山市立西大寺公民館</v>
      </c>
      <c r="E2535" t="str">
        <f>"オカヤマシリツサイダイジコウミンカン"</f>
        <v>オカヤマシリツサイダイジコウミンカン</v>
      </c>
      <c r="F2535" t="str">
        <f>"岡山"</f>
        <v>岡山</v>
      </c>
      <c r="G2535" t="str">
        <f>"不定期刊"</f>
        <v>不定期刊</v>
      </c>
      <c r="H2535" t="str">
        <f>"2002222294991"</f>
        <v>2002222294991</v>
      </c>
      <c r="I2535" t="str">
        <f>HYPERLINK("#", "https://opac.libnet.pref.okayama.jp/licsxp-opac/WOpacMsgNewListToTifTilDetailAction.do?tilcod=2002222294991")</f>
        <v>https://opac.libnet.pref.okayama.jp/licsxp-opac/WOpacMsgNewListToTifTilDetailAction.do?tilcod=2002222294991</v>
      </c>
    </row>
    <row r="2536" spans="1:9" x14ac:dyDescent="0.4">
      <c r="A2536" t="str">
        <f>"高山村報"</f>
        <v>高山村報</v>
      </c>
      <c r="B2536" s="1" t="str">
        <f t="shared" si="142"/>
        <v>高山村報</v>
      </c>
      <c r="C2536" t="str">
        <f>"コウヤマソンポウ"</f>
        <v>コウヤマソンポウ</v>
      </c>
      <c r="D2536" t="str">
        <f>"高山村役場"</f>
        <v>高山村役場</v>
      </c>
      <c r="E2536" t="str">
        <f>"コウヤマソン ヤクバ"</f>
        <v>コウヤマソン ヤクバ</v>
      </c>
      <c r="F2536" t="str">
        <f>"高山村（川上郡）"</f>
        <v>高山村（川上郡）</v>
      </c>
      <c r="G2536" t="str">
        <f>"月刊"</f>
        <v>月刊</v>
      </c>
      <c r="H2536" t="str">
        <f>"2002222337127"</f>
        <v>2002222337127</v>
      </c>
      <c r="I2536" t="str">
        <f>HYPERLINK("#", "https://opac.libnet.pref.okayama.jp/licsxp-opac/WOpacMsgNewListToTifTilDetailAction.do?tilcod=2002222337127")</f>
        <v>https://opac.libnet.pref.okayama.jp/licsxp-opac/WOpacMsgNewListToTifTilDetailAction.do?tilcod=2002222337127</v>
      </c>
    </row>
    <row r="2537" spans="1:9" x14ac:dyDescent="0.4">
      <c r="A2537" t="str">
        <f>"校友会誌"</f>
        <v>校友会誌</v>
      </c>
      <c r="B2537" s="1" t="str">
        <f t="shared" si="142"/>
        <v>校友会誌</v>
      </c>
      <c r="C2537" t="str">
        <f>"コウユウ　カイシ"</f>
        <v>コウユウ　カイシ</v>
      </c>
      <c r="D2537" t="str">
        <f>"琴浦西中学校校友会"</f>
        <v>琴浦西中学校校友会</v>
      </c>
      <c r="E2537" t="str">
        <f>"コトウラニシチュウガッコウコウユウカイ"</f>
        <v>コトウラニシチュウガッコウコウユウカイ</v>
      </c>
      <c r="F2537" t="str">
        <f>"児島郡"</f>
        <v>児島郡</v>
      </c>
      <c r="G2537" t="str">
        <f>"頻度不明"</f>
        <v>頻度不明</v>
      </c>
      <c r="H2537" t="str">
        <f>"2002222302295"</f>
        <v>2002222302295</v>
      </c>
      <c r="I2537" t="str">
        <f>HYPERLINK("#", "https://opac.libnet.pref.okayama.jp/licsxp-opac/WOpacMsgNewListToTifTilDetailAction.do?tilcod=2002222302295")</f>
        <v>https://opac.libnet.pref.okayama.jp/licsxp-opac/WOpacMsgNewListToTifTilDetailAction.do?tilcod=2002222302295</v>
      </c>
    </row>
    <row r="2538" spans="1:9" x14ac:dyDescent="0.4">
      <c r="A2538" t="str">
        <f>"興陽高等学校学校案内"</f>
        <v>興陽高等学校学校案内</v>
      </c>
      <c r="B2538" s="1" t="str">
        <f t="shared" si="142"/>
        <v>興陽高等学校学校案内</v>
      </c>
      <c r="C2538" t="str">
        <f>"コウヨウ　コウトウ　ガッコウ　ガッコウ　アンナイ"</f>
        <v>コウヨウ　コウトウ　ガッコウ　ガッコウ　アンナイ</v>
      </c>
      <c r="D2538" t="str">
        <f>"興陽高等学校"</f>
        <v>興陽高等学校</v>
      </c>
      <c r="E2538" t="str">
        <f>"コウヨウ コウトウ ガッコウ"</f>
        <v>コウヨウ コウトウ ガッコウ</v>
      </c>
      <c r="F2538" t="str">
        <f>"岡山"</f>
        <v>岡山</v>
      </c>
      <c r="G2538" t="str">
        <f>"年刊"</f>
        <v>年刊</v>
      </c>
      <c r="H2538" t="str">
        <f>"2002222301178"</f>
        <v>2002222301178</v>
      </c>
      <c r="I2538" t="str">
        <f>HYPERLINK("#", "https://opac.libnet.pref.okayama.jp/licsxp-opac/WOpacMsgNewListToTifTilDetailAction.do?tilcod=2002222301178")</f>
        <v>https://opac.libnet.pref.okayama.jp/licsxp-opac/WOpacMsgNewListToTifTilDetailAction.do?tilcod=2002222301178</v>
      </c>
    </row>
    <row r="2539" spans="1:9" x14ac:dyDescent="0.4">
      <c r="A2539" t="str">
        <f>"[興陽高等学校] 学校要覧"</f>
        <v>[興陽高等学校] 学校要覧</v>
      </c>
      <c r="B2539" s="1" t="str">
        <f t="shared" si="142"/>
        <v>[興陽高等学校] 学校要覧</v>
      </c>
      <c r="C2539" t="str">
        <f>"コウヨウ　コウトウ　ガッコウ　ガッコウ　ヨウラン"</f>
        <v>コウヨウ　コウトウ　ガッコウ　ガッコウ　ヨウラン</v>
      </c>
      <c r="D2539" t="str">
        <f>"興陽高等学校"</f>
        <v>興陽高等学校</v>
      </c>
      <c r="E2539" t="str">
        <f>"コウヨウ コウトウ ガッコウ"</f>
        <v>コウヨウ コウトウ ガッコウ</v>
      </c>
      <c r="F2539" t="str">
        <f>"岡山"</f>
        <v>岡山</v>
      </c>
      <c r="G2539" t="str">
        <f>"年刊"</f>
        <v>年刊</v>
      </c>
      <c r="H2539" t="str">
        <f>"2002222300489"</f>
        <v>2002222300489</v>
      </c>
      <c r="I2539" t="str">
        <f>HYPERLINK("#", "https://opac.libnet.pref.okayama.jp/licsxp-opac/WOpacMsgNewListToTifTilDetailAction.do?tilcod=2002222300489")</f>
        <v>https://opac.libnet.pref.okayama.jp/licsxp-opac/WOpacMsgNewListToTifTilDetailAction.do?tilcod=2002222300489</v>
      </c>
    </row>
    <row r="2540" spans="1:9" x14ac:dyDescent="0.4">
      <c r="A2540" t="str">
        <f>"甲陽実業新聞"</f>
        <v>甲陽実業新聞</v>
      </c>
      <c r="B2540" s="1" t="str">
        <f t="shared" si="142"/>
        <v>甲陽実業新聞</v>
      </c>
      <c r="C2540" t="str">
        <f>"コウヨウ ジツギョウ シンブン"</f>
        <v>コウヨウ ジツギョウ シンブン</v>
      </c>
      <c r="D2540" t="str">
        <f>"甲陽実業新聞社"</f>
        <v>甲陽実業新聞社</v>
      </c>
      <c r="E2540" t="str">
        <f>"コウヨウ ジツギョウ シンブンシャ"</f>
        <v>コウヨウ ジツギョウ シンブンシャ</v>
      </c>
      <c r="F2540" t="str">
        <f>"西大寺町(上道郡)"</f>
        <v>西大寺町(上道郡)</v>
      </c>
      <c r="G2540" t="str">
        <f>"月刊"</f>
        <v>月刊</v>
      </c>
      <c r="H2540" t="str">
        <f>"2002222329706"</f>
        <v>2002222329706</v>
      </c>
      <c r="I2540" t="str">
        <f>HYPERLINK("#", "https://opac.libnet.pref.okayama.jp/licsxp-opac/WOpacMsgNewListToTifTilDetailAction.do?tilcod=2002222329706")</f>
        <v>https://opac.libnet.pref.okayama.jp/licsxp-opac/WOpacMsgNewListToTifTilDetailAction.do?tilcod=2002222329706</v>
      </c>
    </row>
    <row r="2541" spans="1:9" x14ac:dyDescent="0.4">
      <c r="A2541" t="str">
        <f>"後楽"</f>
        <v>後楽</v>
      </c>
      <c r="B2541" s="1" t="str">
        <f t="shared" si="142"/>
        <v>後楽</v>
      </c>
      <c r="C2541" t="str">
        <f>"コウラク"</f>
        <v>コウラク</v>
      </c>
      <c r="D2541" t="str">
        <f>"岡山県警察機関誌発行運営委員会"</f>
        <v>岡山県警察機関誌発行運営委員会</v>
      </c>
      <c r="E2541" t="str">
        <f>"オカヤマケンケイサツキカンシハッコウウンエイイインカイ"</f>
        <v>オカヤマケンケイサツキカンシハッコウウンエイイインカイ</v>
      </c>
      <c r="F2541" t="str">
        <f>""</f>
        <v/>
      </c>
      <c r="G2541" t="str">
        <f>"月刊"</f>
        <v>月刊</v>
      </c>
      <c r="H2541" t="str">
        <f>"2002222280673"</f>
        <v>2002222280673</v>
      </c>
      <c r="I2541" t="str">
        <f>HYPERLINK("#", "https://opac.libnet.pref.okayama.jp/licsxp-opac/WOpacMsgNewListToTifTilDetailAction.do?tilcod=2002222280673")</f>
        <v>https://opac.libnet.pref.okayama.jp/licsxp-opac/WOpacMsgNewListToTifTilDetailAction.do?tilcod=2002222280673</v>
      </c>
    </row>
    <row r="2542" spans="1:9" x14ac:dyDescent="0.4">
      <c r="A2542" t="str">
        <f>"後楽"</f>
        <v>後楽</v>
      </c>
      <c r="B2542" s="1" t="str">
        <f t="shared" si="142"/>
        <v>後楽</v>
      </c>
      <c r="C2542" t="str">
        <f>"コウラク"</f>
        <v>コウラク</v>
      </c>
      <c r="D2542" t="str">
        <f>"岡山県下公安委員会連絡協議会"</f>
        <v>岡山県下公安委員会連絡協議会</v>
      </c>
      <c r="E2542" t="str">
        <f>"オカヤマケンカコウアンイインカイレンラクキョウギカイ"</f>
        <v>オカヤマケンカコウアンイインカイレンラクキョウギカイ</v>
      </c>
      <c r="F2542" t="str">
        <f>"岡山"</f>
        <v>岡山</v>
      </c>
      <c r="G2542" t="str">
        <f>"頻度不明"</f>
        <v>頻度不明</v>
      </c>
      <c r="H2542" t="str">
        <f>"2002222285021"</f>
        <v>2002222285021</v>
      </c>
      <c r="I2542" t="str">
        <f>HYPERLINK("#", "https://opac.libnet.pref.okayama.jp/licsxp-opac/WOpacMsgNewListToTifTilDetailAction.do?tilcod=2002222285021")</f>
        <v>https://opac.libnet.pref.okayama.jp/licsxp-opac/WOpacMsgNewListToTifTilDetailAction.do?tilcod=2002222285021</v>
      </c>
    </row>
    <row r="2543" spans="1:9" x14ac:dyDescent="0.4">
      <c r="A2543" t="str">
        <f>"後楽館"</f>
        <v>後楽館</v>
      </c>
      <c r="B2543" s="1" t="str">
        <f t="shared" si="142"/>
        <v>後楽館</v>
      </c>
      <c r="C2543" t="str">
        <f>"コウラクカン"</f>
        <v>コウラクカン</v>
      </c>
      <c r="D2543" t="str">
        <f>"岡山市立岡山後楽館高等学校"</f>
        <v>岡山市立岡山後楽館高等学校</v>
      </c>
      <c r="E2543" t="str">
        <f>"オカヤマシリツオカヤマコウラクカンコウトウガッコウ"</f>
        <v>オカヤマシリツオカヤマコウラクカンコウトウガッコウ</v>
      </c>
      <c r="F2543" t="str">
        <f>"岡山"</f>
        <v>岡山</v>
      </c>
      <c r="G2543" t="str">
        <f>"年刊"</f>
        <v>年刊</v>
      </c>
      <c r="H2543" t="str">
        <f>"2002222282871"</f>
        <v>2002222282871</v>
      </c>
      <c r="I2543" t="str">
        <f>HYPERLINK("#", "https://opac.libnet.pref.okayama.jp/licsxp-opac/WOpacMsgNewListToTifTilDetailAction.do?tilcod=2002222282871")</f>
        <v>https://opac.libnet.pref.okayama.jp/licsxp-opac/WOpacMsgNewListToTifTilDetailAction.do?tilcod=2002222282871</v>
      </c>
    </row>
    <row r="2544" spans="1:9" x14ac:dyDescent="0.4">
      <c r="A2544" t="str">
        <f>"後楽館紀要"</f>
        <v>後楽館紀要</v>
      </c>
      <c r="B2544" s="1" t="str">
        <f t="shared" si="142"/>
        <v>後楽館紀要</v>
      </c>
      <c r="C2544" t="str">
        <f>"コウラクカン　キヨウ"</f>
        <v>コウラクカン　キヨウ</v>
      </c>
      <c r="D2544" t="str">
        <f>"岡山市立岡山後楽館高等学校"</f>
        <v>岡山市立岡山後楽館高等学校</v>
      </c>
      <c r="E2544" t="str">
        <f>"オカヤマシリツオカヤマコウラクカンコウトウガッコウ"</f>
        <v>オカヤマシリツオカヤマコウラクカンコウトウガッコウ</v>
      </c>
      <c r="F2544" t="str">
        <f>"岡山"</f>
        <v>岡山</v>
      </c>
      <c r="G2544" t="str">
        <f>"頻度不明"</f>
        <v>頻度不明</v>
      </c>
      <c r="H2544" t="str">
        <f>"2002222285391"</f>
        <v>2002222285391</v>
      </c>
      <c r="I2544" t="str">
        <f>HYPERLINK("#", "https://opac.libnet.pref.okayama.jp/licsxp-opac/WOpacMsgNewListToTifTilDetailAction.do?tilcod=2002222285391")</f>
        <v>https://opac.libnet.pref.okayama.jp/licsxp-opac/WOpacMsgNewListToTifTilDetailAction.do?tilcod=2002222285391</v>
      </c>
    </row>
    <row r="2545" spans="1:9" x14ac:dyDescent="0.4">
      <c r="A2545" t="str">
        <f>"香和"</f>
        <v>香和</v>
      </c>
      <c r="B2545" s="1" t="str">
        <f t="shared" si="142"/>
        <v>香和</v>
      </c>
      <c r="C2545" t="str">
        <f>"コウワ"</f>
        <v>コウワ</v>
      </c>
      <c r="D2545" t="str">
        <f>"香和中学校生徒会"</f>
        <v>香和中学校生徒会</v>
      </c>
      <c r="E2545" t="str">
        <f>"コウワチュウガッコウセイトカイ"</f>
        <v>コウワチュウガッコウセイトカイ</v>
      </c>
      <c r="F2545" t="str">
        <f>"岡山"</f>
        <v>岡山</v>
      </c>
      <c r="G2545" t="str">
        <f>"年刊"</f>
        <v>年刊</v>
      </c>
      <c r="H2545" t="str">
        <f>"2002222280683"</f>
        <v>2002222280683</v>
      </c>
      <c r="I2545" t="str">
        <f>HYPERLINK("#", "https://opac.libnet.pref.okayama.jp/licsxp-opac/WOpacMsgNewListToTifTilDetailAction.do?tilcod=2002222280683")</f>
        <v>https://opac.libnet.pref.okayama.jp/licsxp-opac/WOpacMsgNewListToTifTilDetailAction.do?tilcod=2002222280683</v>
      </c>
    </row>
    <row r="2546" spans="1:9" x14ac:dyDescent="0.4">
      <c r="A2546" t="str">
        <f>"こえび新聞"</f>
        <v>こえび新聞</v>
      </c>
      <c r="B2546" s="1" t="str">
        <f t="shared" si="142"/>
        <v>こえび新聞</v>
      </c>
      <c r="C2546" t="str">
        <f>"コエビ　シンブン"</f>
        <v>コエビ　シンブン</v>
      </c>
      <c r="D2546" t="str">
        <f>"こえび隊"</f>
        <v>こえび隊</v>
      </c>
      <c r="E2546" t="str">
        <f>"コエビタイ"</f>
        <v>コエビタイ</v>
      </c>
      <c r="F2546" t="str">
        <f>"高松"</f>
        <v>高松</v>
      </c>
      <c r="G2546" t="str">
        <f>"不定期刊"</f>
        <v>不定期刊</v>
      </c>
      <c r="H2546" t="str">
        <f>"2002222302380"</f>
        <v>2002222302380</v>
      </c>
      <c r="I2546" t="str">
        <f>HYPERLINK("#", "https://opac.libnet.pref.okayama.jp/licsxp-opac/WOpacMsgNewListToTifTilDetailAction.do?tilcod=2002222302380")</f>
        <v>https://opac.libnet.pref.okayama.jp/licsxp-opac/WOpacMsgNewListToTifTilDetailAction.do?tilcod=2002222302380</v>
      </c>
    </row>
    <row r="2547" spans="1:9" x14ac:dyDescent="0.4">
      <c r="A2547" t="str">
        <f>"ＧＯ；岡山県ぶどう産地情報紙"</f>
        <v>ＧＯ；岡山県ぶどう産地情報紙</v>
      </c>
      <c r="B2547" s="1" t="str">
        <f t="shared" si="142"/>
        <v>ＧＯ；岡山県ぶどう産地情報紙</v>
      </c>
      <c r="C2547" t="str">
        <f>"ゴー＊オカヤマケン　ブドウ　サンチ　ジョウホウシ"</f>
        <v>ゴー＊オカヤマケン　ブドウ　サンチ　ジョウホウシ</v>
      </c>
      <c r="D2547" t="str">
        <f>"岡山県経済農業協同組合連合会"</f>
        <v>岡山県経済農業協同組合連合会</v>
      </c>
      <c r="E2547" t="str">
        <f>"オカヤマケン ケイザイ ノウギョウ キョウドウ クミアイ レンゴウカイ"</f>
        <v>オカヤマケン ケイザイ ノウギョウ キョウドウ クミアイ レンゴウカイ</v>
      </c>
      <c r="F2547" t="str">
        <f>"岡山"</f>
        <v>岡山</v>
      </c>
      <c r="G2547" t="str">
        <f>"頻度不明"</f>
        <v>頻度不明</v>
      </c>
      <c r="H2547" t="str">
        <f>"2002222282771"</f>
        <v>2002222282771</v>
      </c>
      <c r="I2547" t="str">
        <f>HYPERLINK("#", "https://opac.libnet.pref.okayama.jp/licsxp-opac/WOpacMsgNewListToTifTilDetailAction.do?tilcod=2002222282771")</f>
        <v>https://opac.libnet.pref.okayama.jp/licsxp-opac/WOpacMsgNewListToTifTilDetailAction.do?tilcod=2002222282771</v>
      </c>
    </row>
    <row r="2548" spans="1:9" x14ac:dyDescent="0.4">
      <c r="A2548" t="str">
        <f>"ＣＯＦＦＥＥ　ＴＩＭＥ（コーヒータイム）"</f>
        <v>ＣＯＦＦＥＥ　ＴＩＭＥ（コーヒータイム）</v>
      </c>
      <c r="B2548" s="1" t="str">
        <f t="shared" si="142"/>
        <v>ＣＯＦＦＥＥ　ＴＩＭＥ（コーヒータイム）</v>
      </c>
      <c r="C2548" t="str">
        <f>"コーヒー　タイム"</f>
        <v>コーヒー　タイム</v>
      </c>
      <c r="D2548" t="str">
        <f>"浜田三起子"</f>
        <v>浜田三起子</v>
      </c>
      <c r="E2548" t="str">
        <f>"ハマダミキコ"</f>
        <v>ハマダミキコ</v>
      </c>
      <c r="F2548" t="str">
        <f>""</f>
        <v/>
      </c>
      <c r="G2548" t="str">
        <f>"不定期刊"</f>
        <v>不定期刊</v>
      </c>
      <c r="H2548" t="str">
        <f>"2002222280923"</f>
        <v>2002222280923</v>
      </c>
      <c r="I2548" t="str">
        <f>HYPERLINK("#", "https://opac.libnet.pref.okayama.jp/licsxp-opac/WOpacMsgNewListToTifTilDetailAction.do?tilcod=2002222280923")</f>
        <v>https://opac.libnet.pref.okayama.jp/licsxp-opac/WOpacMsgNewListToTifTilDetailAction.do?tilcod=2002222280923</v>
      </c>
    </row>
    <row r="2549" spans="1:9" x14ac:dyDescent="0.4">
      <c r="A2549" t="str">
        <f>"国語会議"</f>
        <v>国語会議</v>
      </c>
      <c r="B2549" s="1" t="str">
        <f t="shared" si="142"/>
        <v>国語会議</v>
      </c>
      <c r="C2549" t="str">
        <f>"コクゴ カイギ"</f>
        <v>コクゴ カイギ</v>
      </c>
      <c r="D2549" t="str">
        <f>"津山市小学校国語協議会"</f>
        <v>津山市小学校国語協議会</v>
      </c>
      <c r="E2549" t="str">
        <f>"ツヤマシ ショウガッコウ コクゴ キョウギカイ"</f>
        <v>ツヤマシ ショウガッコウ コクゴ キョウギカイ</v>
      </c>
      <c r="F2549" t="str">
        <f>"[津山]"</f>
        <v>[津山]</v>
      </c>
      <c r="G2549" t="str">
        <f>"頻度不明"</f>
        <v>頻度不明</v>
      </c>
      <c r="H2549" t="str">
        <f>"2002222325366"</f>
        <v>2002222325366</v>
      </c>
      <c r="I2549" t="str">
        <f>HYPERLINK("#", "https://opac.libnet.pref.okayama.jp/licsxp-opac/WOpacMsgNewListToTifTilDetailAction.do?tilcod=2002222325366")</f>
        <v>https://opac.libnet.pref.okayama.jp/licsxp-opac/WOpacMsgNewListToTifTilDetailAction.do?tilcod=2002222325366</v>
      </c>
    </row>
    <row r="2550" spans="1:9" x14ac:dyDescent="0.4">
      <c r="A2550" t="str">
        <f>"国語協議"</f>
        <v>国語協議</v>
      </c>
      <c r="B2550" s="1" t="str">
        <f t="shared" si="142"/>
        <v>国語協議</v>
      </c>
      <c r="C2550" t="str">
        <f>"コクゴ キョウギ"</f>
        <v>コクゴ キョウギ</v>
      </c>
      <c r="D2550" t="str">
        <f>"津山市中学校国語協議会"</f>
        <v>津山市中学校国語協議会</v>
      </c>
      <c r="E2550" t="str">
        <f>"ツヤマシ チュウガッコウ コクゴ キョウギカイ"</f>
        <v>ツヤマシ チュウガッコウ コクゴ キョウギカイ</v>
      </c>
      <c r="F2550" t="str">
        <f>"津山"</f>
        <v>津山</v>
      </c>
      <c r="G2550" t="str">
        <f>"年刊"</f>
        <v>年刊</v>
      </c>
      <c r="H2550" t="str">
        <f>"2002222325027"</f>
        <v>2002222325027</v>
      </c>
      <c r="I2550" t="str">
        <f>HYPERLINK("#", "https://opac.libnet.pref.okayama.jp/licsxp-opac/WOpacMsgNewListToTifTilDetailAction.do?tilcod=2002222325027")</f>
        <v>https://opac.libnet.pref.okayama.jp/licsxp-opac/WOpacMsgNewListToTifTilDetailAction.do?tilcod=2002222325027</v>
      </c>
    </row>
    <row r="2551" spans="1:9" x14ac:dyDescent="0.4">
      <c r="A2551" t="str">
        <f>"国語研究"</f>
        <v>国語研究</v>
      </c>
      <c r="B2551" s="1" t="str">
        <f t="shared" si="142"/>
        <v>国語研究</v>
      </c>
      <c r="C2551" t="str">
        <f>"コクゴ　ケンキュウ"</f>
        <v>コクゴ　ケンキュウ</v>
      </c>
      <c r="D2551" t="str">
        <f>"岡山県中学校教育研究会苫田支部国語部会"</f>
        <v>岡山県中学校教育研究会苫田支部国語部会</v>
      </c>
      <c r="E2551" t="str">
        <f>"オカヤマケンチュウガッコウキョウイクケンキュウカイトマタシブコクゴブカイ"</f>
        <v>オカヤマケンチュウガッコウキョウイクケンキュウカイトマタシブコクゴブカイ</v>
      </c>
      <c r="F2551" t="str">
        <f>"（苫田郡）"</f>
        <v>（苫田郡）</v>
      </c>
      <c r="G2551" t="str">
        <f>"頻度不明"</f>
        <v>頻度不明</v>
      </c>
      <c r="H2551" t="str">
        <f>"2002222301524"</f>
        <v>2002222301524</v>
      </c>
      <c r="I2551" t="str">
        <f>HYPERLINK("#", "https://opac.libnet.pref.okayama.jp/licsxp-opac/WOpacMsgNewListToTifTilDetailAction.do?tilcod=2002222301524")</f>
        <v>https://opac.libnet.pref.okayama.jp/licsxp-opac/WOpacMsgNewListToTifTilDetailAction.do?tilcod=2002222301524</v>
      </c>
    </row>
    <row r="2552" spans="1:9" x14ac:dyDescent="0.4">
      <c r="A2552" t="str">
        <f>"国語同人"</f>
        <v>国語同人</v>
      </c>
      <c r="B2552" s="1" t="str">
        <f t="shared" si="142"/>
        <v>国語同人</v>
      </c>
      <c r="C2552" t="str">
        <f>"コクゴ　ドウジン"</f>
        <v>コクゴ　ドウジン</v>
      </c>
      <c r="D2552" t="str">
        <f>"国語同人の会"</f>
        <v>国語同人の会</v>
      </c>
      <c r="E2552" t="str">
        <f>"コクゴドウジンノカイ"</f>
        <v>コクゴドウジンノカイ</v>
      </c>
      <c r="F2552" t="str">
        <f>""</f>
        <v/>
      </c>
      <c r="G2552" t="str">
        <f>"頻度不明"</f>
        <v>頻度不明</v>
      </c>
      <c r="H2552" t="str">
        <f>"2002222280693"</f>
        <v>2002222280693</v>
      </c>
      <c r="I2552" t="str">
        <f>HYPERLINK("#", "https://opac.libnet.pref.okayama.jp/licsxp-opac/WOpacMsgNewListToTifTilDetailAction.do?tilcod=2002222280693")</f>
        <v>https://opac.libnet.pref.okayama.jp/licsxp-opac/WOpacMsgNewListToTifTilDetailAction.do?tilcod=2002222280693</v>
      </c>
    </row>
    <row r="2553" spans="1:9" x14ac:dyDescent="0.4">
      <c r="A2553" t="str">
        <f>"国際教育研究フォーラム"</f>
        <v>国際教育研究フォーラム</v>
      </c>
      <c r="B2553" s="1" t="str">
        <f t="shared" si="142"/>
        <v>国際教育研究フォーラム</v>
      </c>
      <c r="C2553" t="str">
        <f>"コクサイ キョウイク ケンキュウ フォーラム"</f>
        <v>コクサイ キョウイク ケンキュウ フォーラム</v>
      </c>
      <c r="D2553" t="str">
        <f>"国際教育研究所"</f>
        <v>国際教育研究所</v>
      </c>
      <c r="E2553" t="str">
        <f>"コクサイキョウイクケンキュウショ"</f>
        <v>コクサイキョウイクケンキュウショ</v>
      </c>
      <c r="F2553" t="str">
        <f>"倉敷"</f>
        <v>倉敷</v>
      </c>
      <c r="G2553" t="str">
        <f>"不定期刊"</f>
        <v>不定期刊</v>
      </c>
      <c r="H2553" t="str">
        <f>"2002222293491"</f>
        <v>2002222293491</v>
      </c>
      <c r="I2553" t="str">
        <f>HYPERLINK("#", "https://opac.libnet.pref.okayama.jp/licsxp-opac/WOpacMsgNewListToTifTilDetailAction.do?tilcod=2002222293491")</f>
        <v>https://opac.libnet.pref.okayama.jp/licsxp-opac/WOpacMsgNewListToTifTilDetailAction.do?tilcod=2002222293491</v>
      </c>
    </row>
    <row r="2554" spans="1:9" x14ac:dyDescent="0.4">
      <c r="A2554" t="str">
        <f>"国際教育研究所紀要"</f>
        <v>国際教育研究所紀要</v>
      </c>
      <c r="B2554" s="1" t="str">
        <f t="shared" si="142"/>
        <v>国際教育研究所紀要</v>
      </c>
      <c r="C2554" t="str">
        <f>"コクサイ　キョウイク　ケンキュウショ　キヨウ"</f>
        <v>コクサイ　キョウイク　ケンキュウショ　キヨウ</v>
      </c>
      <c r="D2554" t="str">
        <f>"国際教育研究所"</f>
        <v>国際教育研究所</v>
      </c>
      <c r="E2554" t="str">
        <f>"コクサイキョウイクケンキュウショ"</f>
        <v>コクサイキョウイクケンキュウショ</v>
      </c>
      <c r="F2554" t="str">
        <f>"倉敷"</f>
        <v>倉敷</v>
      </c>
      <c r="G2554" t="str">
        <f>"年刊"</f>
        <v>年刊</v>
      </c>
      <c r="H2554" t="str">
        <f>"2002222275181"</f>
        <v>2002222275181</v>
      </c>
      <c r="I2554" t="str">
        <f>HYPERLINK("#", "https://opac.libnet.pref.okayama.jp/licsxp-opac/WOpacMsgNewListToTifTilDetailAction.do?tilcod=2002222275181")</f>
        <v>https://opac.libnet.pref.okayama.jp/licsxp-opac/WOpacMsgNewListToTifTilDetailAction.do?tilcod=2002222275181</v>
      </c>
    </row>
    <row r="2555" spans="1:9" x14ac:dyDescent="0.4">
      <c r="A2555" t="str">
        <f>"国際交流ふれあいのひろば"</f>
        <v>国際交流ふれあいのひろば</v>
      </c>
      <c r="B2555" s="1" t="str">
        <f t="shared" si="142"/>
        <v>国際交流ふれあいのひろば</v>
      </c>
      <c r="C2555" t="str">
        <f>"コクサイ　コウリュウ　フレアイ　ノ　ヒロバ"</f>
        <v>コクサイ　コウリュウ　フレアイ　ノ　ヒロバ</v>
      </c>
      <c r="D2555" t="str">
        <f>"岡山市国際交流協議会"</f>
        <v>岡山市国際交流協議会</v>
      </c>
      <c r="E2555" t="str">
        <f>"オカヤマシ コクサイ コウリュウ キョウギカイ"</f>
        <v>オカヤマシ コクサイ コウリュウ キョウギカイ</v>
      </c>
      <c r="F2555" t="str">
        <f>"岡山"</f>
        <v>岡山</v>
      </c>
      <c r="G2555" t="str">
        <f>"年刊"</f>
        <v>年刊</v>
      </c>
      <c r="H2555" t="str">
        <f>"2002222292491"</f>
        <v>2002222292491</v>
      </c>
      <c r="I2555" t="str">
        <f>HYPERLINK("#", "https://opac.libnet.pref.okayama.jp/licsxp-opac/WOpacMsgNewListToTifTilDetailAction.do?tilcod=2002222292491")</f>
        <v>https://opac.libnet.pref.okayama.jp/licsxp-opac/WOpacMsgNewListToTifTilDetailAction.do?tilcod=2002222292491</v>
      </c>
    </row>
    <row r="2556" spans="1:9" x14ac:dyDescent="0.4">
      <c r="A2556" t="str">
        <f>"国際社会学研究所研究紀要"</f>
        <v>国際社会学研究所研究紀要</v>
      </c>
      <c r="B2556" s="1" t="str">
        <f t="shared" si="142"/>
        <v>国際社会学研究所研究紀要</v>
      </c>
      <c r="C2556" t="str">
        <f>"コクサイ　シャカイガク　ケンキュウジョ　ケンキュウ　キヨウ"</f>
        <v>コクサイ　シャカイガク　ケンキュウジョ　ケンキュウ　キヨウ</v>
      </c>
      <c r="D2556" t="str">
        <f>"加計国際交流センター国際社会学研究所"</f>
        <v>加計国際交流センター国際社会学研究所</v>
      </c>
      <c r="E2556" t="str">
        <f>"カケイコクサイコウリュウセンターコクサイシャカイガクケンキュウジョ"</f>
        <v>カケイコクサイコウリュウセンターコクサイシャカイガクケンキュウジョ</v>
      </c>
      <c r="F2556" t="str">
        <f>"倉敷"</f>
        <v>倉敷</v>
      </c>
      <c r="G2556" t="str">
        <f>"年刊"</f>
        <v>年刊</v>
      </c>
      <c r="H2556" t="str">
        <f>"2002222280201"</f>
        <v>2002222280201</v>
      </c>
      <c r="I2556" t="str">
        <f>HYPERLINK("#", "https://opac.libnet.pref.okayama.jp/licsxp-opac/WOpacMsgNewListToTifTilDetailAction.do?tilcod=2002222280201")</f>
        <v>https://opac.libnet.pref.okayama.jp/licsxp-opac/WOpacMsgNewListToTifTilDetailAction.do?tilcod=2002222280201</v>
      </c>
    </row>
    <row r="2557" spans="1:9" x14ac:dyDescent="0.4">
      <c r="A2557" t="str">
        <f>"国際社会学研究所ニュース"</f>
        <v>国際社会学研究所ニュース</v>
      </c>
      <c r="B2557" s="1" t="str">
        <f t="shared" si="142"/>
        <v>国際社会学研究所ニュース</v>
      </c>
      <c r="C2557" t="str">
        <f>"コクサイ　シャカイガク　ケンキュウジョ　ニュース"</f>
        <v>コクサイ　シャカイガク　ケンキュウジョ　ニュース</v>
      </c>
      <c r="D2557" t="str">
        <f>"国際社会学研究所　"</f>
        <v>国際社会学研究所　</v>
      </c>
      <c r="E2557" t="str">
        <f>"コクサイシャカイガクケンキュウジョ"</f>
        <v>コクサイシャカイガクケンキュウジョ</v>
      </c>
      <c r="F2557" t="str">
        <f>"倉敷"</f>
        <v>倉敷</v>
      </c>
      <c r="G2557" t="str">
        <f>"月２回刊"</f>
        <v>月２回刊</v>
      </c>
      <c r="H2557" t="str">
        <f>"2002222292511"</f>
        <v>2002222292511</v>
      </c>
      <c r="I2557" t="str">
        <f>HYPERLINK("#", "https://opac.libnet.pref.okayama.jp/licsxp-opac/WOpacMsgNewListToTifTilDetailAction.do?tilcod=2002222292511")</f>
        <v>https://opac.libnet.pref.okayama.jp/licsxp-opac/WOpacMsgNewListToTifTilDetailAction.do?tilcod=2002222292511</v>
      </c>
    </row>
    <row r="2558" spans="1:9" x14ac:dyDescent="0.4">
      <c r="A2558" t="str">
        <f>"国際理解"</f>
        <v>国際理解</v>
      </c>
      <c r="B2558" s="1" t="str">
        <f t="shared" si="142"/>
        <v>国際理解</v>
      </c>
      <c r="C2558" t="str">
        <f>"コクサイ　リカイ"</f>
        <v>コクサイ　リカイ</v>
      </c>
      <c r="D2558" t="str">
        <f>"岡山県国際理解教育研究会"</f>
        <v>岡山県国際理解教育研究会</v>
      </c>
      <c r="E2558" t="str">
        <f>"オカヤマケンコクサイリカイキョウイクケンキュウカイ"</f>
        <v>オカヤマケンコクサイリカイキョウイクケンキュウカイ</v>
      </c>
      <c r="F2558" t="str">
        <f>""</f>
        <v/>
      </c>
      <c r="G2558" t="str">
        <f>"年刊"</f>
        <v>年刊</v>
      </c>
      <c r="H2558" t="str">
        <f>"2002222280703"</f>
        <v>2002222280703</v>
      </c>
      <c r="I2558" t="str">
        <f>HYPERLINK("#", "https://opac.libnet.pref.okayama.jp/licsxp-opac/WOpacMsgNewListToTifTilDetailAction.do?tilcod=2002222280703")</f>
        <v>https://opac.libnet.pref.okayama.jp/licsxp-opac/WOpacMsgNewListToTifTilDetailAction.do?tilcod=2002222280703</v>
      </c>
    </row>
    <row r="2559" spans="1:9" x14ac:dyDescent="0.4">
      <c r="A2559" t="str">
        <f>"国体だより"</f>
        <v>国体だより</v>
      </c>
      <c r="B2559" s="1" t="str">
        <f t="shared" si="142"/>
        <v>国体だより</v>
      </c>
      <c r="C2559" t="str">
        <f>"コクタイ　ダヨリ"</f>
        <v>コクタイ　ダヨリ</v>
      </c>
      <c r="D2559" t="str">
        <f>"倉敷市国体推進室"</f>
        <v>倉敷市国体推進室</v>
      </c>
      <c r="E2559" t="str">
        <f>"クラシキシコクタイスイシンシツ"</f>
        <v>クラシキシコクタイスイシンシツ</v>
      </c>
      <c r="F2559" t="str">
        <f>"倉敷"</f>
        <v>倉敷</v>
      </c>
      <c r="G2559" t="str">
        <f>"不定期刊"</f>
        <v>不定期刊</v>
      </c>
      <c r="H2559" t="str">
        <f>"2002222281754"</f>
        <v>2002222281754</v>
      </c>
      <c r="I2559" t="str">
        <f>HYPERLINK("#", "https://opac.libnet.pref.okayama.jp/licsxp-opac/WOpacMsgNewListToTifTilDetailAction.do?tilcod=2002222281754")</f>
        <v>https://opac.libnet.pref.okayama.jp/licsxp-opac/WOpacMsgNewListToTifTilDetailAction.do?tilcod=2002222281754</v>
      </c>
    </row>
    <row r="2560" spans="1:9" x14ac:dyDescent="0.4">
      <c r="A2560" t="str">
        <f>"国体だより；晴れの国おかやま国体"</f>
        <v>国体だより；晴れの国おかやま国体</v>
      </c>
      <c r="B2560" s="1" t="str">
        <f t="shared" si="142"/>
        <v>国体だより；晴れの国おかやま国体</v>
      </c>
      <c r="C2560" t="str">
        <f>"コクタイ　ダヨリ＊ハレ　ノ　クニ　オカヤマ　コクタイ"</f>
        <v>コクタイ　ダヨリ＊ハレ　ノ　クニ　オカヤマ　コクタイ</v>
      </c>
      <c r="D2560" t="str">
        <f>"晴れの国おかやま国体新見市実行委員会事務局"</f>
        <v>晴れの国おかやま国体新見市実行委員会事務局</v>
      </c>
      <c r="E2560" t="str">
        <f>"ハレノクニオカヤマコクタイニイミシジッコウイインカイジムキョク"</f>
        <v>ハレノクニオカヤマコクタイニイミシジッコウイインカイジムキョク</v>
      </c>
      <c r="F2560" t="str">
        <f>"新見"</f>
        <v>新見</v>
      </c>
      <c r="G2560" t="str">
        <f>"年３回刊"</f>
        <v>年３回刊</v>
      </c>
      <c r="H2560" t="str">
        <f>"2002222301144"</f>
        <v>2002222301144</v>
      </c>
      <c r="I2560" t="str">
        <f>HYPERLINK("#", "https://opac.libnet.pref.okayama.jp/licsxp-opac/WOpacMsgNewListToTifTilDetailAction.do?tilcod=2002222301144")</f>
        <v>https://opac.libnet.pref.okayama.jp/licsxp-opac/WOpacMsgNewListToTifTilDetailAction.do?tilcod=2002222301144</v>
      </c>
    </row>
    <row r="2561" spans="1:9" x14ac:dyDescent="0.4">
      <c r="A2561" t="str">
        <f>"国体ニュース；晴れの国おかやま国体　玉野市実行委員会だより"</f>
        <v>国体ニュース；晴れの国おかやま国体　玉野市実行委員会だより</v>
      </c>
      <c r="B2561" s="1" t="str">
        <f t="shared" si="142"/>
        <v>国体ニュース；晴れの国おかやま国体　玉野市実行委員会だより</v>
      </c>
      <c r="C2561" t="str">
        <f>"コクタイ　ニュース　ハレ　ノ　クニ　オカヤマ　コクタイ　タマノシ　ジッコウ　イインカイ　ダヨリ"</f>
        <v>コクタイ　ニュース　ハレ　ノ　クニ　オカヤマ　コクタイ　タマノシ　ジッコウ　イインカイ　ダヨリ</v>
      </c>
      <c r="D2561" t="str">
        <f>"玉野市国体局"</f>
        <v>玉野市国体局</v>
      </c>
      <c r="E2561" t="str">
        <f>"タマノシコクタイキョク"</f>
        <v>タマノシコクタイキョク</v>
      </c>
      <c r="F2561" t="str">
        <f>""</f>
        <v/>
      </c>
      <c r="G2561" t="str">
        <f>"頻度不明"</f>
        <v>頻度不明</v>
      </c>
      <c r="H2561" t="str">
        <f>"2002222285641"</f>
        <v>2002222285641</v>
      </c>
      <c r="I2561" t="str">
        <f>HYPERLINK("#", "https://opac.libnet.pref.okayama.jp/licsxp-opac/WOpacMsgNewListToTifTilDetailAction.do?tilcod=2002222285641")</f>
        <v>https://opac.libnet.pref.okayama.jp/licsxp-opac/WOpacMsgNewListToTifTilDetailAction.do?tilcod=2002222285641</v>
      </c>
    </row>
    <row r="2562" spans="1:9" x14ac:dyDescent="0.4">
      <c r="A2562" t="str">
        <f>"黒板"</f>
        <v>黒板</v>
      </c>
      <c r="B2562" s="1" t="str">
        <f t="shared" si="142"/>
        <v>黒板</v>
      </c>
      <c r="C2562" t="str">
        <f>"コクバン"</f>
        <v>コクバン</v>
      </c>
      <c r="D2562" t="str">
        <f>"電通現代詩サークル"</f>
        <v>電通現代詩サークル</v>
      </c>
      <c r="E2562" t="str">
        <f>"デンツウゲンダイシサークル"</f>
        <v>デンツウゲンダイシサークル</v>
      </c>
      <c r="F2562" t="str">
        <f>""</f>
        <v/>
      </c>
      <c r="G2562" t="str">
        <f>"頻度不明"</f>
        <v>頻度不明</v>
      </c>
      <c r="H2562" t="str">
        <f>"2002222280713"</f>
        <v>2002222280713</v>
      </c>
      <c r="I2562" t="str">
        <f>HYPERLINK("#", "https://opac.libnet.pref.okayama.jp/licsxp-opac/WOpacMsgNewListToTifTilDetailAction.do?tilcod=2002222280713")</f>
        <v>https://opac.libnet.pref.okayama.jp/licsxp-opac/WOpacMsgNewListToTifTilDetailAction.do?tilcod=2002222280713</v>
      </c>
    </row>
    <row r="2563" spans="1:9" x14ac:dyDescent="0.4">
      <c r="A2563" t="str">
        <f>"国婦の友"</f>
        <v>国婦の友</v>
      </c>
      <c r="B2563" s="1" t="str">
        <f t="shared" si="142"/>
        <v>国婦の友</v>
      </c>
      <c r="C2563" t="str">
        <f>"コクフ ノ トモ"</f>
        <v>コクフ ノ トモ</v>
      </c>
      <c r="D2563" t="str">
        <f>"大日本国防婦人会岡山県本部"</f>
        <v>大日本国防婦人会岡山県本部</v>
      </c>
      <c r="E2563" t="str">
        <f>"ダイニホン コクボウ フジンカイ オカヤマケン ホンブ"</f>
        <v>ダイニホン コクボウ フジンカイ オカヤマケン ホンブ</v>
      </c>
      <c r="F2563" t="str">
        <f>"岡山"</f>
        <v>岡山</v>
      </c>
      <c r="G2563" t="str">
        <f>"頻度不明"</f>
        <v>頻度不明</v>
      </c>
      <c r="H2563" t="str">
        <f>"2002222332547"</f>
        <v>2002222332547</v>
      </c>
      <c r="I2563" t="str">
        <f>HYPERLINK("#", "https://opac.libnet.pref.okayama.jp/licsxp-opac/WOpacMsgNewListToTifTilDetailAction.do?tilcod=2002222332547")</f>
        <v>https://opac.libnet.pref.okayama.jp/licsxp-opac/WOpacMsgNewListToTifTilDetailAction.do?tilcod=2002222332547</v>
      </c>
    </row>
    <row r="2564" spans="1:9" x14ac:dyDescent="0.4">
      <c r="A2564" t="str">
        <f>"こくほ岡山"</f>
        <v>こくほ岡山</v>
      </c>
      <c r="B2564" s="1" t="str">
        <f t="shared" ref="B2564:B2627" si="145">HYPERLINK("#", A2564)</f>
        <v>こくほ岡山</v>
      </c>
      <c r="C2564" t="str">
        <f>"コクホ　オカヤマ"</f>
        <v>コクホ　オカヤマ</v>
      </c>
      <c r="D2564" t="str">
        <f>"岡山県国民健康保険団体連合会"</f>
        <v>岡山県国民健康保険団体連合会</v>
      </c>
      <c r="E2564" t="str">
        <f>"オカヤマケンコクミンケンコウホケンダンタイレンゴウカイ"</f>
        <v>オカヤマケンコクミンケンコウホケンダンタイレンゴウカイ</v>
      </c>
      <c r="F2564" t="str">
        <f>"岡山"</f>
        <v>岡山</v>
      </c>
      <c r="G2564" t="str">
        <f>"月刊"</f>
        <v>月刊</v>
      </c>
      <c r="H2564" t="str">
        <f>"2002222300875"</f>
        <v>2002222300875</v>
      </c>
      <c r="I2564" t="str">
        <f>HYPERLINK("#", "https://opac.libnet.pref.okayama.jp/licsxp-opac/WOpacMsgNewListToTifTilDetailAction.do?tilcod=2002222300875")</f>
        <v>https://opac.libnet.pref.okayama.jp/licsxp-opac/WOpacMsgNewListToTifTilDetailAction.do?tilcod=2002222300875</v>
      </c>
    </row>
    <row r="2565" spans="1:9" x14ac:dyDescent="0.4">
      <c r="A2565" t="str">
        <f>"国保通信"</f>
        <v>国保通信</v>
      </c>
      <c r="B2565" s="1" t="str">
        <f t="shared" si="145"/>
        <v>国保通信</v>
      </c>
      <c r="C2565" t="str">
        <f>"コクホ　ツウシン"</f>
        <v>コクホ　ツウシン</v>
      </c>
      <c r="D2565" t="str">
        <f>"岡山県国民健康保険組合連合会"</f>
        <v>岡山県国民健康保険組合連合会</v>
      </c>
      <c r="E2565" t="str">
        <f>"オカヤマケンコクミンケンコウホケンクミアイレンゴウカイ"</f>
        <v>オカヤマケンコクミンケンコウホケンクミアイレンゴウカイ</v>
      </c>
      <c r="F2565" t="str">
        <f>""</f>
        <v/>
      </c>
      <c r="G2565" t="str">
        <f>"頻度不明"</f>
        <v>頻度不明</v>
      </c>
      <c r="H2565" t="str">
        <f>"2002222280723"</f>
        <v>2002222280723</v>
      </c>
      <c r="I2565" t="str">
        <f>HYPERLINK("#", "https://opac.libnet.pref.okayama.jp/licsxp-opac/WOpacMsgNewListToTifTilDetailAction.do?tilcod=2002222280723")</f>
        <v>https://opac.libnet.pref.okayama.jp/licsxp-opac/WOpacMsgNewListToTifTilDetailAction.do?tilcod=2002222280723</v>
      </c>
    </row>
    <row r="2566" spans="1:9" x14ac:dyDescent="0.4">
      <c r="A2566" t="str">
        <f>"国民年金友の会会報"</f>
        <v>国民年金友の会会報</v>
      </c>
      <c r="B2566" s="1" t="str">
        <f t="shared" si="145"/>
        <v>国民年金友の会会報</v>
      </c>
      <c r="C2566" t="str">
        <f>"コクミン　ネンキン　トモ　ノ　カイ　カイホウ"</f>
        <v>コクミン　ネンキン　トモ　ノ　カイ　カイホウ</v>
      </c>
      <c r="D2566" t="str">
        <f>"岡山県国民年金友の会"</f>
        <v>岡山県国民年金友の会</v>
      </c>
      <c r="E2566" t="str">
        <f>"オカヤマケンコクミンネンキントモノカイ"</f>
        <v>オカヤマケンコクミンネンキントモノカイ</v>
      </c>
      <c r="F2566" t="str">
        <f>""</f>
        <v/>
      </c>
      <c r="G2566" t="str">
        <f>"月刊"</f>
        <v>月刊</v>
      </c>
      <c r="H2566" t="str">
        <f>"2002222280733"</f>
        <v>2002222280733</v>
      </c>
      <c r="I2566" t="str">
        <f>HYPERLINK("#", "https://opac.libnet.pref.okayama.jp/licsxp-opac/WOpacMsgNewListToTifTilDetailAction.do?tilcod=2002222280733")</f>
        <v>https://opac.libnet.pref.okayama.jp/licsxp-opac/WOpacMsgNewListToTifTilDetailAction.do?tilcod=2002222280733</v>
      </c>
    </row>
    <row r="2567" spans="1:9" x14ac:dyDescent="0.4">
      <c r="A2567" t="str">
        <f>"穀物月報"</f>
        <v>穀物月報</v>
      </c>
      <c r="B2567" s="1" t="str">
        <f t="shared" si="145"/>
        <v>穀物月報</v>
      </c>
      <c r="C2567" t="str">
        <f>"コクモツ ゲッポウ"</f>
        <v>コクモツ ゲッポウ</v>
      </c>
      <c r="D2567" t="str">
        <f>"岡山県穀物同業組合"</f>
        <v>岡山県穀物同業組合</v>
      </c>
      <c r="E2567" t="str">
        <f>"オカヤマケン コクモツ ドウギョウ クミアイ"</f>
        <v>オカヤマケン コクモツ ドウギョウ クミアイ</v>
      </c>
      <c r="F2567" t="str">
        <f>"岡山"</f>
        <v>岡山</v>
      </c>
      <c r="G2567" t="str">
        <f>"月刊"</f>
        <v>月刊</v>
      </c>
      <c r="H2567" t="str">
        <f>"2002222332826"</f>
        <v>2002222332826</v>
      </c>
      <c r="I2567" t="str">
        <f>HYPERLINK("#", "https://opac.libnet.pref.okayama.jp/licsxp-opac/WOpacMsgNewListToTifTilDetailAction.do?tilcod=2002222332826")</f>
        <v>https://opac.libnet.pref.okayama.jp/licsxp-opac/WOpacMsgNewListToTifTilDetailAction.do?tilcod=2002222332826</v>
      </c>
    </row>
    <row r="2568" spans="1:9" x14ac:dyDescent="0.4">
      <c r="A2568" t="str">
        <f>"[国立児島海員学校]学校要覧"</f>
        <v>[国立児島海員学校]学校要覧</v>
      </c>
      <c r="B2568" s="1" t="str">
        <f t="shared" si="145"/>
        <v>[国立児島海員学校]学校要覧</v>
      </c>
      <c r="C2568" t="str">
        <f>"コクリツ コジマ カイイン ガッコウ ガッコウ ヨウラン"</f>
        <v>コクリツ コジマ カイイン ガッコウ ガッコウ ヨウラン</v>
      </c>
      <c r="D2568" t="str">
        <f>"児島海員学校"</f>
        <v>児島海員学校</v>
      </c>
      <c r="E2568" t="str">
        <f>"コジマカイイン　ガッコウ"</f>
        <v>コジマカイイン　ガッコウ</v>
      </c>
      <c r="F2568" t="str">
        <f>"倉敷"</f>
        <v>倉敷</v>
      </c>
      <c r="G2568" t="str">
        <f>"年刊"</f>
        <v>年刊</v>
      </c>
      <c r="H2568" t="str">
        <f>"2002222336672"</f>
        <v>2002222336672</v>
      </c>
      <c r="I2568" t="str">
        <f>HYPERLINK("#", "https://opac.libnet.pref.okayama.jp/licsxp-opac/WOpacMsgNewListToTifTilDetailAction.do?tilcod=2002222336672")</f>
        <v>https://opac.libnet.pref.okayama.jp/licsxp-opac/WOpacMsgNewListToTifTilDetailAction.do?tilcod=2002222336672</v>
      </c>
    </row>
    <row r="2569" spans="1:9" x14ac:dyDescent="0.4">
      <c r="A2569" t="str">
        <f>"国立病院機構南岡山医療センター(旧 国立療養所南岡山病院)臨床研究部研究業績集"</f>
        <v>国立病院機構南岡山医療センター(旧 国立療養所南岡山病院)臨床研究部研究業績集</v>
      </c>
      <c r="B2569" s="1" t="str">
        <f t="shared" si="145"/>
        <v>国立病院機構南岡山医療センター(旧 国立療養所南岡山病院)臨床研究部研究業績集</v>
      </c>
      <c r="C2569" t="str">
        <f>"コクリツ ビョウイン キコウ ミナミオカヤマ イリョウ センター キュウ コクリツ リョウヨウジョ ミナミオカヤマ ビョウイン リンショウケンキュウブ ケンキュウ ギョウキシュウ"</f>
        <v>コクリツ ビョウイン キコウ ミナミオカヤマ イリョウ センター キュウ コクリツ リョウヨウジョ ミナミオカヤマ ビョウイン リンショウケンキュウブ ケンキュウ ギョウキシュウ</v>
      </c>
      <c r="D2569" t="str">
        <f>"国立病院機構南岡山医療センター"</f>
        <v>国立病院機構南岡山医療センター</v>
      </c>
      <c r="E2569" t="str">
        <f>"コクリツ ビョウイン キコウ ミナミ オカヤマ イリョウ センター"</f>
        <v>コクリツ ビョウイン キコウ ミナミ オカヤマ イリョウ センター</v>
      </c>
      <c r="F2569" t="str">
        <f>"早島町(都窪郡)"</f>
        <v>早島町(都窪郡)</v>
      </c>
      <c r="G2569" t="str">
        <f>"年刊"</f>
        <v>年刊</v>
      </c>
      <c r="H2569" t="str">
        <f>"2002222312766"</f>
        <v>2002222312766</v>
      </c>
      <c r="I2569" t="str">
        <f>HYPERLINK("#", "https://opac.libnet.pref.okayama.jp/licsxp-opac/WOpacMsgNewListToTifTilDetailAction.do?tilcod=2002222312766")</f>
        <v>https://opac.libnet.pref.okayama.jp/licsxp-opac/WOpacMsgNewListToTifTilDetailAction.do?tilcod=2002222312766</v>
      </c>
    </row>
    <row r="2570" spans="1:9" x14ac:dyDescent="0.4">
      <c r="A2570" t="str">
        <f>"国立療養所南岡山病院臨床研究部研究業績集"</f>
        <v>国立療養所南岡山病院臨床研究部研究業績集</v>
      </c>
      <c r="B2570" s="1" t="str">
        <f t="shared" si="145"/>
        <v>国立療養所南岡山病院臨床研究部研究業績集</v>
      </c>
      <c r="C2570" t="str">
        <f>"コクリツ リョウヨウジョ ミナミオカヤマ ビョウイン リンショウケンキュウブ ケンキュウ ギョウセキシュウ"</f>
        <v>コクリツ リョウヨウジョ ミナミオカヤマ ビョウイン リンショウケンキュウブ ケンキュウ ギョウセキシュウ</v>
      </c>
      <c r="D2570" t="str">
        <f>"国立療養所南岡山病院"</f>
        <v>国立療養所南岡山病院</v>
      </c>
      <c r="E2570" t="str">
        <f>"コクリツ リョウヨウジョ ミナミ オカヤマ ビョウイン"</f>
        <v>コクリツ リョウヨウジョ ミナミ オカヤマ ビョウイン</v>
      </c>
      <c r="F2570" t="str">
        <f>"早島町(都窪郡)"</f>
        <v>早島町(都窪郡)</v>
      </c>
      <c r="G2570" t="str">
        <f>"年刊"</f>
        <v>年刊</v>
      </c>
      <c r="H2570" t="str">
        <f>"2002222312767"</f>
        <v>2002222312767</v>
      </c>
      <c r="I2570" t="str">
        <f>HYPERLINK("#", "https://opac.libnet.pref.okayama.jp/licsxp-opac/WOpacMsgNewListToTifTilDetailAction.do?tilcod=2002222312767")</f>
        <v>https://opac.libnet.pref.okayama.jp/licsxp-opac/WOpacMsgNewListToTifTilDetailAction.do?tilcod=2002222312767</v>
      </c>
    </row>
    <row r="2571" spans="1:9" x14ac:dyDescent="0.4">
      <c r="A2571" t="str">
        <f>"児高だより"</f>
        <v>児高だより</v>
      </c>
      <c r="B2571" s="1" t="str">
        <f t="shared" si="145"/>
        <v>児高だより</v>
      </c>
      <c r="C2571" t="str">
        <f>"ココウ　ダヨリ"</f>
        <v>ココウ　ダヨリ</v>
      </c>
      <c r="D2571" t="str">
        <f>"児島高等学校"</f>
        <v>児島高等学校</v>
      </c>
      <c r="E2571" t="str">
        <f>"コジマコウトウガッコウ"</f>
        <v>コジマコウトウガッコウ</v>
      </c>
      <c r="F2571" t="str">
        <f>"倉敷"</f>
        <v>倉敷</v>
      </c>
      <c r="G2571" t="str">
        <f>"頻度不明"</f>
        <v>頻度不明</v>
      </c>
      <c r="H2571" t="str">
        <f>"2002222301424"</f>
        <v>2002222301424</v>
      </c>
      <c r="I2571" t="str">
        <f>HYPERLINK("#", "https://opac.libnet.pref.okayama.jp/licsxp-opac/WOpacMsgNewListToTifTilDetailAction.do?tilcod=2002222301424")</f>
        <v>https://opac.libnet.pref.okayama.jp/licsxp-opac/WOpacMsgNewListToTifTilDetailAction.do?tilcod=2002222301424</v>
      </c>
    </row>
    <row r="2572" spans="1:9" x14ac:dyDescent="0.4">
      <c r="A2572" t="str">
        <f>"児高図書館報"</f>
        <v>児高図書館報</v>
      </c>
      <c r="B2572" s="1" t="str">
        <f t="shared" si="145"/>
        <v>児高図書館報</v>
      </c>
      <c r="C2572" t="str">
        <f>"ココウ　トショカンホウ"</f>
        <v>ココウ　トショカンホウ</v>
      </c>
      <c r="D2572" t="str">
        <f>"児島高等学校図書文化課"</f>
        <v>児島高等学校図書文化課</v>
      </c>
      <c r="E2572" t="str">
        <f>"コジマコウトウガッコウトショブンカカ"</f>
        <v>コジマコウトウガッコウトショブンカカ</v>
      </c>
      <c r="F2572" t="str">
        <f>"倉敷"</f>
        <v>倉敷</v>
      </c>
      <c r="G2572" t="str">
        <f>"年刊"</f>
        <v>年刊</v>
      </c>
      <c r="H2572" t="str">
        <f>"2002222301654"</f>
        <v>2002222301654</v>
      </c>
      <c r="I2572" t="str">
        <f>HYPERLINK("#", "https://opac.libnet.pref.okayama.jp/licsxp-opac/WOpacMsgNewListToTifTilDetailAction.do?tilcod=2002222301654")</f>
        <v>https://opac.libnet.pref.okayama.jp/licsxp-opac/WOpacMsgNewListToTifTilDetailAction.do?tilcod=2002222301654</v>
      </c>
    </row>
    <row r="2573" spans="1:9" x14ac:dyDescent="0.4">
      <c r="A2573" t="str">
        <f>"心の叫び"</f>
        <v>心の叫び</v>
      </c>
      <c r="B2573" s="1" t="str">
        <f t="shared" si="145"/>
        <v>心の叫び</v>
      </c>
      <c r="C2573" t="str">
        <f>"ココロ　ノ　サケビ"</f>
        <v>ココロ　ノ　サケビ</v>
      </c>
      <c r="D2573" t="str">
        <f>"川崎誠治"</f>
        <v>川崎誠治</v>
      </c>
      <c r="E2573" t="str">
        <f>"カワサキセイジ"</f>
        <v>カワサキセイジ</v>
      </c>
      <c r="F2573" t="str">
        <f>"笠岡"</f>
        <v>笠岡</v>
      </c>
      <c r="G2573" t="str">
        <f>"月刊"</f>
        <v>月刊</v>
      </c>
      <c r="H2573" t="str">
        <f>"2002222282171"</f>
        <v>2002222282171</v>
      </c>
      <c r="I2573" t="str">
        <f>HYPERLINK("#", "https://opac.libnet.pref.okayama.jp/licsxp-opac/WOpacMsgNewListToTifTilDetailAction.do?tilcod=2002222282171")</f>
        <v>https://opac.libnet.pref.okayama.jp/licsxp-opac/WOpacMsgNewListToTifTilDetailAction.do?tilcod=2002222282171</v>
      </c>
    </row>
    <row r="2574" spans="1:9" x14ac:dyDescent="0.4">
      <c r="A2574" t="str">
        <f>"心の華"</f>
        <v>心の華</v>
      </c>
      <c r="B2574" s="1" t="str">
        <f t="shared" si="145"/>
        <v>心の華</v>
      </c>
      <c r="C2574" t="str">
        <f>"ココロ　ノ　ハナ"</f>
        <v>ココロ　ノ　ハナ</v>
      </c>
      <c r="D2574" t="str">
        <f>"長船町老人クラブ連合会文芸部"</f>
        <v>長船町老人クラブ連合会文芸部</v>
      </c>
      <c r="E2574" t="str">
        <f>"オサフネチョウロウジンクラブレンゴウカイブンゲイブ"</f>
        <v>オサフネチョウロウジンクラブレンゴウカイブンゲイブ</v>
      </c>
      <c r="F2574" t="str">
        <f>"長船町（邑久郡）"</f>
        <v>長船町（邑久郡）</v>
      </c>
      <c r="G2574" t="str">
        <f>"頻度不明"</f>
        <v>頻度不明</v>
      </c>
      <c r="H2574" t="str">
        <f>"2002222280743"</f>
        <v>2002222280743</v>
      </c>
      <c r="I2574" t="str">
        <f>HYPERLINK("#", "https://opac.libnet.pref.okayama.jp/licsxp-opac/WOpacMsgNewListToTifTilDetailAction.do?tilcod=2002222280743")</f>
        <v>https://opac.libnet.pref.okayama.jp/licsxp-opac/WOpacMsgNewListToTifTilDetailAction.do?tilcod=2002222280743</v>
      </c>
    </row>
    <row r="2575" spans="1:9" x14ac:dyDescent="0.4">
      <c r="A2575" t="str">
        <f>"児島高等学校学校案内"</f>
        <v>児島高等学校学校案内</v>
      </c>
      <c r="B2575" s="1" t="str">
        <f t="shared" si="145"/>
        <v>児島高等学校学校案内</v>
      </c>
      <c r="C2575" t="str">
        <f>"コジマ　コウトウ　ガッコウ　ガッコウ　アンナイ"</f>
        <v>コジマ　コウトウ　ガッコウ　ガッコウ　アンナイ</v>
      </c>
      <c r="D2575" t="str">
        <f>"児島高等学校"</f>
        <v>児島高等学校</v>
      </c>
      <c r="E2575" t="str">
        <f>"コジマコウトウガッコウ"</f>
        <v>コジマコウトウガッコウ</v>
      </c>
      <c r="F2575" t="str">
        <f>"倉敷"</f>
        <v>倉敷</v>
      </c>
      <c r="G2575" t="str">
        <f>"年刊"</f>
        <v>年刊</v>
      </c>
      <c r="H2575" t="str">
        <f>"2002222301243"</f>
        <v>2002222301243</v>
      </c>
      <c r="I2575" t="str">
        <f>HYPERLINK("#", "https://opac.libnet.pref.okayama.jp/licsxp-opac/WOpacMsgNewListToTifTilDetailAction.do?tilcod=2002222301243")</f>
        <v>https://opac.libnet.pref.okayama.jp/licsxp-opac/WOpacMsgNewListToTifTilDetailAction.do?tilcod=2002222301243</v>
      </c>
    </row>
    <row r="2576" spans="1:9" x14ac:dyDescent="0.4">
      <c r="A2576" t="str">
        <f>"児島高等学校学校要覧"</f>
        <v>児島高等学校学校要覧</v>
      </c>
      <c r="B2576" s="1" t="str">
        <f t="shared" si="145"/>
        <v>児島高等学校学校要覧</v>
      </c>
      <c r="C2576" t="str">
        <f>"コジマ　コウトウ　ガッコウ　ガッコウ　ヨウラン"</f>
        <v>コジマ　コウトウ　ガッコウ　ガッコウ　ヨウラン</v>
      </c>
      <c r="D2576" t="str">
        <f>"児島高等学校"</f>
        <v>児島高等学校</v>
      </c>
      <c r="E2576" t="str">
        <f>""</f>
        <v/>
      </c>
      <c r="F2576" t="str">
        <f>"倉敷"</f>
        <v>倉敷</v>
      </c>
      <c r="G2576" t="str">
        <f>"年刊"</f>
        <v>年刊</v>
      </c>
      <c r="H2576" t="str">
        <f>"2002222300499"</f>
        <v>2002222300499</v>
      </c>
      <c r="I2576" t="str">
        <f>HYPERLINK("#", "https://opac.libnet.pref.okayama.jp/licsxp-opac/WOpacMsgNewListToTifTilDetailAction.do?tilcod=2002222300499")</f>
        <v>https://opac.libnet.pref.okayama.jp/licsxp-opac/WOpacMsgNewListToTifTilDetailAction.do?tilcod=2002222300499</v>
      </c>
    </row>
    <row r="2577" spans="1:9" x14ac:dyDescent="0.4">
      <c r="A2577" t="str">
        <f>"〔児島高等学校〕児高新聞"</f>
        <v>〔児島高等学校〕児高新聞</v>
      </c>
      <c r="B2577" s="1" t="str">
        <f t="shared" si="145"/>
        <v>〔児島高等学校〕児高新聞</v>
      </c>
      <c r="C2577" t="str">
        <f>"コジマ　コウトウ　ガッコウ＊ココウ　シンブン"</f>
        <v>コジマ　コウトウ　ガッコウ＊ココウ　シンブン</v>
      </c>
      <c r="D2577" t="str">
        <f>"児島高等学校新聞部"</f>
        <v>児島高等学校新聞部</v>
      </c>
      <c r="E2577" t="str">
        <f>"コジマコウトウガッコウシンブンブ"</f>
        <v>コジマコウトウガッコウシンブンブ</v>
      </c>
      <c r="F2577" t="str">
        <f>"倉敷"</f>
        <v>倉敷</v>
      </c>
      <c r="G2577" t="str">
        <f>"頻度不明"</f>
        <v>頻度不明</v>
      </c>
      <c r="H2577" t="str">
        <f>"2002222301938"</f>
        <v>2002222301938</v>
      </c>
      <c r="I2577" t="str">
        <f>HYPERLINK("#", "https://opac.libnet.pref.okayama.jp/licsxp-opac/WOpacMsgNewListToTifTilDetailAction.do?tilcod=2002222301938")</f>
        <v>https://opac.libnet.pref.okayama.jp/licsxp-opac/WOpacMsgNewListToTifTilDetailAction.do?tilcod=2002222301938</v>
      </c>
    </row>
    <row r="2578" spans="1:9" x14ac:dyDescent="0.4">
      <c r="A2578" t="str">
        <f>"児島公論"</f>
        <v>児島公論</v>
      </c>
      <c r="B2578" s="1" t="str">
        <f t="shared" si="145"/>
        <v>児島公論</v>
      </c>
      <c r="C2578" t="str">
        <f>"コジマ コウロン"</f>
        <v>コジマ コウロン</v>
      </c>
      <c r="D2578" t="str">
        <f>"児島公論社"</f>
        <v>児島公論社</v>
      </c>
      <c r="E2578" t="str">
        <f>"コジマ コウロンシャ"</f>
        <v>コジマ コウロンシャ</v>
      </c>
      <c r="F2578" t="str">
        <f>"味野町(児島郡)"</f>
        <v>味野町(児島郡)</v>
      </c>
      <c r="G2578" t="str">
        <f>"頻度不明"</f>
        <v>頻度不明</v>
      </c>
      <c r="H2578" t="str">
        <f>"2002222337030"</f>
        <v>2002222337030</v>
      </c>
      <c r="I2578" t="str">
        <f>HYPERLINK("#", "https://opac.libnet.pref.okayama.jp/licsxp-opac/WOpacMsgNewListToTifTilDetailAction.do?tilcod=2002222337030")</f>
        <v>https://opac.libnet.pref.okayama.jp/licsxp-opac/WOpacMsgNewListToTifTilDetailAction.do?tilcod=2002222337030</v>
      </c>
    </row>
    <row r="2579" spans="1:9" x14ac:dyDescent="0.4">
      <c r="A2579" t="str">
        <f>"児島市民交流センター；センターだより"</f>
        <v>児島市民交流センター；センターだより</v>
      </c>
      <c r="B2579" s="1" t="str">
        <f t="shared" si="145"/>
        <v>児島市民交流センター；センターだより</v>
      </c>
      <c r="C2579" t="str">
        <f>"コジマ シミン コウリュウ センター＊センター ダヨリ "</f>
        <v xml:space="preserve">コジマ シミン コウリュウ センター＊センター ダヨリ </v>
      </c>
      <c r="D2579" t="str">
        <f>"児島市民交流センター"</f>
        <v>児島市民交流センター</v>
      </c>
      <c r="E2579" t="str">
        <f>"コジマ シミン コウリュウ センター"</f>
        <v>コジマ シミン コウリュウ センター</v>
      </c>
      <c r="F2579" t="str">
        <f>"倉敷"</f>
        <v>倉敷</v>
      </c>
      <c r="G2579" t="str">
        <f>"季刊"</f>
        <v>季刊</v>
      </c>
      <c r="H2579" t="str">
        <f>"2002222331430"</f>
        <v>2002222331430</v>
      </c>
      <c r="I2579" t="str">
        <f>HYPERLINK("#", "https://opac.libnet.pref.okayama.jp/licsxp-opac/WOpacMsgNewListToTifTilDetailAction.do?tilcod=2002222331430")</f>
        <v>https://opac.libnet.pref.okayama.jp/licsxp-opac/WOpacMsgNewListToTifTilDetailAction.do?tilcod=2002222331430</v>
      </c>
    </row>
    <row r="2580" spans="1:9" x14ac:dyDescent="0.4">
      <c r="A2580" t="str">
        <f>"〔児島商工会議所〕所報"</f>
        <v>〔児島商工会議所〕所報</v>
      </c>
      <c r="B2580" s="1" t="str">
        <f t="shared" si="145"/>
        <v>〔児島商工会議所〕所報</v>
      </c>
      <c r="C2580" t="str">
        <f>"コジマ　ショウコウ　カイギショ　ショホウ"</f>
        <v>コジマ　ショウコウ　カイギショ　ショホウ</v>
      </c>
      <c r="D2580" t="str">
        <f>"児島商工会議所"</f>
        <v>児島商工会議所</v>
      </c>
      <c r="E2580" t="str">
        <f>"コジマ ショウコウ カイギショ"</f>
        <v>コジマ ショウコウ カイギショ</v>
      </c>
      <c r="F2580" t="str">
        <f>"倉敷"</f>
        <v>倉敷</v>
      </c>
      <c r="G2580" t="str">
        <f>"頻度不明"</f>
        <v>頻度不明</v>
      </c>
      <c r="H2580" t="str">
        <f>"2002222280753"</f>
        <v>2002222280753</v>
      </c>
      <c r="I2580" t="str">
        <f>HYPERLINK("#", "https://opac.libnet.pref.okayama.jp/licsxp-opac/WOpacMsgNewListToTifTilDetailAction.do?tilcod=2002222280753")</f>
        <v>https://opac.libnet.pref.okayama.jp/licsxp-opac/WOpacMsgNewListToTifTilDetailAction.do?tilcod=2002222280753</v>
      </c>
    </row>
    <row r="2581" spans="1:9" x14ac:dyDescent="0.4">
      <c r="A2581" t="str">
        <f>"児島商工会議所だより"</f>
        <v>児島商工会議所だより</v>
      </c>
      <c r="B2581" s="1" t="str">
        <f t="shared" si="145"/>
        <v>児島商工会議所だより</v>
      </c>
      <c r="C2581" t="str">
        <f>"コジマ ショウコウ カイギショ ダヨリ"</f>
        <v>コジマ ショウコウ カイギショ ダヨリ</v>
      </c>
      <c r="D2581" t="str">
        <f>"児島商工会議所"</f>
        <v>児島商工会議所</v>
      </c>
      <c r="E2581" t="str">
        <f>"コジマ ショウコウ カイギショ"</f>
        <v>コジマ ショウコウ カイギショ</v>
      </c>
      <c r="F2581" t="str">
        <f>"倉敷"</f>
        <v>倉敷</v>
      </c>
      <c r="G2581" t="str">
        <f>"月刊"</f>
        <v>月刊</v>
      </c>
      <c r="H2581" t="str">
        <f>"2002222336388"</f>
        <v>2002222336388</v>
      </c>
      <c r="I2581" t="str">
        <f>HYPERLINK("#", "https://opac.libnet.pref.okayama.jp/licsxp-opac/WOpacMsgNewListToTifTilDetailAction.do?tilcod=2002222336388")</f>
        <v>https://opac.libnet.pref.okayama.jp/licsxp-opac/WOpacMsgNewListToTifTilDetailAction.do?tilcod=2002222336388</v>
      </c>
    </row>
    <row r="2582" spans="1:9" x14ac:dyDescent="0.4">
      <c r="A2582" t="str">
        <f>"児島郡教育会報"</f>
        <v>児島郡教育会報</v>
      </c>
      <c r="B2582" s="1" t="str">
        <f t="shared" si="145"/>
        <v>児島郡教育会報</v>
      </c>
      <c r="C2582" t="str">
        <f>"コジマグン　キョウイク　カイホウ"</f>
        <v>コジマグン　キョウイク　カイホウ</v>
      </c>
      <c r="D2582" t="str">
        <f>"児島郡教育会"</f>
        <v>児島郡教育会</v>
      </c>
      <c r="E2582" t="str">
        <f>"コジマグン キョウイクカイ"</f>
        <v>コジマグン キョウイクカイ</v>
      </c>
      <c r="F2582" t="str">
        <f>"〔味野町（児島郡）〕"</f>
        <v>〔味野町（児島郡）〕</v>
      </c>
      <c r="G2582" t="str">
        <f>"頻度不明"</f>
        <v>頻度不明</v>
      </c>
      <c r="H2582" t="str">
        <f>"2002222301516"</f>
        <v>2002222301516</v>
      </c>
      <c r="I2582" t="str">
        <f>HYPERLINK("#", "https://opac.libnet.pref.okayama.jp/licsxp-opac/WOpacMsgNewListToTifTilDetailAction.do?tilcod=2002222301516")</f>
        <v>https://opac.libnet.pref.okayama.jp/licsxp-opac/WOpacMsgNewListToTifTilDetailAction.do?tilcod=2002222301516</v>
      </c>
    </row>
    <row r="2583" spans="1:9" x14ac:dyDescent="0.4">
      <c r="A2583" t="str">
        <f>"児島湖新聞"</f>
        <v>児島湖新聞</v>
      </c>
      <c r="B2583" s="1" t="str">
        <f t="shared" si="145"/>
        <v>児島湖新聞</v>
      </c>
      <c r="C2583" t="str">
        <f>"コジマコ　シンブン"</f>
        <v>コジマコ　シンブン</v>
      </c>
      <c r="D2583" t="str">
        <f>"児島湾土地改良区"</f>
        <v>児島湾土地改良区</v>
      </c>
      <c r="E2583" t="str">
        <f>"コジマワン トチ カイリョウク"</f>
        <v>コジマワン トチ カイリョウク</v>
      </c>
      <c r="F2583" t="str">
        <f>"岡山"</f>
        <v>岡山</v>
      </c>
      <c r="G2583" t="str">
        <f>"頻度不明"</f>
        <v>頻度不明</v>
      </c>
      <c r="H2583" t="str">
        <f>"2002222300876"</f>
        <v>2002222300876</v>
      </c>
      <c r="I2583" t="str">
        <f>HYPERLINK("#", "https://opac.libnet.pref.okayama.jp/licsxp-opac/WOpacMsgNewListToTifTilDetailAction.do?tilcod=2002222300876")</f>
        <v>https://opac.libnet.pref.okayama.jp/licsxp-opac/WOpacMsgNewListToTifTilDetailAction.do?tilcod=2002222300876</v>
      </c>
    </row>
    <row r="2584" spans="1:9" x14ac:dyDescent="0.4">
      <c r="A2584" t="str">
        <f>"児島湖石けん運動レポート"</f>
        <v>児島湖石けん運動レポート</v>
      </c>
      <c r="B2584" s="1" t="str">
        <f t="shared" si="145"/>
        <v>児島湖石けん運動レポート</v>
      </c>
      <c r="C2584" t="str">
        <f>"コジマコ セッケン ウンドウ レポート"</f>
        <v>コジマコ セッケン ウンドウ レポート</v>
      </c>
      <c r="D2584" t="str">
        <f>"児島湖21県民の会"</f>
        <v>児島湖21県民の会</v>
      </c>
      <c r="E2584" t="str">
        <f>"コジマコ ニジュウイチ ケンミン ノ カイ"</f>
        <v>コジマコ ニジュウイチ ケンミン ノ カイ</v>
      </c>
      <c r="F2584" t="str">
        <f>"岡山"</f>
        <v>岡山</v>
      </c>
      <c r="G2584" t="str">
        <f>"月刊"</f>
        <v>月刊</v>
      </c>
      <c r="H2584" t="str">
        <f>"2002222343170"</f>
        <v>2002222343170</v>
      </c>
      <c r="I2584" t="str">
        <f>HYPERLINK("#", "https://opac.libnet.pref.okayama.jp/licsxp-opac/WOpacMsgNewListToTifTilDetailAction.do?tilcod=2002222343170")</f>
        <v>https://opac.libnet.pref.okayama.jp/licsxp-opac/WOpacMsgNewListToTifTilDetailAction.do?tilcod=2002222343170</v>
      </c>
    </row>
    <row r="2585" spans="1:9" x14ac:dyDescent="0.4">
      <c r="A2585" t="str">
        <f>"児島湖21県民の会会報"</f>
        <v>児島湖21県民の会会報</v>
      </c>
      <c r="B2585" s="1" t="str">
        <f t="shared" si="145"/>
        <v>児島湖21県民の会会報</v>
      </c>
      <c r="C2585" t="str">
        <f>"コジマコ ニジュウイチ ケンミン ノ カイ カイホウ"</f>
        <v>コジマコ ニジュウイチ ケンミン ノ カイ カイホウ</v>
      </c>
      <c r="D2585" t="str">
        <f>"児島湖21県民の会"</f>
        <v>児島湖21県民の会</v>
      </c>
      <c r="E2585" t="str">
        <f>"コジマコ ニジュウイチ ケンミン ノ カイ"</f>
        <v>コジマコ ニジュウイチ ケンミン ノ カイ</v>
      </c>
      <c r="F2585" t="str">
        <f>"岡山"</f>
        <v>岡山</v>
      </c>
      <c r="G2585" t="str">
        <f>"隔月刊"</f>
        <v>隔月刊</v>
      </c>
      <c r="H2585" t="str">
        <f>"2002222301551"</f>
        <v>2002222301551</v>
      </c>
      <c r="I2585" t="str">
        <f>HYPERLINK("#", "https://opac.libnet.pref.okayama.jp/licsxp-opac/WOpacMsgNewListToTifTilDetailAction.do?tilcod=2002222301551")</f>
        <v>https://opac.libnet.pref.okayama.jp/licsxp-opac/WOpacMsgNewListToTifTilDetailAction.do?tilcod=2002222301551</v>
      </c>
    </row>
    <row r="2586" spans="1:9" x14ac:dyDescent="0.4">
      <c r="A2586" t="str">
        <f>"児島市経済統計月報"</f>
        <v>児島市経済統計月報</v>
      </c>
      <c r="B2586" s="1" t="str">
        <f t="shared" si="145"/>
        <v>児島市経済統計月報</v>
      </c>
      <c r="C2586" t="str">
        <f>"コジマシ　ケイザイ　トウケイ　ゲッポウ"</f>
        <v>コジマシ　ケイザイ　トウケイ　ゲッポウ</v>
      </c>
      <c r="D2586" t="str">
        <f>"児島商工会議所"</f>
        <v>児島商工会議所</v>
      </c>
      <c r="E2586" t="str">
        <f>"コジマ ショウコウ カイギショ"</f>
        <v>コジマ ショウコウ カイギショ</v>
      </c>
      <c r="F2586" t="str">
        <f>"児島"</f>
        <v>児島</v>
      </c>
      <c r="G2586" t="str">
        <f>"月刊"</f>
        <v>月刊</v>
      </c>
      <c r="H2586" t="str">
        <f>"2002222301835"</f>
        <v>2002222301835</v>
      </c>
      <c r="I2586" t="str">
        <f>HYPERLINK("#", "https://opac.libnet.pref.okayama.jp/licsxp-opac/WOpacMsgNewListToTifTilDetailAction.do?tilcod=2002222301835")</f>
        <v>https://opac.libnet.pref.okayama.jp/licsxp-opac/WOpacMsgNewListToTifTilDetailAction.do?tilcod=2002222301835</v>
      </c>
    </row>
    <row r="2587" spans="1:9" x14ac:dyDescent="0.4">
      <c r="A2587" t="str">
        <f>"児島湾改良区だより"</f>
        <v>児島湾改良区だより</v>
      </c>
      <c r="B2587" s="1" t="str">
        <f t="shared" si="145"/>
        <v>児島湾改良区だより</v>
      </c>
      <c r="C2587" t="str">
        <f>"コジマワン カイリョク ダヨリ"</f>
        <v>コジマワン カイリョク ダヨリ</v>
      </c>
      <c r="D2587" t="str">
        <f>"児島湾土地改良区"</f>
        <v>児島湾土地改良区</v>
      </c>
      <c r="E2587" t="str">
        <f>"コジマワン トチ カイリョウク"</f>
        <v>コジマワン トチ カイリョウク</v>
      </c>
      <c r="F2587" t="str">
        <f>"岡山"</f>
        <v>岡山</v>
      </c>
      <c r="G2587" t="str">
        <f>"頻度不明"</f>
        <v>頻度不明</v>
      </c>
      <c r="H2587" t="str">
        <f>"2002222343171"</f>
        <v>2002222343171</v>
      </c>
      <c r="I2587" t="str">
        <f>HYPERLINK("#", "https://opac.libnet.pref.okayama.jp/licsxp-opac/WOpacMsgNewListToTifTilDetailAction.do?tilcod=2002222343171")</f>
        <v>https://opac.libnet.pref.okayama.jp/licsxp-opac/WOpacMsgNewListToTifTilDetailAction.do?tilcod=2002222343171</v>
      </c>
    </row>
    <row r="2588" spans="1:9" x14ac:dyDescent="0.4">
      <c r="A2588" t="str">
        <f>"古城"</f>
        <v>古城</v>
      </c>
      <c r="B2588" s="1" t="str">
        <f t="shared" si="145"/>
        <v>古城</v>
      </c>
      <c r="C2588" t="str">
        <f>"コジョウ"</f>
        <v>コジョウ</v>
      </c>
      <c r="D2588" t="str">
        <f>"古城研究会"</f>
        <v>古城研究会</v>
      </c>
      <c r="E2588" t="str">
        <f>"コジョウケンキュウカイ"</f>
        <v>コジョウケンキュウカイ</v>
      </c>
      <c r="F2588" t="str">
        <f>"明石"</f>
        <v>明石</v>
      </c>
      <c r="G2588" t="str">
        <f>"月刊"</f>
        <v>月刊</v>
      </c>
      <c r="H2588" t="str">
        <f>"2002222284811"</f>
        <v>2002222284811</v>
      </c>
      <c r="I2588" t="str">
        <f>HYPERLINK("#", "https://opac.libnet.pref.okayama.jp/licsxp-opac/WOpacMsgNewListToTifTilDetailAction.do?tilcod=2002222284811")</f>
        <v>https://opac.libnet.pref.okayama.jp/licsxp-opac/WOpacMsgNewListToTifTilDetailAction.do?tilcod=2002222284811</v>
      </c>
    </row>
    <row r="2589" spans="1:9" x14ac:dyDescent="0.4">
      <c r="A2589" t="str">
        <f>"古城池高校のススメ"</f>
        <v>古城池高校のススメ</v>
      </c>
      <c r="B2589" s="1" t="str">
        <f t="shared" si="145"/>
        <v>古城池高校のススメ</v>
      </c>
      <c r="C2589" t="str">
        <f>"コジョウイケ　コウコウ　ノ　ススメ"</f>
        <v>コジョウイケ　コウコウ　ノ　ススメ</v>
      </c>
      <c r="D2589" t="str">
        <f>"倉敷古城池高等学校"</f>
        <v>倉敷古城池高等学校</v>
      </c>
      <c r="E2589" t="str">
        <f>"クラシキ コジョウイケ コウトウ ガッコウ"</f>
        <v>クラシキ コジョウイケ コウトウ ガッコウ</v>
      </c>
      <c r="F2589" t="str">
        <f>"倉敷"</f>
        <v>倉敷</v>
      </c>
      <c r="G2589" t="str">
        <f>"頻度不明"</f>
        <v>頻度不明</v>
      </c>
      <c r="H2589" t="str">
        <f>"2002222301309"</f>
        <v>2002222301309</v>
      </c>
      <c r="I2589" t="str">
        <f>HYPERLINK("#", "https://opac.libnet.pref.okayama.jp/licsxp-opac/WOpacMsgNewListToTifTilDetailAction.do?tilcod=2002222301309")</f>
        <v>https://opac.libnet.pref.okayama.jp/licsxp-opac/WOpacMsgNewListToTifTilDetailAction.do?tilcod=2002222301309</v>
      </c>
    </row>
    <row r="2590" spans="1:9" x14ac:dyDescent="0.4">
      <c r="A2590" t="str">
        <f>"越畑ふるさと村だより"</f>
        <v>越畑ふるさと村だより</v>
      </c>
      <c r="B2590" s="1" t="str">
        <f t="shared" si="145"/>
        <v>越畑ふるさと村だより</v>
      </c>
      <c r="C2590" t="str">
        <f>"コシワタ フルサトムラ ダヨリ"</f>
        <v>コシワタ フルサトムラ ダヨリ</v>
      </c>
      <c r="D2590" t="str">
        <f>"鏡野町企画課"</f>
        <v>鏡野町企画課</v>
      </c>
      <c r="E2590" t="str">
        <f>"カガミノチョウ キカクカ"</f>
        <v>カガミノチョウ キカクカ</v>
      </c>
      <c r="F2590" t="str">
        <f>"鏡野町(苫田郡)"</f>
        <v>鏡野町(苫田郡)</v>
      </c>
      <c r="G2590" t="str">
        <f>"頻度不明"</f>
        <v>頻度不明</v>
      </c>
      <c r="H2590" t="str">
        <f>"2002222334854"</f>
        <v>2002222334854</v>
      </c>
      <c r="I2590" t="str">
        <f>HYPERLINK("#", "https://opac.libnet.pref.okayama.jp/licsxp-opac/WOpacMsgNewListToTifTilDetailAction.do?tilcod=2002222334854")</f>
        <v>https://opac.libnet.pref.okayama.jp/licsxp-opac/WOpacMsgNewListToTifTilDetailAction.do?tilcod=2002222334854</v>
      </c>
    </row>
    <row r="2591" spans="1:9" x14ac:dyDescent="0.4">
      <c r="A2591" t="str">
        <f>"〔水島工業高等学校〕シラバス"</f>
        <v>〔水島工業高等学校〕シラバス</v>
      </c>
      <c r="B2591" s="1" t="str">
        <f t="shared" si="145"/>
        <v>〔水島工業高等学校〕シラバス</v>
      </c>
      <c r="C2591" t="str">
        <f>"コズシマ　コウギョウ　コウトウ　ガッコウ　シラバス"</f>
        <v>コズシマ　コウギョウ　コウトウ　ガッコウ　シラバス</v>
      </c>
      <c r="D2591" t="str">
        <f>"水島工業高等学校"</f>
        <v>水島工業高等学校</v>
      </c>
      <c r="E2591" t="str">
        <f>"ミズシマ コウギョウ コウトウ ガッコウ"</f>
        <v>ミズシマ コウギョウ コウトウ ガッコウ</v>
      </c>
      <c r="F2591" t="str">
        <f>"倉敷"</f>
        <v>倉敷</v>
      </c>
      <c r="G2591" t="str">
        <f>"年刊"</f>
        <v>年刊</v>
      </c>
      <c r="H2591" t="str">
        <f>"2002222301475"</f>
        <v>2002222301475</v>
      </c>
      <c r="I2591" t="str">
        <f>HYPERLINK("#", "https://opac.libnet.pref.okayama.jp/licsxp-opac/WOpacMsgNewListToTifTilDetailAction.do?tilcod=2002222301475")</f>
        <v>https://opac.libnet.pref.okayama.jp/licsxp-opac/WOpacMsgNewListToTifTilDetailAction.do?tilcod=2002222301475</v>
      </c>
    </row>
    <row r="2592" spans="1:9" x14ac:dyDescent="0.4">
      <c r="A2592" t="str">
        <f>"ＣＯＳＭＯＳ（コスモス）"</f>
        <v>ＣＯＳＭＯＳ（コスモス）</v>
      </c>
      <c r="B2592" s="1" t="str">
        <f t="shared" si="145"/>
        <v>ＣＯＳＭＯＳ（コスモス）</v>
      </c>
      <c r="C2592" t="str">
        <f>"コスモス"</f>
        <v>コスモス</v>
      </c>
      <c r="D2592" t="str">
        <f>"「ふくらしこ」出版局"</f>
        <v>「ふくらしこ」出版局</v>
      </c>
      <c r="E2592" t="str">
        <f>"フクラシコシュッパンキョク"</f>
        <v>フクラシコシュッパンキョク</v>
      </c>
      <c r="F2592" t="str">
        <f>""</f>
        <v/>
      </c>
      <c r="G2592" t="str">
        <f>"頻度不明"</f>
        <v>頻度不明</v>
      </c>
      <c r="H2592" t="str">
        <f>"2002222280763"</f>
        <v>2002222280763</v>
      </c>
      <c r="I2592" t="str">
        <f>HYPERLINK("#", "https://opac.libnet.pref.okayama.jp/licsxp-opac/WOpacMsgNewListToTifTilDetailAction.do?tilcod=2002222280763")</f>
        <v>https://opac.libnet.pref.okayama.jp/licsxp-opac/WOpacMsgNewListToTifTilDetailAction.do?tilcod=2002222280763</v>
      </c>
    </row>
    <row r="2593" spans="1:9" x14ac:dyDescent="0.4">
      <c r="A2593" t="str">
        <f>"コスモス通信"</f>
        <v>コスモス通信</v>
      </c>
      <c r="B2593" s="1" t="str">
        <f t="shared" si="145"/>
        <v>コスモス通信</v>
      </c>
      <c r="C2593" t="str">
        <f>"コスモス　ツウシン"</f>
        <v>コスモス　ツウシン</v>
      </c>
      <c r="D2593" t="str">
        <f>"西原一弥"</f>
        <v>西原一弥</v>
      </c>
      <c r="E2593" t="str">
        <f>"ニシハラカズヤ"</f>
        <v>ニシハラカズヤ</v>
      </c>
      <c r="F2593" t="str">
        <f>"倉敷"</f>
        <v>倉敷</v>
      </c>
      <c r="G2593" t="str">
        <f>"不定期刊"</f>
        <v>不定期刊</v>
      </c>
      <c r="H2593" t="str">
        <f>"2002222280773"</f>
        <v>2002222280773</v>
      </c>
      <c r="I2593" t="str">
        <f>HYPERLINK("#", "https://opac.libnet.pref.okayama.jp/licsxp-opac/WOpacMsgNewListToTifTilDetailAction.do?tilcod=2002222280773")</f>
        <v>https://opac.libnet.pref.okayama.jp/licsxp-opac/WOpacMsgNewListToTifTilDetailAction.do?tilcod=2002222280773</v>
      </c>
    </row>
    <row r="2594" spans="1:9" x14ac:dyDescent="0.4">
      <c r="A2594" t="str">
        <f>"子育てかわら版；古都の子供を育てる会通信"</f>
        <v>子育てかわら版；古都の子供を育てる会通信</v>
      </c>
      <c r="B2594" s="1" t="str">
        <f t="shared" si="145"/>
        <v>子育てかわら版；古都の子供を育てる会通信</v>
      </c>
      <c r="C2594" t="str">
        <f>"コソダテ　カワラバン＊コズ　ノ　コドモ　オ　ソダテルカイ　ツウシン"</f>
        <v>コソダテ　カワラバン＊コズ　ノ　コドモ　オ　ソダテルカイ　ツウシン</v>
      </c>
      <c r="D2594" t="str">
        <f>"古都の子供を育てる会"</f>
        <v>古都の子供を育てる会</v>
      </c>
      <c r="E2594" t="str">
        <f>"コズノコドモオソダテルカイ"</f>
        <v>コズノコドモオソダテルカイ</v>
      </c>
      <c r="F2594" t="str">
        <f>"岡山"</f>
        <v>岡山</v>
      </c>
      <c r="G2594" t="str">
        <f>"頻度不明"</f>
        <v>頻度不明</v>
      </c>
      <c r="H2594" t="str">
        <f>"2002222280783"</f>
        <v>2002222280783</v>
      </c>
      <c r="I2594" t="str">
        <f>HYPERLINK("#", "https://opac.libnet.pref.okayama.jp/licsxp-opac/WOpacMsgNewListToTifTilDetailAction.do?tilcod=2002222280783")</f>
        <v>https://opac.libnet.pref.okayama.jp/licsxp-opac/WOpacMsgNewListToTifTilDetailAction.do?tilcod=2002222280783</v>
      </c>
    </row>
    <row r="2595" spans="1:9" x14ac:dyDescent="0.4">
      <c r="A2595" t="str">
        <f>"古代吉備"</f>
        <v>古代吉備</v>
      </c>
      <c r="B2595" s="1" t="str">
        <f t="shared" si="145"/>
        <v>古代吉備</v>
      </c>
      <c r="C2595" t="str">
        <f>"コダイ　キビ"</f>
        <v>コダイ　キビ</v>
      </c>
      <c r="D2595" t="str">
        <f>"古代吉備研究会"</f>
        <v>古代吉備研究会</v>
      </c>
      <c r="E2595" t="str">
        <f>"コダイキビケンキュウカイ"</f>
        <v>コダイキビケンキュウカイ</v>
      </c>
      <c r="F2595" t="str">
        <f>"岡山"</f>
        <v>岡山</v>
      </c>
      <c r="G2595" t="str">
        <f>"年刊"</f>
        <v>年刊</v>
      </c>
      <c r="H2595" t="str">
        <f>"2002222291381"</f>
        <v>2002222291381</v>
      </c>
      <c r="I2595" t="str">
        <f>HYPERLINK("#", "https://opac.libnet.pref.okayama.jp/licsxp-opac/WOpacMsgNewListToTifTilDetailAction.do?tilcod=2002222291381")</f>
        <v>https://opac.libnet.pref.okayama.jp/licsxp-opac/WOpacMsgNewListToTifTilDetailAction.do?tilcod=2002222291381</v>
      </c>
    </row>
    <row r="2596" spans="1:9" x14ac:dyDescent="0.4">
      <c r="A2596" t="str">
        <f>"古代吉備通信"</f>
        <v>古代吉備通信</v>
      </c>
      <c r="B2596" s="1" t="str">
        <f t="shared" si="145"/>
        <v>古代吉備通信</v>
      </c>
      <c r="C2596" t="str">
        <f>"コダイ　キビ　ツウシン"</f>
        <v>コダイ　キビ　ツウシン</v>
      </c>
      <c r="D2596" t="str">
        <f>"古代吉備研究会"</f>
        <v>古代吉備研究会</v>
      </c>
      <c r="E2596" t="str">
        <f>"コダイキビケンキュウカイ"</f>
        <v>コダイキビケンキュウカイ</v>
      </c>
      <c r="F2596" t="str">
        <f>""</f>
        <v/>
      </c>
      <c r="G2596" t="str">
        <f>"頻度不明"</f>
        <v>頻度不明</v>
      </c>
      <c r="H2596" t="str">
        <f>"2002222280803"</f>
        <v>2002222280803</v>
      </c>
      <c r="I2596" t="str">
        <f>HYPERLINK("#", "https://opac.libnet.pref.okayama.jp/licsxp-opac/WOpacMsgNewListToTifTilDetailAction.do?tilcod=2002222280803")</f>
        <v>https://opac.libnet.pref.okayama.jp/licsxp-opac/WOpacMsgNewListToTifTilDetailAction.do?tilcod=2002222280803</v>
      </c>
    </row>
    <row r="2597" spans="1:9" x14ac:dyDescent="0.4">
      <c r="A2597" t="str">
        <f>"古代学研究"</f>
        <v>古代学研究</v>
      </c>
      <c r="B2597" s="1" t="str">
        <f t="shared" si="145"/>
        <v>古代学研究</v>
      </c>
      <c r="C2597" t="str">
        <f>"コダイガク　ケンキュウ"</f>
        <v>コダイガク　ケンキュウ</v>
      </c>
      <c r="D2597" t="str">
        <f>"古代学研究会"</f>
        <v>古代学研究会</v>
      </c>
      <c r="E2597" t="str">
        <f>"コダイガクケンキュウカイ"</f>
        <v>コダイガクケンキュウカイ</v>
      </c>
      <c r="F2597" t="str">
        <f>""</f>
        <v/>
      </c>
      <c r="G2597" t="str">
        <f>"頻度不明"</f>
        <v>頻度不明</v>
      </c>
      <c r="H2597" t="str">
        <f>"2002222280793"</f>
        <v>2002222280793</v>
      </c>
      <c r="I2597" t="str">
        <f>HYPERLINK("#", "https://opac.libnet.pref.okayama.jp/licsxp-opac/WOpacMsgNewListToTifTilDetailAction.do?tilcod=2002222280793")</f>
        <v>https://opac.libnet.pref.okayama.jp/licsxp-opac/WOpacMsgNewListToTifTilDetailAction.do?tilcod=2002222280793</v>
      </c>
    </row>
    <row r="2598" spans="1:9" x14ac:dyDescent="0.4">
      <c r="A2598" t="str">
        <f>"御大典記念会報"</f>
        <v>御大典記念会報</v>
      </c>
      <c r="B2598" s="1" t="str">
        <f t="shared" si="145"/>
        <v>御大典記念会報</v>
      </c>
      <c r="C2598" t="str">
        <f>"ゴタイテン キネン カイホウ"</f>
        <v>ゴタイテン キネン カイホウ</v>
      </c>
      <c r="D2598" t="str">
        <f>"岡山県第一岡山中学校校友会"</f>
        <v>岡山県第一岡山中学校校友会</v>
      </c>
      <c r="E2598" t="str">
        <f>"オカヤマケン ダイイチ オカヤマ チュウガッコウ コウユウカイ"</f>
        <v>オカヤマケン ダイイチ オカヤマ チュウガッコウ コウユウカイ</v>
      </c>
      <c r="F2598" t="str">
        <f>""</f>
        <v/>
      </c>
      <c r="G2598" t="str">
        <f>"頻度不明"</f>
        <v>頻度不明</v>
      </c>
      <c r="H2598" t="str">
        <f>"2002222280813"</f>
        <v>2002222280813</v>
      </c>
      <c r="I2598" t="str">
        <f>HYPERLINK("#", "https://opac.libnet.pref.okayama.jp/licsxp-opac/WOpacMsgNewListToTifTilDetailAction.do?tilcod=2002222280813")</f>
        <v>https://opac.libnet.pref.okayama.jp/licsxp-opac/WOpacMsgNewListToTifTilDetailAction.do?tilcod=2002222280813</v>
      </c>
    </row>
    <row r="2599" spans="1:9" x14ac:dyDescent="0.4">
      <c r="A2599" t="str">
        <f>"こだま"</f>
        <v>こだま</v>
      </c>
      <c r="B2599" s="1" t="str">
        <f t="shared" si="145"/>
        <v>こだま</v>
      </c>
      <c r="C2599" t="str">
        <f>"コダマ"</f>
        <v>コダマ</v>
      </c>
      <c r="D2599" t="str">
        <f>"こだまの会"</f>
        <v>こだまの会</v>
      </c>
      <c r="E2599" t="str">
        <f>"コダマノカイ"</f>
        <v>コダマノカイ</v>
      </c>
      <c r="F2599" t="str">
        <f>""</f>
        <v/>
      </c>
      <c r="G2599" t="str">
        <f>"頻度不明"</f>
        <v>頻度不明</v>
      </c>
      <c r="H2599" t="str">
        <f>"2002222280823"</f>
        <v>2002222280823</v>
      </c>
      <c r="I2599" t="str">
        <f>HYPERLINK("#", "https://opac.libnet.pref.okayama.jp/licsxp-opac/WOpacMsgNewListToTifTilDetailAction.do?tilcod=2002222280823")</f>
        <v>https://opac.libnet.pref.okayama.jp/licsxp-opac/WOpacMsgNewListToTifTilDetailAction.do?tilcod=2002222280823</v>
      </c>
    </row>
    <row r="2600" spans="1:9" x14ac:dyDescent="0.4">
      <c r="A2600" t="str">
        <f>"谺"</f>
        <v>谺</v>
      </c>
      <c r="B2600" s="1" t="str">
        <f t="shared" si="145"/>
        <v>谺</v>
      </c>
      <c r="C2600" t="str">
        <f>"コダマ"</f>
        <v>コダマ</v>
      </c>
      <c r="D2600" t="str">
        <f>"冠句こだま社"</f>
        <v>冠句こだま社</v>
      </c>
      <c r="E2600" t="str">
        <f>"カンクコダマシャ"</f>
        <v>カンクコダマシャ</v>
      </c>
      <c r="F2600" t="str">
        <f>""</f>
        <v/>
      </c>
      <c r="G2600" t="str">
        <f>"月刊"</f>
        <v>月刊</v>
      </c>
      <c r="H2600" t="str">
        <f>"2002222280843"</f>
        <v>2002222280843</v>
      </c>
      <c r="I2600" t="str">
        <f>HYPERLINK("#", "https://opac.libnet.pref.okayama.jp/licsxp-opac/WOpacMsgNewListToTifTilDetailAction.do?tilcod=2002222280843")</f>
        <v>https://opac.libnet.pref.okayama.jp/licsxp-opac/WOpacMsgNewListToTifTilDetailAction.do?tilcod=2002222280843</v>
      </c>
    </row>
    <row r="2601" spans="1:9" x14ac:dyDescent="0.4">
      <c r="A2601" t="str">
        <f>"こだま"</f>
        <v>こだま</v>
      </c>
      <c r="B2601" s="1" t="str">
        <f t="shared" si="145"/>
        <v>こだま</v>
      </c>
      <c r="C2601" t="str">
        <f>"コダマ"</f>
        <v>コダマ</v>
      </c>
      <c r="D2601" t="str">
        <f>"岡山県勝山第二高等学校文芸部"</f>
        <v>岡山県勝山第二高等学校文芸部</v>
      </c>
      <c r="E2601" t="str">
        <f>"オカヤマケンカツヤマダイニコウトウガッコウブンゲイブ"</f>
        <v>オカヤマケンカツヤマダイニコウトウガッコウブンゲイブ</v>
      </c>
      <c r="F2601" t="str">
        <f>"勝山町"</f>
        <v>勝山町</v>
      </c>
      <c r="G2601" t="str">
        <f>"頻度不明"</f>
        <v>頻度不明</v>
      </c>
      <c r="H2601" t="str">
        <f>"2002222285171"</f>
        <v>2002222285171</v>
      </c>
      <c r="I2601" t="str">
        <f>HYPERLINK("#", "https://opac.libnet.pref.okayama.jp/licsxp-opac/WOpacMsgNewListToTifTilDetailAction.do?tilcod=2002222285171")</f>
        <v>https://opac.libnet.pref.okayama.jp/licsxp-opac/WOpacMsgNewListToTifTilDetailAction.do?tilcod=2002222285171</v>
      </c>
    </row>
    <row r="2602" spans="1:9" x14ac:dyDescent="0.4">
      <c r="A2602" t="str">
        <f>"ゴちまち"</f>
        <v>ゴちまち</v>
      </c>
      <c r="B2602" s="1" t="str">
        <f t="shared" si="145"/>
        <v>ゴちまち</v>
      </c>
      <c r="C2602" t="str">
        <f>"ゴチマチ"</f>
        <v>ゴチマチ</v>
      </c>
      <c r="D2602" t="str">
        <f>"ＫＧ情報"</f>
        <v>ＫＧ情報</v>
      </c>
      <c r="E2602" t="str">
        <f>"ケージージョウホウ"</f>
        <v>ケージージョウホウ</v>
      </c>
      <c r="F2602" t="str">
        <f>"岡山"</f>
        <v>岡山</v>
      </c>
      <c r="G2602" t="str">
        <f>"月刊"</f>
        <v>月刊</v>
      </c>
      <c r="H2602" t="str">
        <f>"2002222302061"</f>
        <v>2002222302061</v>
      </c>
      <c r="I2602" t="str">
        <f>HYPERLINK("#", "https://opac.libnet.pref.okayama.jp/licsxp-opac/WOpacMsgNewListToTifTilDetailAction.do?tilcod=2002222302061")</f>
        <v>https://opac.libnet.pref.okayama.jp/licsxp-opac/WOpacMsgNewListToTifTilDetailAction.do?tilcod=2002222302061</v>
      </c>
    </row>
    <row r="2603" spans="1:9" x14ac:dyDescent="0.4">
      <c r="A2603" t="str">
        <f>"国歌"</f>
        <v>国歌</v>
      </c>
      <c r="B2603" s="1" t="str">
        <f t="shared" si="145"/>
        <v>国歌</v>
      </c>
      <c r="C2603" t="str">
        <f>"コッカ"</f>
        <v>コッカ</v>
      </c>
      <c r="D2603" t="str">
        <f>"国歌会"</f>
        <v>国歌会</v>
      </c>
      <c r="E2603" t="str">
        <f>"コッカカイ"</f>
        <v>コッカカイ</v>
      </c>
      <c r="F2603" t="str">
        <f>""</f>
        <v/>
      </c>
      <c r="G2603" t="str">
        <f>"頻度不明"</f>
        <v>頻度不明</v>
      </c>
      <c r="H2603" t="str">
        <f>"2002222280853"</f>
        <v>2002222280853</v>
      </c>
      <c r="I2603" t="str">
        <f>HYPERLINK("#", "https://opac.libnet.pref.okayama.jp/licsxp-opac/WOpacMsgNewListToTifTilDetailAction.do?tilcod=2002222280853")</f>
        <v>https://opac.libnet.pref.okayama.jp/licsxp-opac/WOpacMsgNewListToTifTilDetailAction.do?tilcod=2002222280853</v>
      </c>
    </row>
    <row r="2604" spans="1:9" x14ac:dyDescent="0.4">
      <c r="A2604" t="str">
        <f>"国華"</f>
        <v>国華</v>
      </c>
      <c r="B2604" s="1" t="str">
        <f t="shared" si="145"/>
        <v>国華</v>
      </c>
      <c r="C2604" t="str">
        <f>"コッカ"</f>
        <v>コッカ</v>
      </c>
      <c r="D2604" t="str">
        <f>"国華研修会"</f>
        <v>国華研修会</v>
      </c>
      <c r="E2604" t="str">
        <f>"コッカ ケンシュウカイ"</f>
        <v>コッカ ケンシュウカイ</v>
      </c>
      <c r="F2604" t="str">
        <f>"津田村（真庭郡）"</f>
        <v>津田村（真庭郡）</v>
      </c>
      <c r="G2604" t="str">
        <f>"頻度不明"</f>
        <v>頻度不明</v>
      </c>
      <c r="H2604" t="str">
        <f>"2002222327166"</f>
        <v>2002222327166</v>
      </c>
      <c r="I2604" t="str">
        <f>HYPERLINK("#", "https://opac.libnet.pref.okayama.jp/licsxp-opac/WOpacMsgNewListToTifTilDetailAction.do?tilcod=2002222327166")</f>
        <v>https://opac.libnet.pref.okayama.jp/licsxp-opac/WOpacMsgNewListToTifTilDetailAction.do?tilcod=2002222327166</v>
      </c>
    </row>
    <row r="2605" spans="1:9" x14ac:dyDescent="0.4">
      <c r="A2605" t="str">
        <f>"国会だより"</f>
        <v>国会だより</v>
      </c>
      <c r="B2605" s="1" t="str">
        <f t="shared" si="145"/>
        <v>国会だより</v>
      </c>
      <c r="C2605" t="str">
        <f>"コッカイ　ダヨリ"</f>
        <v>コッカイ　ダヨリ</v>
      </c>
      <c r="D2605" t="str">
        <f>"逢沢会"</f>
        <v>逢沢会</v>
      </c>
      <c r="E2605" t="str">
        <f>"アイサワカイ"</f>
        <v>アイサワカイ</v>
      </c>
      <c r="F2605" t="str">
        <f>""</f>
        <v/>
      </c>
      <c r="G2605" t="str">
        <f>"頻度不明"</f>
        <v>頻度不明</v>
      </c>
      <c r="H2605" t="str">
        <f>"2002222280863"</f>
        <v>2002222280863</v>
      </c>
      <c r="I2605" t="str">
        <f>HYPERLINK("#", "https://opac.libnet.pref.okayama.jp/licsxp-opac/WOpacMsgNewListToTifTilDetailAction.do?tilcod=2002222280863")</f>
        <v>https://opac.libnet.pref.okayama.jp/licsxp-opac/WOpacMsgNewListToTifTilDetailAction.do?tilcod=2002222280863</v>
      </c>
    </row>
    <row r="2606" spans="1:9" x14ac:dyDescent="0.4">
      <c r="A2606" t="str">
        <f>"呼笛"</f>
        <v>呼笛</v>
      </c>
      <c r="B2606" s="1" t="str">
        <f t="shared" si="145"/>
        <v>呼笛</v>
      </c>
      <c r="C2606" t="str">
        <f>"コテキ"</f>
        <v>コテキ</v>
      </c>
      <c r="D2606" t="str">
        <f>"呼笛刊行会"</f>
        <v>呼笛刊行会</v>
      </c>
      <c r="E2606" t="str">
        <f>"コテキ カンコウカイ"</f>
        <v>コテキ カンコウカイ</v>
      </c>
      <c r="F2606" t="str">
        <f>"岡山"</f>
        <v>岡山</v>
      </c>
      <c r="G2606" t="str">
        <f>"月刊"</f>
        <v>月刊</v>
      </c>
      <c r="H2606" t="str">
        <f>"2002222335586"</f>
        <v>2002222335586</v>
      </c>
      <c r="I2606" t="str">
        <f>HYPERLINK("#", "https://opac.libnet.pref.okayama.jp/licsxp-opac/WOpacMsgNewListToTifTilDetailAction.do?tilcod=2002222335586")</f>
        <v>https://opac.libnet.pref.okayama.jp/licsxp-opac/WOpacMsgNewListToTifTilDetailAction.do?tilcod=2002222335586</v>
      </c>
    </row>
    <row r="2607" spans="1:9" x14ac:dyDescent="0.4">
      <c r="A2607" t="str">
        <f>"琴浦教育時報 "</f>
        <v xml:space="preserve">琴浦教育時報 </v>
      </c>
      <c r="B2607" s="1" t="str">
        <f t="shared" si="145"/>
        <v xml:space="preserve">琴浦教育時報 </v>
      </c>
      <c r="C2607" t="str">
        <f>"コトウラ　キョウイク　ジホウ"</f>
        <v>コトウラ　キョウイク　ジホウ</v>
      </c>
      <c r="D2607" t="str">
        <f>"琴浦町教育委員会"</f>
        <v>琴浦町教育委員会</v>
      </c>
      <c r="E2607" t="str">
        <f>"コトウラチョウ キョウイク イインカイ"</f>
        <v>コトウラチョウ キョウイク イインカイ</v>
      </c>
      <c r="F2607" t="str">
        <f>"琴浦町（児島郡）"</f>
        <v>琴浦町（児島郡）</v>
      </c>
      <c r="G2607" t="str">
        <f>"頻度不明"</f>
        <v>頻度不明</v>
      </c>
      <c r="H2607" t="str">
        <f>"2002222323549"</f>
        <v>2002222323549</v>
      </c>
      <c r="I2607" t="str">
        <f>HYPERLINK("#", "https://opac.libnet.pref.okayama.jp/licsxp-opac/WOpacMsgNewListToTifTilDetailAction.do?tilcod=2002222323549")</f>
        <v>https://opac.libnet.pref.okayama.jp/licsxp-opac/WOpacMsgNewListToTifTilDetailAction.do?tilcod=2002222323549</v>
      </c>
    </row>
    <row r="2608" spans="1:9" x14ac:dyDescent="0.4">
      <c r="A2608" t="str">
        <f>"琴浦高校図書館報"</f>
        <v>琴浦高校図書館報</v>
      </c>
      <c r="B2608" s="1" t="str">
        <f t="shared" si="145"/>
        <v>琴浦高校図書館報</v>
      </c>
      <c r="C2608" t="str">
        <f>"コトウラ　コウコウ　トショカンホウ"</f>
        <v>コトウラ　コウコウ　トショカンホウ</v>
      </c>
      <c r="D2608" t="str">
        <f>"琴浦高等学校図書課"</f>
        <v>琴浦高等学校図書課</v>
      </c>
      <c r="E2608" t="str">
        <f>"コトウラコウトウガッコウトショカ"</f>
        <v>コトウラコウトウガッコウトショカ</v>
      </c>
      <c r="F2608" t="str">
        <f>"倉敷"</f>
        <v>倉敷</v>
      </c>
      <c r="G2608" t="str">
        <f>"年刊"</f>
        <v>年刊</v>
      </c>
      <c r="H2608" t="str">
        <f>"2002222301653"</f>
        <v>2002222301653</v>
      </c>
      <c r="I2608" t="str">
        <f>HYPERLINK("#", "https://opac.libnet.pref.okayama.jp/licsxp-opac/WOpacMsgNewListToTifTilDetailAction.do?tilcod=2002222301653")</f>
        <v>https://opac.libnet.pref.okayama.jp/licsxp-opac/WOpacMsgNewListToTifTilDetailAction.do?tilcod=2002222301653</v>
      </c>
    </row>
    <row r="2609" spans="1:9" x14ac:dyDescent="0.4">
      <c r="A2609" t="str">
        <f>"琴浦高等学校学校案内"</f>
        <v>琴浦高等学校学校案内</v>
      </c>
      <c r="B2609" s="1" t="str">
        <f t="shared" si="145"/>
        <v>琴浦高等学校学校案内</v>
      </c>
      <c r="C2609" t="str">
        <f>"コトウラ　コウトウ　ガッコウ　ガッコウ　アンナイ"</f>
        <v>コトウラ　コウトウ　ガッコウ　ガッコウ　アンナイ</v>
      </c>
      <c r="D2609" t="str">
        <f>"琴浦高等学校"</f>
        <v>琴浦高等学校</v>
      </c>
      <c r="E2609" t="str">
        <f>"コトウラ コウトウ ガッコウ"</f>
        <v>コトウラ コウトウ ガッコウ</v>
      </c>
      <c r="F2609" t="str">
        <f>"倉敷"</f>
        <v>倉敷</v>
      </c>
      <c r="G2609" t="str">
        <f>"年刊"</f>
        <v>年刊</v>
      </c>
      <c r="H2609" t="str">
        <f>"2002222301247"</f>
        <v>2002222301247</v>
      </c>
      <c r="I2609" t="str">
        <f>HYPERLINK("#", "https://opac.libnet.pref.okayama.jp/licsxp-opac/WOpacMsgNewListToTifTilDetailAction.do?tilcod=2002222301247")</f>
        <v>https://opac.libnet.pref.okayama.jp/licsxp-opac/WOpacMsgNewListToTifTilDetailAction.do?tilcod=2002222301247</v>
      </c>
    </row>
    <row r="2610" spans="1:9" x14ac:dyDescent="0.4">
      <c r="A2610" t="str">
        <f>"琴浦高等学校学校要覧"</f>
        <v>琴浦高等学校学校要覧</v>
      </c>
      <c r="B2610" s="1" t="str">
        <f t="shared" si="145"/>
        <v>琴浦高等学校学校要覧</v>
      </c>
      <c r="C2610" t="str">
        <f>"コトウラ　コウトウ　ガッコウ　ガッコウ　ヨウラン"</f>
        <v>コトウラ　コウトウ　ガッコウ　ガッコウ　ヨウラン</v>
      </c>
      <c r="D2610" t="str">
        <f>"琴浦高等学校"</f>
        <v>琴浦高等学校</v>
      </c>
      <c r="E2610" t="str">
        <f>"コトウラ コウトウ ガッコウ"</f>
        <v>コトウラ コウトウ ガッコウ</v>
      </c>
      <c r="F2610" t="str">
        <f>"倉敷"</f>
        <v>倉敷</v>
      </c>
      <c r="G2610" t="str">
        <f>"年刊"</f>
        <v>年刊</v>
      </c>
      <c r="H2610" t="str">
        <f>"2002222300506"</f>
        <v>2002222300506</v>
      </c>
      <c r="I2610" t="str">
        <f>HYPERLINK("#", "https://opac.libnet.pref.okayama.jp/licsxp-opac/WOpacMsgNewListToTifTilDetailAction.do?tilcod=2002222300506")</f>
        <v>https://opac.libnet.pref.okayama.jp/licsxp-opac/WOpacMsgNewListToTifTilDetailAction.do?tilcod=2002222300506</v>
      </c>
    </row>
    <row r="2611" spans="1:9" x14ac:dyDescent="0.4">
      <c r="A2611" t="str">
        <f>"〔琴浦高等学校〕がんばれ琴高！"</f>
        <v>〔琴浦高等学校〕がんばれ琴高！</v>
      </c>
      <c r="B2611" s="1" t="str">
        <f t="shared" si="145"/>
        <v>〔琴浦高等学校〕がんばれ琴高！</v>
      </c>
      <c r="C2611" t="str">
        <f>"コトウラ　コウトウ　ガッコウ＊ガンパレ　コトコウ"</f>
        <v>コトウラ　コウトウ　ガッコウ＊ガンパレ　コトコウ</v>
      </c>
      <c r="D2611" t="str">
        <f>"琴浦高等学校"</f>
        <v>琴浦高等学校</v>
      </c>
      <c r="E2611" t="str">
        <f>"コトウラ コウトウ ガッコウ"</f>
        <v>コトウラ コウトウ ガッコウ</v>
      </c>
      <c r="F2611" t="str">
        <f>"倉敷"</f>
        <v>倉敷</v>
      </c>
      <c r="G2611" t="str">
        <f>"頻度不明"</f>
        <v>頻度不明</v>
      </c>
      <c r="H2611" t="str">
        <f>"2002222301914"</f>
        <v>2002222301914</v>
      </c>
      <c r="I2611" t="str">
        <f>HYPERLINK("#", "https://opac.libnet.pref.okayama.jp/licsxp-opac/WOpacMsgNewListToTifTilDetailAction.do?tilcod=2002222301914")</f>
        <v>https://opac.libnet.pref.okayama.jp/licsxp-opac/WOpacMsgNewListToTifTilDetailAction.do?tilcod=2002222301914</v>
      </c>
    </row>
    <row r="2612" spans="1:9" x14ac:dyDescent="0.4">
      <c r="A2612" t="str">
        <f>"〔琴浦高等学校〕琴高新聞"</f>
        <v>〔琴浦高等学校〕琴高新聞</v>
      </c>
      <c r="B2612" s="1" t="str">
        <f t="shared" si="145"/>
        <v>〔琴浦高等学校〕琴高新聞</v>
      </c>
      <c r="C2612" t="str">
        <f>"コトウラ　コウトウ　ガッコウ＊コトコウ　シンブン"</f>
        <v>コトウラ　コウトウ　ガッコウ＊コトコウ　シンブン</v>
      </c>
      <c r="D2612" t="str">
        <f>"琴浦高等学校新聞部"</f>
        <v>琴浦高等学校新聞部</v>
      </c>
      <c r="E2612" t="str">
        <f>"コトウラ コウトウ ガッコウ シンブンブ"</f>
        <v>コトウラ コウトウ ガッコウ シンブンブ</v>
      </c>
      <c r="F2612" t="str">
        <f>"倉敷"</f>
        <v>倉敷</v>
      </c>
      <c r="G2612" t="str">
        <f>"年刊"</f>
        <v>年刊</v>
      </c>
      <c r="H2612" t="str">
        <f>"2002222301877"</f>
        <v>2002222301877</v>
      </c>
      <c r="I2612" t="str">
        <f>HYPERLINK("#", "https://opac.libnet.pref.okayama.jp/licsxp-opac/WOpacMsgNewListToTifTilDetailAction.do?tilcod=2002222301877")</f>
        <v>https://opac.libnet.pref.okayama.jp/licsxp-opac/WOpacMsgNewListToTifTilDetailAction.do?tilcod=2002222301877</v>
      </c>
    </row>
    <row r="2613" spans="1:9" x14ac:dyDescent="0.4">
      <c r="A2613" t="str">
        <f>"琴西中学新聞"</f>
        <v>琴西中学新聞</v>
      </c>
      <c r="B2613" s="1" t="str">
        <f t="shared" si="145"/>
        <v>琴西中学新聞</v>
      </c>
      <c r="C2613" t="str">
        <f>"コトニシ　チュウガク　シンブン"</f>
        <v>コトニシ　チュウガク　シンブン</v>
      </c>
      <c r="D2613" t="str">
        <f>"琴浦西中学校新聞部"</f>
        <v>琴浦西中学校新聞部</v>
      </c>
      <c r="E2613" t="str">
        <f>""</f>
        <v/>
      </c>
      <c r="F2613" t="str">
        <f>"〔倉敷〕"</f>
        <v>〔倉敷〕</v>
      </c>
      <c r="G2613" t="str">
        <f>"月刊"</f>
        <v>月刊</v>
      </c>
      <c r="H2613" t="str">
        <f>"2002222302129"</f>
        <v>2002222302129</v>
      </c>
      <c r="I2613" t="str">
        <f>HYPERLINK("#", "https://opac.libnet.pref.okayama.jp/licsxp-opac/WOpacMsgNewListToTifTilDetailAction.do?tilcod=2002222302129")</f>
        <v>https://opac.libnet.pref.okayama.jp/licsxp-opac/WOpacMsgNewListToTifTilDetailAction.do?tilcod=2002222302129</v>
      </c>
    </row>
    <row r="2614" spans="1:9" x14ac:dyDescent="0.4">
      <c r="A2614" t="str">
        <f>"琴西小学報"</f>
        <v>琴西小学報</v>
      </c>
      <c r="B2614" s="1" t="str">
        <f t="shared" si="145"/>
        <v>琴西小学報</v>
      </c>
      <c r="C2614" t="str">
        <f>"コトニシショウ　ガクホウ"</f>
        <v>コトニシショウ　ガクホウ</v>
      </c>
      <c r="D2614" t="str">
        <f>"琴浦西小学校ＰＴＡ"</f>
        <v>琴浦西小学校ＰＴＡ</v>
      </c>
      <c r="E2614" t="str">
        <f>"コトウラニシショウガッコウピーティーエー"</f>
        <v>コトウラニシショウガッコウピーティーエー</v>
      </c>
      <c r="F2614" t="str">
        <f>"〔倉敷〕"</f>
        <v>〔倉敷〕</v>
      </c>
      <c r="G2614" t="str">
        <f>"頻度不明"</f>
        <v>頻度不明</v>
      </c>
      <c r="H2614" t="str">
        <f>"2002222323546"</f>
        <v>2002222323546</v>
      </c>
      <c r="I2614" t="str">
        <f>HYPERLINK("#", "https://opac.libnet.pref.okayama.jp/licsxp-opac/WOpacMsgNewListToTifTilDetailAction.do?tilcod=2002222323546")</f>
        <v>https://opac.libnet.pref.okayama.jp/licsxp-opac/WOpacMsgNewListToTifTilDetailAction.do?tilcod=2002222323546</v>
      </c>
    </row>
    <row r="2615" spans="1:9" x14ac:dyDescent="0.4">
      <c r="A2615" t="str">
        <f>"琴東小学報"</f>
        <v>琴東小学報</v>
      </c>
      <c r="B2615" s="1" t="str">
        <f t="shared" si="145"/>
        <v>琴東小学報</v>
      </c>
      <c r="C2615" t="str">
        <f>"コトヒガシショウ　ガクホウ"</f>
        <v>コトヒガシショウ　ガクホウ</v>
      </c>
      <c r="D2615" t="str">
        <f>"児島市立琴浦東小学校"</f>
        <v>児島市立琴浦東小学校</v>
      </c>
      <c r="E2615" t="str">
        <f>"コジマシリツ コトウラ ヒガシ ショウガッコウ"</f>
        <v>コジマシリツ コトウラ ヒガシ ショウガッコウ</v>
      </c>
      <c r="F2615" t="str">
        <f>"〔児島〕"</f>
        <v>〔児島〕</v>
      </c>
      <c r="G2615" t="str">
        <f>"頻度不明"</f>
        <v>頻度不明</v>
      </c>
      <c r="H2615" t="str">
        <f>"2002222323550"</f>
        <v>2002222323550</v>
      </c>
      <c r="I2615" t="str">
        <f>HYPERLINK("#", "https://opac.libnet.pref.okayama.jp/licsxp-opac/WOpacMsgNewListToTifTilDetailAction.do?tilcod=2002222323550")</f>
        <v>https://opac.libnet.pref.okayama.jp/licsxp-opac/WOpacMsgNewListToTifTilDetailAction.do?tilcod=2002222323550</v>
      </c>
    </row>
    <row r="2616" spans="1:9" x14ac:dyDescent="0.4">
      <c r="A2616" t="str">
        <f>"子どもげきじょうおかやま"</f>
        <v>子どもげきじょうおかやま</v>
      </c>
      <c r="B2616" s="1" t="str">
        <f t="shared" si="145"/>
        <v>子どもげきじょうおかやま</v>
      </c>
      <c r="C2616" t="str">
        <f>"コドモ　ゲキジョウ　オカヤマ"</f>
        <v>コドモ　ゲキジョウ　オカヤマ</v>
      </c>
      <c r="D2616" t="str">
        <f>"子ども劇場岡山県センター"</f>
        <v>子ども劇場岡山県センター</v>
      </c>
      <c r="E2616" t="str">
        <f>"コドモゲキジョウオカヤマケンセンター"</f>
        <v>コドモゲキジョウオカヤマケンセンター</v>
      </c>
      <c r="F2616" t="str">
        <f>"岡山市"</f>
        <v>岡山市</v>
      </c>
      <c r="G2616" t="str">
        <f>"不定期刊"</f>
        <v>不定期刊</v>
      </c>
      <c r="H2616" t="str">
        <f>"2002222284541"</f>
        <v>2002222284541</v>
      </c>
      <c r="I2616" t="str">
        <f>HYPERLINK("#", "https://opac.libnet.pref.okayama.jp/licsxp-opac/WOpacMsgNewListToTifTilDetailAction.do?tilcod=2002222284541")</f>
        <v>https://opac.libnet.pref.okayama.jp/licsxp-opac/WOpacMsgNewListToTifTilDetailAction.do?tilcod=2002222284541</v>
      </c>
    </row>
    <row r="2617" spans="1:9" x14ac:dyDescent="0.4">
      <c r="A2617" t="str">
        <f>"子ども劇場しんぶん"</f>
        <v>子ども劇場しんぶん</v>
      </c>
      <c r="B2617" s="1" t="str">
        <f t="shared" si="145"/>
        <v>子ども劇場しんぶん</v>
      </c>
      <c r="C2617" t="str">
        <f>"コドモ　ゲキジョウ　シンブン"</f>
        <v>コドモ　ゲキジョウ　シンブン</v>
      </c>
      <c r="D2617" t="str">
        <f>"子ども劇場笠岡センター"</f>
        <v>子ども劇場笠岡センター</v>
      </c>
      <c r="E2617" t="str">
        <f>"コドモゲキジョウカサオカセンター"</f>
        <v>コドモゲキジョウカサオカセンター</v>
      </c>
      <c r="F2617" t="str">
        <f>"笠岡"</f>
        <v>笠岡</v>
      </c>
      <c r="G2617" t="str">
        <f>"頻度不明"</f>
        <v>頻度不明</v>
      </c>
      <c r="H2617" t="str">
        <f>"2002222281844"</f>
        <v>2002222281844</v>
      </c>
      <c r="I2617" t="str">
        <f>HYPERLINK("#", "https://opac.libnet.pref.okayama.jp/licsxp-opac/WOpacMsgNewListToTifTilDetailAction.do?tilcod=2002222281844")</f>
        <v>https://opac.libnet.pref.okayama.jp/licsxp-opac/WOpacMsgNewListToTifTilDetailAction.do?tilcod=2002222281844</v>
      </c>
    </row>
    <row r="2618" spans="1:9" x14ac:dyDescent="0.4">
      <c r="A2618" t="str">
        <f>"子ども公民館だより　にこにこ"</f>
        <v>子ども公民館だより　にこにこ</v>
      </c>
      <c r="B2618" s="1" t="str">
        <f t="shared" si="145"/>
        <v>子ども公民館だより　にこにこ</v>
      </c>
      <c r="C2618" t="str">
        <f>"コドモ　コウミンカン　ダヨリ　ニコニコ"</f>
        <v>コドモ　コウミンカン　ダヨリ　ニコニコ</v>
      </c>
      <c r="D2618" t="str">
        <f>"岡山市立妹尾公民館"</f>
        <v>岡山市立妹尾公民館</v>
      </c>
      <c r="E2618" t="str">
        <f>"オカヤマシリツセノオコウミンカン"</f>
        <v>オカヤマシリツセノオコウミンカン</v>
      </c>
      <c r="F2618" t="str">
        <f>"岡山"</f>
        <v>岡山</v>
      </c>
      <c r="G2618" t="str">
        <f>"不定期刊"</f>
        <v>不定期刊</v>
      </c>
      <c r="H2618" t="str">
        <f>"2002222281941"</f>
        <v>2002222281941</v>
      </c>
      <c r="I2618" t="str">
        <f>HYPERLINK("#", "https://opac.libnet.pref.okayama.jp/licsxp-opac/WOpacMsgNewListToTifTilDetailAction.do?tilcod=2002222281941")</f>
        <v>https://opac.libnet.pref.okayama.jp/licsxp-opac/WOpacMsgNewListToTifTilDetailAction.do?tilcod=2002222281941</v>
      </c>
    </row>
    <row r="2619" spans="1:9" x14ac:dyDescent="0.4">
      <c r="A2619" t="str">
        <f>"こども情報わくわく広場"</f>
        <v>こども情報わくわく広場</v>
      </c>
      <c r="B2619" s="1" t="str">
        <f t="shared" si="145"/>
        <v>こども情報わくわく広場</v>
      </c>
      <c r="C2619" t="str">
        <f>"コドモ　ジョウホウ　ワクワク　ヒロバ"</f>
        <v>コドモ　ジョウホウ　ワクワク　ヒロバ</v>
      </c>
      <c r="D2619" t="str">
        <f>"赤磐郡南部子どもセンター"</f>
        <v>赤磐郡南部子どもセンター</v>
      </c>
      <c r="E2619" t="str">
        <f>"アカイワグンナンブコドモセンター"</f>
        <v>アカイワグンナンブコドモセンター</v>
      </c>
      <c r="F2619" t="str">
        <f>"山陽町（赤磐郡）"</f>
        <v>山陽町（赤磐郡）</v>
      </c>
      <c r="G2619" t="str">
        <f>"頻度不明"</f>
        <v>頻度不明</v>
      </c>
      <c r="H2619" t="str">
        <f>"2002222285701"</f>
        <v>2002222285701</v>
      </c>
      <c r="I2619" t="str">
        <f>HYPERLINK("#", "https://opac.libnet.pref.okayama.jp/licsxp-opac/WOpacMsgNewListToTifTilDetailAction.do?tilcod=2002222285701")</f>
        <v>https://opac.libnet.pref.okayama.jp/licsxp-opac/WOpacMsgNewListToTifTilDetailAction.do?tilcod=2002222285701</v>
      </c>
    </row>
    <row r="2620" spans="1:9" x14ac:dyDescent="0.4">
      <c r="A2620" t="str">
        <f>"子ども読書年おかやまＮＥＷＳ"</f>
        <v>子ども読書年おかやまＮＥＷＳ</v>
      </c>
      <c r="B2620" s="1" t="str">
        <f t="shared" si="145"/>
        <v>子ども読書年おかやまＮＥＷＳ</v>
      </c>
      <c r="C2620" t="str">
        <f>"コドモ　ドクショネン　オカヤマ　ニュース"</f>
        <v>コドモ　ドクショネン　オカヤマ　ニュース</v>
      </c>
      <c r="D2620" t="str">
        <f>"子ども読書年岡山実行委員会事務局"</f>
        <v>子ども読書年岡山実行委員会事務局</v>
      </c>
      <c r="E2620" t="str">
        <f>"コドモドクショネンオカヤマジッコウイインカイジムキョク"</f>
        <v>コドモドクショネンオカヤマジッコウイインカイジムキョク</v>
      </c>
      <c r="F2620" t="str">
        <f>"岡山市"</f>
        <v>岡山市</v>
      </c>
      <c r="G2620" t="str">
        <f>"その他"</f>
        <v>その他</v>
      </c>
      <c r="H2620" t="str">
        <f>"2002222282791"</f>
        <v>2002222282791</v>
      </c>
      <c r="I2620" t="str">
        <f>HYPERLINK("#", "https://opac.libnet.pref.okayama.jp/licsxp-opac/WOpacMsgNewListToTifTilDetailAction.do?tilcod=2002222282791")</f>
        <v>https://opac.libnet.pref.okayama.jp/licsxp-opac/WOpacMsgNewListToTifTilDetailAction.do?tilcod=2002222282791</v>
      </c>
    </row>
    <row r="2621" spans="1:9" x14ac:dyDescent="0.4">
      <c r="A2621" t="str">
        <f>"このまちでくらす"</f>
        <v>このまちでくらす</v>
      </c>
      <c r="B2621" s="1" t="str">
        <f t="shared" si="145"/>
        <v>このまちでくらす</v>
      </c>
      <c r="C2621" t="str">
        <f>"コノ マチ デ クラス"</f>
        <v>コノ マチ デ クラス</v>
      </c>
      <c r="D2621" t="str">
        <f>"ウェルスマイル"</f>
        <v>ウェルスマイル</v>
      </c>
      <c r="E2621" t="str">
        <f>"ウェルスマイル"</f>
        <v>ウェルスマイル</v>
      </c>
      <c r="F2621" t="str">
        <f>"岡山"</f>
        <v>岡山</v>
      </c>
      <c r="G2621" t="str">
        <f>"月刊"</f>
        <v>月刊</v>
      </c>
      <c r="H2621" t="str">
        <f>"2002222337570"</f>
        <v>2002222337570</v>
      </c>
      <c r="I2621" t="str">
        <f>HYPERLINK("#", "https://opac.libnet.pref.okayama.jp/licsxp-opac/WOpacMsgNewListToTifTilDetailAction.do?tilcod=2002222337570")</f>
        <v>https://opac.libnet.pref.okayama.jp/licsxp-opac/WOpacMsgNewListToTifTilDetailAction.do?tilcod=2002222337570</v>
      </c>
    </row>
    <row r="2622" spans="1:9" x14ac:dyDescent="0.4">
      <c r="A2622" t="str">
        <f>"この道;邑久郡医師会誌"</f>
        <v>この道;邑久郡医師会誌</v>
      </c>
      <c r="B2622" s="1" t="str">
        <f t="shared" si="145"/>
        <v>この道;邑久郡医師会誌</v>
      </c>
      <c r="C2622" t="str">
        <f>"コノ ミチ*オクグン イシカイシ"</f>
        <v>コノ ミチ*オクグン イシカイシ</v>
      </c>
      <c r="D2622" t="str">
        <f>"[邑久郡医師会]"</f>
        <v>[邑久郡医師会]</v>
      </c>
      <c r="E2622" t="str">
        <f>"オクグン イシカイ"</f>
        <v>オクグン イシカイ</v>
      </c>
      <c r="F2622" t="str">
        <f>"[邑久郡]"</f>
        <v>[邑久郡]</v>
      </c>
      <c r="G2622" t="str">
        <f>"頻度不明"</f>
        <v>頻度不明</v>
      </c>
      <c r="H2622" t="str">
        <f>"2002222333506"</f>
        <v>2002222333506</v>
      </c>
      <c r="I2622" t="str">
        <f>HYPERLINK("#", "https://opac.libnet.pref.okayama.jp/licsxp-opac/WOpacMsgNewListToTifTilDetailAction.do?tilcod=2002222333506")</f>
        <v>https://opac.libnet.pref.okayama.jp/licsxp-opac/WOpacMsgNewListToTifTilDetailAction.do?tilcod=2002222333506</v>
      </c>
    </row>
    <row r="2623" spans="1:9" x14ac:dyDescent="0.4">
      <c r="A2623" t="s">
        <v>0</v>
      </c>
      <c r="B2623" s="1" t="str">
        <f t="shared" si="145"/>
        <v>="このゆびと?まれ；“おはなし”の会通信"</v>
      </c>
      <c r="C2623" t="str">
        <f>"コノ　ユビ　トーマレ　オハナシ　ノ　カイ　ツウシン"</f>
        <v>コノ　ユビ　トーマレ　オハナシ　ノ　カイ　ツウシン</v>
      </c>
      <c r="D2623" t="str">
        <f>"子ども劇場笠岡センター"</f>
        <v>子ども劇場笠岡センター</v>
      </c>
      <c r="E2623" t="str">
        <f>"コドモゲキジョウカサオカセンター"</f>
        <v>コドモゲキジョウカサオカセンター</v>
      </c>
      <c r="F2623" t="str">
        <f>"〔笠岡〕"</f>
        <v>〔笠岡〕</v>
      </c>
      <c r="G2623" t="str">
        <f>"月刊"</f>
        <v>月刊</v>
      </c>
      <c r="H2623" t="str">
        <f>"2002222281934"</f>
        <v>2002222281934</v>
      </c>
      <c r="I2623" t="str">
        <f>HYPERLINK("#", "https://opac.libnet.pref.okayama.jp/licsxp-opac/WOpacMsgNewListToTifTilDetailAction.do?tilcod=2002222281934")</f>
        <v>https://opac.libnet.pref.okayama.jp/licsxp-opac/WOpacMsgNewListToTifTilDetailAction.do?tilcod=2002222281934</v>
      </c>
    </row>
    <row r="2624" spans="1:9" x14ac:dyDescent="0.4">
      <c r="A2624" t="str">
        <f>"このはな"</f>
        <v>このはな</v>
      </c>
      <c r="B2624" s="1" t="str">
        <f t="shared" si="145"/>
        <v>このはな</v>
      </c>
      <c r="C2624" t="str">
        <f>"コノハナ"</f>
        <v>コノハナ</v>
      </c>
      <c r="D2624" t="str">
        <f>"岡山高等女学校校友会"</f>
        <v>岡山高等女学校校友会</v>
      </c>
      <c r="E2624" t="str">
        <f>"オカヤマ コウトウ ジョガッコウ コウユウカイ"</f>
        <v>オカヤマ コウトウ ジョガッコウ コウユウカイ</v>
      </c>
      <c r="F2624" t="str">
        <f>""</f>
        <v/>
      </c>
      <c r="G2624" t="str">
        <f>"頻度不明"</f>
        <v>頻度不明</v>
      </c>
      <c r="H2624" t="str">
        <f>"2002222280873"</f>
        <v>2002222280873</v>
      </c>
      <c r="I2624" t="str">
        <f>HYPERLINK("#", "https://opac.libnet.pref.okayama.jp/licsxp-opac/WOpacMsgNewListToTifTilDetailAction.do?tilcod=2002222280873")</f>
        <v>https://opac.libnet.pref.okayama.jp/licsxp-opac/WOpacMsgNewListToTifTilDetailAction.do?tilcod=2002222280873</v>
      </c>
    </row>
    <row r="2625" spans="1:9" x14ac:dyDescent="0.4">
      <c r="A2625" t="str">
        <f>"この道"</f>
        <v>この道</v>
      </c>
      <c r="B2625" s="1" t="str">
        <f t="shared" si="145"/>
        <v>この道</v>
      </c>
      <c r="C2625" t="str">
        <f>"コノミチ"</f>
        <v>コノミチ</v>
      </c>
      <c r="D2625" t="str">
        <f>"美作町教育研修所"</f>
        <v>美作町教育研修所</v>
      </c>
      <c r="E2625" t="str">
        <f>"ミマサカチョウキョウイクケンシュウジョ"</f>
        <v>ミマサカチョウキョウイクケンシュウジョ</v>
      </c>
      <c r="F2625" t="str">
        <f>"美作町（英田郡）"</f>
        <v>美作町（英田郡）</v>
      </c>
      <c r="G2625" t="str">
        <f>"頻度不明"</f>
        <v>頻度不明</v>
      </c>
      <c r="H2625" t="str">
        <f>"2002222280883"</f>
        <v>2002222280883</v>
      </c>
      <c r="I2625" t="str">
        <f>HYPERLINK("#", "https://opac.libnet.pref.okayama.jp/licsxp-opac/WOpacMsgNewListToTifTilDetailAction.do?tilcod=2002222280883")</f>
        <v>https://opac.libnet.pref.okayama.jp/licsxp-opac/WOpacMsgNewListToTifTilDetailAction.do?tilcod=2002222280883</v>
      </c>
    </row>
    <row r="2626" spans="1:9" x14ac:dyDescent="0.4">
      <c r="A2626" t="str">
        <f>"古備前"</f>
        <v>古備前</v>
      </c>
      <c r="B2626" s="1" t="str">
        <f t="shared" si="145"/>
        <v>古備前</v>
      </c>
      <c r="C2626" t="str">
        <f>"コビゼン"</f>
        <v>コビゼン</v>
      </c>
      <c r="D2626" t="str">
        <f>"古備前愛陶会岡山本部"</f>
        <v>古備前愛陶会岡山本部</v>
      </c>
      <c r="E2626" t="str">
        <f>"コビゼンアイトウカイオカヤマホンブ"</f>
        <v>コビゼンアイトウカイオカヤマホンブ</v>
      </c>
      <c r="F2626" t="str">
        <f>""</f>
        <v/>
      </c>
      <c r="G2626" t="str">
        <f>"頻度不明"</f>
        <v>頻度不明</v>
      </c>
      <c r="H2626" t="str">
        <f>"2002222280893"</f>
        <v>2002222280893</v>
      </c>
      <c r="I2626" t="str">
        <f>HYPERLINK("#", "https://opac.libnet.pref.okayama.jp/licsxp-opac/WOpacMsgNewListToTifTilDetailAction.do?tilcod=2002222280893")</f>
        <v>https://opac.libnet.pref.okayama.jp/licsxp-opac/WOpacMsgNewListToTifTilDetailAction.do?tilcod=2002222280893</v>
      </c>
    </row>
    <row r="2627" spans="1:9" x14ac:dyDescent="0.4">
      <c r="A2627" t="str">
        <f>"こまくさ；岡山視覚障害者山の会こまくさハイキングクラブ会報"</f>
        <v>こまくさ；岡山視覚障害者山の会こまくさハイキングクラブ会報</v>
      </c>
      <c r="B2627" s="1" t="str">
        <f t="shared" si="145"/>
        <v>こまくさ；岡山視覚障害者山の会こまくさハイキングクラブ会報</v>
      </c>
      <c r="C2627" t="str">
        <f>"コマクサ＊オカヤマ シカク ショウガイシャ ヤマノカイ コマクサ ハイキング クラブ カイホウ"</f>
        <v>コマクサ＊オカヤマ シカク ショウガイシャ ヤマノカイ コマクサ ハイキング クラブ カイホウ</v>
      </c>
      <c r="D2627" t="str">
        <f>"こまくさハイキングクラブ"</f>
        <v>こまくさハイキングクラブ</v>
      </c>
      <c r="E2627" t="str">
        <f>"コマクサ ハイキング クラブ"</f>
        <v>コマクサ ハイキング クラブ</v>
      </c>
      <c r="F2627" t="str">
        <f>"備前"</f>
        <v>備前</v>
      </c>
      <c r="G2627" t="str">
        <f>"頻度不明"</f>
        <v>頻度不明</v>
      </c>
      <c r="H2627" t="str">
        <f>"2002222337088"</f>
        <v>2002222337088</v>
      </c>
      <c r="I2627" t="str">
        <f>HYPERLINK("#", "https://opac.libnet.pref.okayama.jp/licsxp-opac/WOpacMsgNewListToTifTilDetailAction.do?tilcod=2002222337088")</f>
        <v>https://opac.libnet.pref.okayama.jp/licsxp-opac/WOpacMsgNewListToTifTilDetailAction.do?tilcod=2002222337088</v>
      </c>
    </row>
    <row r="2628" spans="1:9" x14ac:dyDescent="0.4">
      <c r="A2628" t="str">
        <f>"ごみゼロ新聞"</f>
        <v>ごみゼロ新聞</v>
      </c>
      <c r="B2628" s="1" t="str">
        <f t="shared" ref="B2628:B2691" si="146">HYPERLINK("#", A2628)</f>
        <v>ごみゼロ新聞</v>
      </c>
      <c r="C2628" t="str">
        <f>"ゴミ　ゼロ　シンブン"</f>
        <v>ゴミ　ゼロ　シンブン</v>
      </c>
      <c r="D2628" t="str">
        <f>"津山市ごみゼロ新聞編集委員会"</f>
        <v>津山市ごみゼロ新聞編集委員会</v>
      </c>
      <c r="E2628" t="str">
        <f>"ツヤマシゴミゼロシンブンヘンシュウイインカイ"</f>
        <v>ツヤマシゴミゼロシンブンヘンシュウイインカイ</v>
      </c>
      <c r="F2628" t="str">
        <f>"津山"</f>
        <v>津山</v>
      </c>
      <c r="G2628" t="str">
        <f>"年３回刊"</f>
        <v>年３回刊</v>
      </c>
      <c r="H2628" t="str">
        <f>"2002222282571"</f>
        <v>2002222282571</v>
      </c>
      <c r="I2628" t="str">
        <f>HYPERLINK("#", "https://opac.libnet.pref.okayama.jp/licsxp-opac/WOpacMsgNewListToTifTilDetailAction.do?tilcod=2002222282571")</f>
        <v>https://opac.libnet.pref.okayama.jp/licsxp-opac/WOpacMsgNewListToTifTilDetailAction.do?tilcod=2002222282571</v>
      </c>
    </row>
    <row r="2629" spans="1:9" x14ac:dyDescent="0.4">
      <c r="A2629" t="str">
        <f>"小路"</f>
        <v>小路</v>
      </c>
      <c r="B2629" s="1" t="str">
        <f t="shared" si="146"/>
        <v>小路</v>
      </c>
      <c r="C2629" t="str">
        <f>"コミチ"</f>
        <v>コミチ</v>
      </c>
      <c r="D2629" t="str">
        <f>"小路文芸社"</f>
        <v>小路文芸社</v>
      </c>
      <c r="E2629" t="str">
        <f>"コミチブンゲイシャ"</f>
        <v>コミチブンゲイシャ</v>
      </c>
      <c r="F2629" t="str">
        <f>""</f>
        <v/>
      </c>
      <c r="G2629" t="str">
        <f>"頻度不明"</f>
        <v>頻度不明</v>
      </c>
      <c r="H2629" t="str">
        <f>"2002222280913"</f>
        <v>2002222280913</v>
      </c>
      <c r="I2629" t="str">
        <f>HYPERLINK("#", "https://opac.libnet.pref.okayama.jp/licsxp-opac/WOpacMsgNewListToTifTilDetailAction.do?tilcod=2002222280913")</f>
        <v>https://opac.libnet.pref.okayama.jp/licsxp-opac/WOpacMsgNewListToTifTilDetailAction.do?tilcod=2002222280913</v>
      </c>
    </row>
    <row r="2630" spans="1:9" x14ac:dyDescent="0.4">
      <c r="A2630" t="str">
        <f>"ゴム会報"</f>
        <v>ゴム会報</v>
      </c>
      <c r="B2630" s="1" t="str">
        <f t="shared" si="146"/>
        <v>ゴム会報</v>
      </c>
      <c r="C2630" t="str">
        <f>"ゴム　カイホウ"</f>
        <v>ゴム　カイホウ</v>
      </c>
      <c r="D2630" t="str">
        <f>"中国ゴム技術研究会"</f>
        <v>中国ゴム技術研究会</v>
      </c>
      <c r="E2630" t="str">
        <f>"チュウゴクゴムギジュツケンキュウカイ"</f>
        <v>チュウゴクゴムギジュツケンキュウカイ</v>
      </c>
      <c r="F2630" t="str">
        <f>""</f>
        <v/>
      </c>
      <c r="G2630" t="str">
        <f>"頻度不明"</f>
        <v>頻度不明</v>
      </c>
      <c r="H2630" t="str">
        <f>"2002222280933"</f>
        <v>2002222280933</v>
      </c>
      <c r="I2630" t="str">
        <f>HYPERLINK("#", "https://opac.libnet.pref.okayama.jp/licsxp-opac/WOpacMsgNewListToTifTilDetailAction.do?tilcod=2002222280933")</f>
        <v>https://opac.libnet.pref.okayama.jp/licsxp-opac/WOpacMsgNewListToTifTilDetailAction.do?tilcod=2002222280933</v>
      </c>
    </row>
    <row r="2631" spans="1:9" x14ac:dyDescent="0.4">
      <c r="A2631" t="str">
        <f>"木もれ陽"</f>
        <v>木もれ陽</v>
      </c>
      <c r="B2631" s="1" t="str">
        <f t="shared" si="146"/>
        <v>木もれ陽</v>
      </c>
      <c r="C2631" t="str">
        <f>"コモレビ"</f>
        <v>コモレビ</v>
      </c>
      <c r="D2631" t="str">
        <f>"岡山済生会ライフケアセンター"</f>
        <v>岡山済生会ライフケアセンター</v>
      </c>
      <c r="E2631" t="str">
        <f>"オカヤマ サイセイカイ ライフ ケア センター"</f>
        <v>オカヤマ サイセイカイ ライフ ケア センター</v>
      </c>
      <c r="F2631" t="str">
        <f>"岡山"</f>
        <v>岡山</v>
      </c>
      <c r="G2631" t="str">
        <f>"季刊"</f>
        <v>季刊</v>
      </c>
      <c r="H2631" t="str">
        <f>"2002222321726"</f>
        <v>2002222321726</v>
      </c>
      <c r="I2631" t="str">
        <f>HYPERLINK("#", "https://opac.libnet.pref.okayama.jp/licsxp-opac/WOpacMsgNewListToTifTilDetailAction.do?tilcod=2002222321726")</f>
        <v>https://opac.libnet.pref.okayama.jp/licsxp-opac/WOpacMsgNewListToTifTilDetailAction.do?tilcod=2002222321726</v>
      </c>
    </row>
    <row r="2632" spans="1:9" x14ac:dyDescent="0.4">
      <c r="A2632" t="str">
        <f>"五陽"</f>
        <v>五陽</v>
      </c>
      <c r="B2632" s="1" t="str">
        <f t="shared" si="146"/>
        <v>五陽</v>
      </c>
      <c r="C2632" t="str">
        <f>"ゴヨウ"</f>
        <v>ゴヨウ</v>
      </c>
      <c r="D2632" t="str">
        <f>"五陽の会"</f>
        <v>五陽の会</v>
      </c>
      <c r="E2632" t="str">
        <f>"ゴヨウノカイ"</f>
        <v>ゴヨウノカイ</v>
      </c>
      <c r="F2632" t="str">
        <f>""</f>
        <v/>
      </c>
      <c r="G2632" t="str">
        <f>"年刊"</f>
        <v>年刊</v>
      </c>
      <c r="H2632" t="str">
        <f>"2002222280211"</f>
        <v>2002222280211</v>
      </c>
      <c r="I2632" t="str">
        <f>HYPERLINK("#", "https://opac.libnet.pref.okayama.jp/licsxp-opac/WOpacMsgNewListToTifTilDetailAction.do?tilcod=2002222280211")</f>
        <v>https://opac.libnet.pref.okayama.jp/licsxp-opac/WOpacMsgNewListToTifTilDetailAction.do?tilcod=2002222280211</v>
      </c>
    </row>
    <row r="2633" spans="1:9" x14ac:dyDescent="0.4">
      <c r="A2633" t="str">
        <f>"雇用情報"</f>
        <v>雇用情報</v>
      </c>
      <c r="B2633" s="1" t="str">
        <f t="shared" si="146"/>
        <v>雇用情報</v>
      </c>
      <c r="C2633" t="str">
        <f>"コヨウ　ジョウホウ"</f>
        <v>コヨウ　ジョウホウ</v>
      </c>
      <c r="D2633" t="str">
        <f>"岡山県心身障害者雇用促進協会"</f>
        <v>岡山県心身障害者雇用促進協会</v>
      </c>
      <c r="E2633" t="str">
        <f>"オカヤマケン シンシン ショウガイシャ コヨウ ソクシン キョウカイ"</f>
        <v>オカヤマケン シンシン ショウガイシャ コヨウ ソクシン キョウカイ</v>
      </c>
      <c r="F2633" t="str">
        <f>""</f>
        <v/>
      </c>
      <c r="G2633" t="str">
        <f>"頻度不明"</f>
        <v>頻度不明</v>
      </c>
      <c r="H2633" t="str">
        <f>"2002222280943"</f>
        <v>2002222280943</v>
      </c>
      <c r="I2633" t="str">
        <f>HYPERLINK("#", "https://opac.libnet.pref.okayama.jp/licsxp-opac/WOpacMsgNewListToTifTilDetailAction.do?tilcod=2002222280943")</f>
        <v>https://opac.libnet.pref.okayama.jp/licsxp-opac/WOpacMsgNewListToTifTilDetailAction.do?tilcod=2002222280943</v>
      </c>
    </row>
    <row r="2634" spans="1:9" x14ac:dyDescent="0.4">
      <c r="A2634" t="str">
        <f>"こらぼ；おかやまし教育広報紙"</f>
        <v>こらぼ；おかやまし教育広報紙</v>
      </c>
      <c r="B2634" s="1" t="str">
        <f t="shared" si="146"/>
        <v>こらぼ；おかやまし教育広報紙</v>
      </c>
      <c r="C2634" t="str">
        <f>"コラボ＊オカヤマシ キョウイク コウホウシ"</f>
        <v>コラボ＊オカヤマシ キョウイク コウホウシ</v>
      </c>
      <c r="D2634" t="str">
        <f>"岡山市教育委員会事務局教育企画総務課"</f>
        <v>岡山市教育委員会事務局教育企画総務課</v>
      </c>
      <c r="E2634" t="str">
        <f>"オカヤマシ キョウイク イインカイ ジムキョク キョウイク キカク ソウムカ"</f>
        <v>オカヤマシ キョウイク イインカイ ジムキョク キョウイク キカク ソウムカ</v>
      </c>
      <c r="F2634" t="str">
        <f>"岡山"</f>
        <v>岡山</v>
      </c>
      <c r="G2634" t="str">
        <f>"年２回刊"</f>
        <v>年２回刊</v>
      </c>
      <c r="H2634" t="str">
        <f>"2002222316267"</f>
        <v>2002222316267</v>
      </c>
      <c r="I2634" t="str">
        <f>HYPERLINK("#", "https://opac.libnet.pref.okayama.jp/licsxp-opac/WOpacMsgNewListToTifTilDetailAction.do?tilcod=2002222316267")</f>
        <v>https://opac.libnet.pref.okayama.jp/licsxp-opac/WOpacMsgNewListToTifTilDetailAction.do?tilcod=2002222316267</v>
      </c>
    </row>
    <row r="2635" spans="1:9" x14ac:dyDescent="0.4">
      <c r="A2635" t="str">
        <f>"五輪"</f>
        <v>五輪</v>
      </c>
      <c r="B2635" s="1" t="str">
        <f t="shared" si="146"/>
        <v>五輪</v>
      </c>
      <c r="C2635" t="str">
        <f>"ゴリン"</f>
        <v>ゴリン</v>
      </c>
      <c r="D2635" t="str">
        <f>"宮本武蔵顕彰五輪の会"</f>
        <v>宮本武蔵顕彰五輪の会</v>
      </c>
      <c r="E2635" t="str">
        <f>"ミヤモトムサシケンショウゴリンノカイ"</f>
        <v>ミヤモトムサシケンショウゴリンノカイ</v>
      </c>
      <c r="F2635" t="str">
        <f>""</f>
        <v/>
      </c>
      <c r="G2635" t="str">
        <f>"頻度不明"</f>
        <v>頻度不明</v>
      </c>
      <c r="H2635" t="str">
        <f>"2002222280953"</f>
        <v>2002222280953</v>
      </c>
      <c r="I2635" t="str">
        <f>HYPERLINK("#", "https://opac.libnet.pref.okayama.jp/licsxp-opac/WOpacMsgNewListToTifTilDetailAction.do?tilcod=2002222280953")</f>
        <v>https://opac.libnet.pref.okayama.jp/licsxp-opac/WOpacMsgNewListToTifTilDetailAction.do?tilcod=2002222280953</v>
      </c>
    </row>
    <row r="2636" spans="1:9" x14ac:dyDescent="0.4">
      <c r="A2636" t="str">
        <f>"Ｇｏｌｆ岡山ニュース（ゴルフ岡山ニュース）；郷土のゴルフ雑誌"</f>
        <v>Ｇｏｌｆ岡山ニュース（ゴルフ岡山ニュース）；郷土のゴルフ雑誌</v>
      </c>
      <c r="B2636" s="1" t="str">
        <f t="shared" si="146"/>
        <v>Ｇｏｌｆ岡山ニュース（ゴルフ岡山ニュース）；郷土のゴルフ雑誌</v>
      </c>
      <c r="C2636" t="str">
        <f>"ゴルフ　オカヤマ　ニュース＊キョウド　ノ　ゴルフ　ザッシ"</f>
        <v>ゴルフ　オカヤマ　ニュース＊キョウド　ノ　ゴルフ　ザッシ</v>
      </c>
      <c r="D2636" t="str">
        <f>"月刊ゴルフ岡山"</f>
        <v>月刊ゴルフ岡山</v>
      </c>
      <c r="E2636" t="str">
        <f>"ゲッカンゴルフオカヤマ"</f>
        <v>ゲッカンゴルフオカヤマ</v>
      </c>
      <c r="F2636" t="str">
        <f>""</f>
        <v/>
      </c>
      <c r="G2636" t="str">
        <f>"頻度不明"</f>
        <v>頻度不明</v>
      </c>
      <c r="H2636" t="str">
        <f>"2002222283043"</f>
        <v>2002222283043</v>
      </c>
      <c r="I2636" t="str">
        <f>HYPERLINK("#", "https://opac.libnet.pref.okayama.jp/licsxp-opac/WOpacMsgNewListToTifTilDetailAction.do?tilcod=2002222283043")</f>
        <v>https://opac.libnet.pref.okayama.jp/licsxp-opac/WOpacMsgNewListToTifTilDetailAction.do?tilcod=2002222283043</v>
      </c>
    </row>
    <row r="2637" spans="1:9" x14ac:dyDescent="0.4">
      <c r="A2637" t="str">
        <f>"ＧＯＬＦ　ＪＯＨＯ（ゴルフ情報）：岡山ゴルフ情報"</f>
        <v>ＧＯＬＦ　ＪＯＨＯ（ゴルフ情報）：岡山ゴルフ情報</v>
      </c>
      <c r="B2637" s="1" t="str">
        <f t="shared" si="146"/>
        <v>ＧＯＬＦ　ＪＯＨＯ（ゴルフ情報）：岡山ゴルフ情報</v>
      </c>
      <c r="C2637" t="str">
        <f>"ゴルフ　ジョウホウ＊オカヤマ　ゴルフ　ジョウホウ"</f>
        <v>ゴルフ　ジョウホウ＊オカヤマ　ゴルフ　ジョウホウ</v>
      </c>
      <c r="D2637" t="str">
        <f>"岡山スポーツ情報社"</f>
        <v>岡山スポーツ情報社</v>
      </c>
      <c r="E2637" t="str">
        <f>"オカヤマスポーツジョウホウシャ"</f>
        <v>オカヤマスポーツジョウホウシャ</v>
      </c>
      <c r="F2637" t="str">
        <f>"岡山"</f>
        <v>岡山</v>
      </c>
      <c r="G2637" t="str">
        <f>"月刊"</f>
        <v>月刊</v>
      </c>
      <c r="H2637" t="str">
        <f>"2002222300201"</f>
        <v>2002222300201</v>
      </c>
      <c r="I2637" t="str">
        <f>HYPERLINK("#", "https://opac.libnet.pref.okayama.jp/licsxp-opac/WOpacMsgNewListToTifTilDetailAction.do?tilcod=2002222300201")</f>
        <v>https://opac.libnet.pref.okayama.jp/licsxp-opac/WOpacMsgNewListToTifTilDetailAction.do?tilcod=2002222300201</v>
      </c>
    </row>
    <row r="2638" spans="1:9" x14ac:dyDescent="0.4">
      <c r="A2638" t="str">
        <f>"ＧＯＬＦ　ＦＡＮ（ゴルフファン）"</f>
        <v>ＧＯＬＦ　ＦＡＮ（ゴルフファン）</v>
      </c>
      <c r="B2638" s="1" t="str">
        <f t="shared" si="146"/>
        <v>ＧＯＬＦ　ＦＡＮ（ゴルフファン）</v>
      </c>
      <c r="C2638" t="str">
        <f>"ゴルフ　ファン"</f>
        <v>ゴルフ　ファン</v>
      </c>
      <c r="D2638" t="str">
        <f>"広島印刷"</f>
        <v>広島印刷</v>
      </c>
      <c r="E2638" t="str">
        <f>"ヒロシマインサツ"</f>
        <v>ヒロシマインサツ</v>
      </c>
      <c r="F2638" t="str">
        <f>"広島"</f>
        <v>広島</v>
      </c>
      <c r="G2638" t="str">
        <f>"月刊"</f>
        <v>月刊</v>
      </c>
      <c r="H2638" t="str">
        <f>"2002222300319"</f>
        <v>2002222300319</v>
      </c>
      <c r="I2638" t="str">
        <f>HYPERLINK("#", "https://opac.libnet.pref.okayama.jp/licsxp-opac/WOpacMsgNewListToTifTilDetailAction.do?tilcod=2002222300319")</f>
        <v>https://opac.libnet.pref.okayama.jp/licsxp-opac/WOpacMsgNewListToTifTilDetailAction.do?tilcod=2002222300319</v>
      </c>
    </row>
    <row r="2639" spans="1:9" x14ac:dyDescent="0.4">
      <c r="A2639" t="str">
        <f>"ころころ童話集"</f>
        <v>ころころ童話集</v>
      </c>
      <c r="B2639" s="1" t="str">
        <f t="shared" si="146"/>
        <v>ころころ童話集</v>
      </c>
      <c r="C2639" t="str">
        <f>"コロコロ　ドウワシュウ"</f>
        <v>コロコロ　ドウワシュウ</v>
      </c>
      <c r="D2639" t="str">
        <f>"どんぐりどうわ会"</f>
        <v>どんぐりどうわ会</v>
      </c>
      <c r="E2639" t="str">
        <f>"ドングリドウワカイ"</f>
        <v>ドングリドウワカイ</v>
      </c>
      <c r="F2639" t="str">
        <f>"倉敷"</f>
        <v>倉敷</v>
      </c>
      <c r="G2639" t="str">
        <f>"年刊"</f>
        <v>年刊</v>
      </c>
      <c r="H2639" t="str">
        <f>"2002222280221"</f>
        <v>2002222280221</v>
      </c>
      <c r="I2639" t="str">
        <f>HYPERLINK("#", "https://opac.libnet.pref.okayama.jp/licsxp-opac/WOpacMsgNewListToTifTilDetailAction.do?tilcod=2002222280221")</f>
        <v>https://opac.libnet.pref.okayama.jp/licsxp-opac/WOpacMsgNewListToTifTilDetailAction.do?tilcod=2002222280221</v>
      </c>
    </row>
    <row r="2640" spans="1:9" x14ac:dyDescent="0.4">
      <c r="A2640" t="str">
        <f>"ころぼっくる；親と教師がつづるくらしの記録"</f>
        <v>ころぼっくる；親と教師がつづるくらしの記録</v>
      </c>
      <c r="B2640" s="1" t="str">
        <f t="shared" si="146"/>
        <v>ころぼっくる；親と教師がつづるくらしの記録</v>
      </c>
      <c r="C2640" t="str">
        <f>"コロボックル＊オヤ　ト　キョウシ　ガ　ツズル　クラシ　ノ　キロク"</f>
        <v>コロボックル＊オヤ　ト　キョウシ　ガ　ツズル　クラシ　ノ　キロク</v>
      </c>
      <c r="D2640" t="str">
        <f>"ころぼっくる協"</f>
        <v>ころぼっくる協</v>
      </c>
      <c r="E2640" t="str">
        <f>"コロボックルキョウ"</f>
        <v>コロボックルキョウ</v>
      </c>
      <c r="F2640" t="str">
        <f>"山陽町（赤磐郡）"</f>
        <v>山陽町（赤磐郡）</v>
      </c>
      <c r="G2640" t="str">
        <f>"年刊"</f>
        <v>年刊</v>
      </c>
      <c r="H2640" t="str">
        <f>"2002222283053"</f>
        <v>2002222283053</v>
      </c>
      <c r="I2640" t="str">
        <f>HYPERLINK("#", "https://opac.libnet.pref.okayama.jp/licsxp-opac/WOpacMsgNewListToTifTilDetailAction.do?tilcod=2002222283053")</f>
        <v>https://opac.libnet.pref.okayama.jp/licsxp-opac/WOpacMsgNewListToTifTilDetailAction.do?tilcod=2002222283053</v>
      </c>
    </row>
    <row r="2641" spans="1:9" x14ac:dyDescent="0.4">
      <c r="A2641" t="str">
        <f>"ころぼっくる便"</f>
        <v>ころぼっくる便</v>
      </c>
      <c r="B2641" s="1" t="str">
        <f t="shared" si="146"/>
        <v>ころぼっくる便</v>
      </c>
      <c r="C2641" t="str">
        <f>"コロボックルビン"</f>
        <v>コロボックルビン</v>
      </c>
      <c r="D2641" t="str">
        <f>"ころぼっくる協"</f>
        <v>ころぼっくる協</v>
      </c>
      <c r="E2641" t="str">
        <f>"コロボックルキョウ"</f>
        <v>コロボックルキョウ</v>
      </c>
      <c r="F2641" t="str">
        <f>"山陽町（赤磐郡）"</f>
        <v>山陽町（赤磐郡）</v>
      </c>
      <c r="G2641" t="str">
        <f>"頻度不明"</f>
        <v>頻度不明</v>
      </c>
      <c r="H2641" t="str">
        <f>"2002222283063"</f>
        <v>2002222283063</v>
      </c>
      <c r="I2641" t="str">
        <f>HYPERLINK("#", "https://opac.libnet.pref.okayama.jp/licsxp-opac/WOpacMsgNewListToTifTilDetailAction.do?tilcod=2002222283063")</f>
        <v>https://opac.libnet.pref.okayama.jp/licsxp-opac/WOpacMsgNewListToTifTilDetailAction.do?tilcod=2002222283063</v>
      </c>
    </row>
    <row r="2642" spans="1:9" x14ac:dyDescent="0.4">
      <c r="A2642" t="str">
        <f>"ごんご通信"</f>
        <v>ごんご通信</v>
      </c>
      <c r="B2642" s="1" t="str">
        <f t="shared" si="146"/>
        <v>ごんご通信</v>
      </c>
      <c r="C2642" t="str">
        <f>"ゴンゴ　ツウシン"</f>
        <v>ゴンゴ　ツウシン</v>
      </c>
      <c r="D2642" t="str">
        <f>"子どもセンター協議会事務局"</f>
        <v>子どもセンター協議会事務局</v>
      </c>
      <c r="E2642" t="str">
        <f>"コドモセンターキョウギカイジムキョク"</f>
        <v>コドモセンターキョウギカイジムキョク</v>
      </c>
      <c r="F2642" t="str">
        <f>"津山"</f>
        <v>津山</v>
      </c>
      <c r="G2642" t="str">
        <f>"頻度不明"</f>
        <v>頻度不明</v>
      </c>
      <c r="H2642" t="str">
        <f>"2002222285911"</f>
        <v>2002222285911</v>
      </c>
      <c r="I2642" t="str">
        <f>HYPERLINK("#", "https://opac.libnet.pref.okayama.jp/licsxp-opac/WOpacMsgNewListToTifTilDetailAction.do?tilcod=2002222285911")</f>
        <v>https://opac.libnet.pref.okayama.jp/licsxp-opac/WOpacMsgNewListToTifTilDetailAction.do?tilcod=2002222285911</v>
      </c>
    </row>
    <row r="2643" spans="1:9" x14ac:dyDescent="0.4">
      <c r="A2643" t="str">
        <f>"金光学園中学・高等学校学校案内"</f>
        <v>金光学園中学・高等学校学校案内</v>
      </c>
      <c r="B2643" s="1" t="str">
        <f t="shared" si="146"/>
        <v>金光学園中学・高等学校学校案内</v>
      </c>
      <c r="C2643" t="str">
        <f>"コンコウ　ガクエン　チュウガク　コウトウ　ガッコウ　ガッコウ　アンナイ"</f>
        <v>コンコウ　ガクエン　チュウガク　コウトウ　ガッコウ　ガッコウ　アンナイ</v>
      </c>
      <c r="D2643" t="str">
        <f>"金光学園中学・高等学校"</f>
        <v>金光学園中学・高等学校</v>
      </c>
      <c r="E2643" t="str">
        <f>"コンコウ ガクエン チュウガク コウトウ ガッコウ"</f>
        <v>コンコウ ガクエン チュウガク コウトウ ガッコウ</v>
      </c>
      <c r="F2643" t="str">
        <f>"浅口"</f>
        <v>浅口</v>
      </c>
      <c r="G2643" t="str">
        <f>"年刊"</f>
        <v>年刊</v>
      </c>
      <c r="H2643" t="str">
        <f>"2002222301267"</f>
        <v>2002222301267</v>
      </c>
      <c r="I2643" t="str">
        <f>HYPERLINK("#", "https://opac.libnet.pref.okayama.jp/licsxp-opac/WOpacMsgNewListToTifTilDetailAction.do?tilcod=2002222301267")</f>
        <v>https://opac.libnet.pref.okayama.jp/licsxp-opac/WOpacMsgNewListToTifTilDetailAction.do?tilcod=2002222301267</v>
      </c>
    </row>
    <row r="2644" spans="1:9" x14ac:dyDescent="0.4">
      <c r="A2644" t="str">
        <f>"金光学園中学・高等学校学校要覧"</f>
        <v>金光学園中学・高等学校学校要覧</v>
      </c>
      <c r="B2644" s="1" t="str">
        <f t="shared" si="146"/>
        <v>金光学園中学・高等学校学校要覧</v>
      </c>
      <c r="C2644" t="str">
        <f>"コンコウ　ガクエン　チュウガク　コウトウ　ガッコウ　ガッコウ　ヨウラン"</f>
        <v>コンコウ　ガクエン　チュウガク　コウトウ　ガッコウ　ガッコウ　ヨウラン</v>
      </c>
      <c r="D2644" t="str">
        <f>"金光学園中学・高等学校"</f>
        <v>金光学園中学・高等学校</v>
      </c>
      <c r="E2644" t="str">
        <f>"コンコウ ガクエン チュウガク コウトウ ガッコウ"</f>
        <v>コンコウ ガクエン チュウガク コウトウ ガッコウ</v>
      </c>
      <c r="F2644" t="str">
        <f>"金光（浅口郡）"</f>
        <v>金光（浅口郡）</v>
      </c>
      <c r="G2644" t="str">
        <f>"年刊"</f>
        <v>年刊</v>
      </c>
      <c r="H2644" t="str">
        <f>"2002222300697"</f>
        <v>2002222300697</v>
      </c>
      <c r="I2644" t="str">
        <f>HYPERLINK("#", "https://opac.libnet.pref.okayama.jp/licsxp-opac/WOpacMsgNewListToTifTilDetailAction.do?tilcod=2002222300697")</f>
        <v>https://opac.libnet.pref.okayama.jp/licsxp-opac/WOpacMsgNewListToTifTilDetailAction.do?tilcod=2002222300697</v>
      </c>
    </row>
    <row r="2645" spans="1:9" x14ac:dyDescent="0.4">
      <c r="A2645" t="str">
        <f>"金光学園ほつま同窓会誌"</f>
        <v>金光学園ほつま同窓会誌</v>
      </c>
      <c r="B2645" s="1" t="str">
        <f t="shared" si="146"/>
        <v>金光学園ほつま同窓会誌</v>
      </c>
      <c r="C2645" t="str">
        <f>"コンコウ ガクエン ホツマ ドウソウカイシ"</f>
        <v>コンコウ ガクエン ホツマ ドウソウカイシ</v>
      </c>
      <c r="D2645" t="str">
        <f>"金光学園ほつま同窓会"</f>
        <v>金光学園ほつま同窓会</v>
      </c>
      <c r="E2645" t="str">
        <f>"コンコウ ガクエン ホツマ ドウソウカイ"</f>
        <v>コンコウ ガクエン ホツマ ドウソウカイ</v>
      </c>
      <c r="F2645" t="str">
        <f>"金光町(浅口郡)"</f>
        <v>金光町(浅口郡)</v>
      </c>
      <c r="G2645" t="str">
        <f>"頻度不明"</f>
        <v>頻度不明</v>
      </c>
      <c r="H2645" t="str">
        <f>"2002222332546"</f>
        <v>2002222332546</v>
      </c>
      <c r="I2645" t="str">
        <f>HYPERLINK("#", "https://opac.libnet.pref.okayama.jp/licsxp-opac/WOpacMsgNewListToTifTilDetailAction.do?tilcod=2002222332546")</f>
        <v>https://opac.libnet.pref.okayama.jp/licsxp-opac/WOpacMsgNewListToTifTilDetailAction.do?tilcod=2002222332546</v>
      </c>
    </row>
    <row r="2646" spans="1:9" x14ac:dyDescent="0.4">
      <c r="A2646" t="str">
        <f>"〔金光学園〕研究紀要"</f>
        <v>〔金光学園〕研究紀要</v>
      </c>
      <c r="B2646" s="1" t="str">
        <f t="shared" si="146"/>
        <v>〔金光学園〕研究紀要</v>
      </c>
      <c r="C2646" t="str">
        <f>"コンコウ　ガクエン＊ケンキュウ　キヨウ"</f>
        <v>コンコウ　ガクエン＊ケンキュウ　キヨウ</v>
      </c>
      <c r="D2646" t="str">
        <f>"金光学園"</f>
        <v>金光学園</v>
      </c>
      <c r="E2646" t="str">
        <f>"コンコウ ガクエン"</f>
        <v>コンコウ ガクエン</v>
      </c>
      <c r="F2646" t="str">
        <f>""</f>
        <v/>
      </c>
      <c r="G2646" t="str">
        <f>"頻度不明"</f>
        <v>頻度不明</v>
      </c>
      <c r="H2646" t="str">
        <f>"2002222289563"</f>
        <v>2002222289563</v>
      </c>
      <c r="I2646" t="str">
        <f>HYPERLINK("#", "https://opac.libnet.pref.okayama.jp/licsxp-opac/WOpacMsgNewListToTifTilDetailAction.do?tilcod=2002222289563")</f>
        <v>https://opac.libnet.pref.okayama.jp/licsxp-opac/WOpacMsgNewListToTifTilDetailAction.do?tilcod=2002222289563</v>
      </c>
    </row>
    <row r="2647" spans="1:9" x14ac:dyDescent="0.4">
      <c r="A2647" t="str">
        <f>"〔金光学園〕やつなみ"</f>
        <v>〔金光学園〕やつなみ</v>
      </c>
      <c r="B2647" s="1" t="str">
        <f t="shared" si="146"/>
        <v>〔金光学園〕やつなみ</v>
      </c>
      <c r="C2647" t="str">
        <f>"コンコウ　ガクエン＊ヤツナミ"</f>
        <v>コンコウ　ガクエン＊ヤツナミ</v>
      </c>
      <c r="D2647" t="str">
        <f>"金光学園やつなみ保護者会"</f>
        <v>金光学園やつなみ保護者会</v>
      </c>
      <c r="E2647" t="str">
        <f>"コンコウ ガクエン ヤツナミ ホゴシャカイ"</f>
        <v>コンコウ ガクエン ヤツナミ ホゴシャカイ</v>
      </c>
      <c r="F2647" t="str">
        <f>"浅口"</f>
        <v>浅口</v>
      </c>
      <c r="G2647" t="str">
        <f>"年３回刊"</f>
        <v>年３回刊</v>
      </c>
      <c r="H2647" t="str">
        <f>"2002222293171"</f>
        <v>2002222293171</v>
      </c>
      <c r="I2647" t="str">
        <f>HYPERLINK("#", "https://opac.libnet.pref.okayama.jp/licsxp-opac/WOpacMsgNewListToTifTilDetailAction.do?tilcod=2002222293171")</f>
        <v>https://opac.libnet.pref.okayama.jp/licsxp-opac/WOpacMsgNewListToTifTilDetailAction.do?tilcod=2002222293171</v>
      </c>
    </row>
    <row r="2648" spans="1:9" x14ac:dyDescent="0.4">
      <c r="A2648" t="str">
        <f>"金光教学"</f>
        <v>金光教学</v>
      </c>
      <c r="B2648" s="1" t="str">
        <f t="shared" si="146"/>
        <v>金光教学</v>
      </c>
      <c r="C2648" t="str">
        <f>"コンコウ　キョウガク"</f>
        <v>コンコウ　キョウガク</v>
      </c>
      <c r="D2648" t="str">
        <f>"金光教教学研究所"</f>
        <v>金光教教学研究所</v>
      </c>
      <c r="E2648" t="str">
        <f>"コンコウキョウ キョウガク ケンキュウジョ"</f>
        <v>コンコウキョウ キョウガク ケンキュウジョ</v>
      </c>
      <c r="F2648" t="str">
        <f>"浅口"</f>
        <v>浅口</v>
      </c>
      <c r="G2648" t="str">
        <f>"年刊"</f>
        <v>年刊</v>
      </c>
      <c r="H2648" t="str">
        <f>"2002222294061"</f>
        <v>2002222294061</v>
      </c>
      <c r="I2648" t="str">
        <f>HYPERLINK("#", "https://opac.libnet.pref.okayama.jp/licsxp-opac/WOpacMsgNewListToTifTilDetailAction.do?tilcod=2002222294061")</f>
        <v>https://opac.libnet.pref.okayama.jp/licsxp-opac/WOpacMsgNewListToTifTilDetailAction.do?tilcod=2002222294061</v>
      </c>
    </row>
    <row r="2649" spans="1:9" x14ac:dyDescent="0.4">
      <c r="A2649" t="str">
        <f>"金光教徒"</f>
        <v>金光教徒</v>
      </c>
      <c r="B2649" s="1" t="str">
        <f t="shared" si="146"/>
        <v>金光教徒</v>
      </c>
      <c r="C2649" t="str">
        <f>"コンコウ　キョウト"</f>
        <v>コンコウ　キョウト</v>
      </c>
      <c r="D2649" t="str">
        <f>"金光教徒社"</f>
        <v>金光教徒社</v>
      </c>
      <c r="E2649" t="str">
        <f>"コンコウキョウトシャ"</f>
        <v>コンコウキョウトシャ</v>
      </c>
      <c r="F2649" t="str">
        <f t="shared" ref="F2649:F2655" si="147">"金光町（浅口郡）"</f>
        <v>金光町（浅口郡）</v>
      </c>
      <c r="G2649" t="str">
        <f>"旬刊"</f>
        <v>旬刊</v>
      </c>
      <c r="H2649" t="str">
        <f>"2002222300979"</f>
        <v>2002222300979</v>
      </c>
      <c r="I2649" t="str">
        <f>HYPERLINK("#", "https://opac.libnet.pref.okayama.jp/licsxp-opac/WOpacMsgNewListToTifTilDetailAction.do?tilcod=2002222300979")</f>
        <v>https://opac.libnet.pref.okayama.jp/licsxp-opac/WOpacMsgNewListToTifTilDetailAction.do?tilcod=2002222300979</v>
      </c>
    </row>
    <row r="2650" spans="1:9" x14ac:dyDescent="0.4">
      <c r="A2650" t="str">
        <f>"金光中学校校友会報"</f>
        <v>金光中学校校友会報</v>
      </c>
      <c r="B2650" s="1" t="str">
        <f t="shared" si="146"/>
        <v>金光中学校校友会報</v>
      </c>
      <c r="C2650" t="str">
        <f>"コンコウ チュウガッコウ コウユウ カイホウ"</f>
        <v>コンコウ チュウガッコウ コウユウ カイホウ</v>
      </c>
      <c r="D2650" t="str">
        <f>"金光中学校校友会"</f>
        <v>金光中学校校友会</v>
      </c>
      <c r="E2650" t="str">
        <f>"コンコウ チュウガッコウ コウユウカイ"</f>
        <v>コンコウ チュウガッコウ コウユウカイ</v>
      </c>
      <c r="F2650" t="str">
        <f t="shared" si="147"/>
        <v>金光町（浅口郡）</v>
      </c>
      <c r="G2650" t="str">
        <f>"頻度不明"</f>
        <v>頻度不明</v>
      </c>
      <c r="H2650" t="str">
        <f>"2002222301724"</f>
        <v>2002222301724</v>
      </c>
      <c r="I2650" t="str">
        <f>HYPERLINK("#", "https://opac.libnet.pref.okayama.jp/licsxp-opac/WOpacMsgNewListToTifTilDetailAction.do?tilcod=2002222301724")</f>
        <v>https://opac.libnet.pref.okayama.jp/licsxp-opac/WOpacMsgNewListToTifTilDetailAction.do?tilcod=2002222301724</v>
      </c>
    </row>
    <row r="2651" spans="1:9" x14ac:dyDescent="0.4">
      <c r="A2651" t="str">
        <f>"金光町史だより"</f>
        <v>金光町史だより</v>
      </c>
      <c r="B2651" s="1" t="str">
        <f t="shared" si="146"/>
        <v>金光町史だより</v>
      </c>
      <c r="C2651" t="str">
        <f>"コンコウ　チョウシ　ダヨリ"</f>
        <v>コンコウ　チョウシ　ダヨリ</v>
      </c>
      <c r="D2651" t="str">
        <f>"金光町史編纂委員会"</f>
        <v>金光町史編纂委員会</v>
      </c>
      <c r="E2651" t="str">
        <f>"コンコウチョウシヘンサンイインカイ"</f>
        <v>コンコウチョウシヘンサンイインカイ</v>
      </c>
      <c r="F2651" t="str">
        <f t="shared" si="147"/>
        <v>金光町（浅口郡）</v>
      </c>
      <c r="G2651" t="str">
        <f>"年刊"</f>
        <v>年刊</v>
      </c>
      <c r="H2651" t="str">
        <f>"2002222280841"</f>
        <v>2002222280841</v>
      </c>
      <c r="I2651" t="str">
        <f>HYPERLINK("#", "https://opac.libnet.pref.okayama.jp/licsxp-opac/WOpacMsgNewListToTifTilDetailAction.do?tilcod=2002222280841")</f>
        <v>https://opac.libnet.pref.okayama.jp/licsxp-opac/WOpacMsgNewListToTifTilDetailAction.do?tilcod=2002222280841</v>
      </c>
    </row>
    <row r="2652" spans="1:9" x14ac:dyDescent="0.4">
      <c r="A2652" t="str">
        <f>"金光町報"</f>
        <v>金光町報</v>
      </c>
      <c r="B2652" s="1" t="str">
        <f t="shared" si="146"/>
        <v>金光町報</v>
      </c>
      <c r="C2652" t="str">
        <f>"コンコウ　チョウホウ"</f>
        <v>コンコウ　チョウホウ</v>
      </c>
      <c r="D2652" t="str">
        <f>"金光町"</f>
        <v>金光町</v>
      </c>
      <c r="E2652" t="str">
        <f>"コンコウチョウ"</f>
        <v>コンコウチョウ</v>
      </c>
      <c r="F2652" t="str">
        <f t="shared" si="147"/>
        <v>金光町（浅口郡）</v>
      </c>
      <c r="G2652" t="str">
        <f>"月刊"</f>
        <v>月刊</v>
      </c>
      <c r="H2652" t="str">
        <f>"2002222301625"</f>
        <v>2002222301625</v>
      </c>
      <c r="I2652" t="str">
        <f>HYPERLINK("#", "https://opac.libnet.pref.okayama.jp/licsxp-opac/WOpacMsgNewListToTifTilDetailAction.do?tilcod=2002222301625")</f>
        <v>https://opac.libnet.pref.okayama.jp/licsxp-opac/WOpacMsgNewListToTifTilDetailAction.do?tilcod=2002222301625</v>
      </c>
    </row>
    <row r="2653" spans="1:9" x14ac:dyDescent="0.4">
      <c r="A2653" t="str">
        <f>"金光文化だより"</f>
        <v>金光文化だより</v>
      </c>
      <c r="B2653" s="1" t="str">
        <f t="shared" si="146"/>
        <v>金光文化だより</v>
      </c>
      <c r="C2653" t="str">
        <f>"コンコウ ブンカ ダヨリ"</f>
        <v>コンコウ ブンカ ダヨリ</v>
      </c>
      <c r="D2653" t="str">
        <f>"金光町文化協会"</f>
        <v>金光町文化協会</v>
      </c>
      <c r="E2653" t="str">
        <f>"コンコウチョウ ブンカ キョウカイ"</f>
        <v>コンコウチョウ ブンカ キョウカイ</v>
      </c>
      <c r="F2653" t="str">
        <f t="shared" si="147"/>
        <v>金光町（浅口郡）</v>
      </c>
      <c r="G2653" t="str">
        <f>"不定期刊"</f>
        <v>不定期刊</v>
      </c>
      <c r="H2653" t="str">
        <f>"2002222341232"</f>
        <v>2002222341232</v>
      </c>
      <c r="I2653" t="str">
        <f>HYPERLINK("#", "https://opac.libnet.pref.okayama.jp/licsxp-opac/WOpacMsgNewListToTifTilDetailAction.do?tilcod=2002222341232")</f>
        <v>https://opac.libnet.pref.okayama.jp/licsxp-opac/WOpacMsgNewListToTifTilDetailAction.do?tilcod=2002222341232</v>
      </c>
    </row>
    <row r="2654" spans="1:9" x14ac:dyDescent="0.4">
      <c r="A2654" t="str">
        <f>"金光教青年"</f>
        <v>金光教青年</v>
      </c>
      <c r="B2654" s="1" t="str">
        <f t="shared" si="146"/>
        <v>金光教青年</v>
      </c>
      <c r="C2654" t="str">
        <f>"コンコウキョウ　セイネン"</f>
        <v>コンコウキョウ　セイネン</v>
      </c>
      <c r="D2654" t="str">
        <f>"金光教青年会連合本部"</f>
        <v>金光教青年会連合本部</v>
      </c>
      <c r="E2654" t="str">
        <f>"コンコウキョウセイネンカイレンゴウホンブ"</f>
        <v>コンコウキョウセイネンカイレンゴウホンブ</v>
      </c>
      <c r="F2654" t="str">
        <f t="shared" si="147"/>
        <v>金光町（浅口郡）</v>
      </c>
      <c r="G2654" t="str">
        <f>"月刊"</f>
        <v>月刊</v>
      </c>
      <c r="H2654" t="str">
        <f>"2002222300305"</f>
        <v>2002222300305</v>
      </c>
      <c r="I2654" t="str">
        <f>HYPERLINK("#", "https://opac.libnet.pref.okayama.jp/licsxp-opac/WOpacMsgNewListToTifTilDetailAction.do?tilcod=2002222300305")</f>
        <v>https://opac.libnet.pref.okayama.jp/licsxp-opac/WOpacMsgNewListToTifTilDetailAction.do?tilcod=2002222300305</v>
      </c>
    </row>
    <row r="2655" spans="1:9" x14ac:dyDescent="0.4">
      <c r="A2655" t="str">
        <f>"金光教青年会雑誌"</f>
        <v>金光教青年会雑誌</v>
      </c>
      <c r="B2655" s="1" t="str">
        <f t="shared" si="146"/>
        <v>金光教青年会雑誌</v>
      </c>
      <c r="C2655" t="str">
        <f>"コンコウキョウ　セイネンカイ　ザッシ"</f>
        <v>コンコウキョウ　セイネンカイ　ザッシ</v>
      </c>
      <c r="D2655" t="str">
        <f>"金光教青年会本部"</f>
        <v>金光教青年会本部</v>
      </c>
      <c r="E2655" t="str">
        <f>"コンコウキョウ セイネンカイ ホンブ"</f>
        <v>コンコウキョウ セイネンカイ ホンブ</v>
      </c>
      <c r="F2655" t="str">
        <f t="shared" si="147"/>
        <v>金光町（浅口郡）</v>
      </c>
      <c r="G2655" t="str">
        <f>"頻度不明"</f>
        <v>頻度不明</v>
      </c>
      <c r="H2655" t="str">
        <f>"2002222280973"</f>
        <v>2002222280973</v>
      </c>
      <c r="I2655" t="str">
        <f>HYPERLINK("#", "https://opac.libnet.pref.okayama.jp/licsxp-opac/WOpacMsgNewListToTifTilDetailAction.do?tilcod=2002222280973")</f>
        <v>https://opac.libnet.pref.okayama.jp/licsxp-opac/WOpacMsgNewListToTifTilDetailAction.do?tilcod=2002222280973</v>
      </c>
    </row>
    <row r="2656" spans="1:9" x14ac:dyDescent="0.4">
      <c r="A2656" t="str">
        <f>"金光教徒"</f>
        <v>金光教徒</v>
      </c>
      <c r="B2656" s="1" t="str">
        <f t="shared" si="146"/>
        <v>金光教徒</v>
      </c>
      <c r="C2656" t="str">
        <f>"コンコウキョウト"</f>
        <v>コンコウキョウト</v>
      </c>
      <c r="D2656" t="str">
        <f>"金光教徒新聞社"</f>
        <v>金光教徒新聞社</v>
      </c>
      <c r="E2656" t="str">
        <f>"コンコウキョウト シンブンシャ"</f>
        <v>コンコウキョウト シンブンシャ</v>
      </c>
      <c r="F2656" t="str">
        <f>""</f>
        <v/>
      </c>
      <c r="G2656" t="str">
        <f>"その他"</f>
        <v>その他</v>
      </c>
      <c r="H2656" t="str">
        <f>"2002222280983"</f>
        <v>2002222280983</v>
      </c>
      <c r="I2656" t="str">
        <f>HYPERLINK("#", "https://opac.libnet.pref.okayama.jp/licsxp-opac/WOpacMsgNewListToTifTilDetailAction.do?tilcod=2002222280983")</f>
        <v>https://opac.libnet.pref.okayama.jp/licsxp-opac/WOpacMsgNewListToTifTilDetailAction.do?tilcod=2002222280983</v>
      </c>
    </row>
    <row r="2657" spans="1:9" x14ac:dyDescent="0.4">
      <c r="A2657" t="str">
        <f>"金光教報"</f>
        <v>金光教報</v>
      </c>
      <c r="B2657" s="1" t="str">
        <f t="shared" si="146"/>
        <v>金光教報</v>
      </c>
      <c r="C2657" t="str">
        <f>"コンコウキョウホウ"</f>
        <v>コンコウキョウホウ</v>
      </c>
      <c r="D2657" t="str">
        <f>"金光教本部教庁"</f>
        <v>金光教本部教庁</v>
      </c>
      <c r="E2657" t="str">
        <f>"コンコウキョウ ホンブ キョウチョウ"</f>
        <v>コンコウキョウ ホンブ キョウチョウ</v>
      </c>
      <c r="F2657" t="str">
        <f>"金光町（浅口郡）"</f>
        <v>金光町（浅口郡）</v>
      </c>
      <c r="G2657" t="str">
        <f>"月刊"</f>
        <v>月刊</v>
      </c>
      <c r="H2657" t="str">
        <f>"2002222292531"</f>
        <v>2002222292531</v>
      </c>
      <c r="I2657" t="str">
        <f>HYPERLINK("#", "https://opac.libnet.pref.okayama.jp/licsxp-opac/WOpacMsgNewListToTifTilDetailAction.do?tilcod=2002222292531")</f>
        <v>https://opac.libnet.pref.okayama.jp/licsxp-opac/WOpacMsgNewListToTifTilDetailAction.do?tilcod=2002222292531</v>
      </c>
    </row>
    <row r="2658" spans="1:9" x14ac:dyDescent="0.4">
      <c r="A2658" t="str">
        <f>"金光教報 KYOUHOU"</f>
        <v>金光教報 KYOUHOU</v>
      </c>
      <c r="B2658" s="1" t="str">
        <f t="shared" si="146"/>
        <v>金光教報 KYOUHOU</v>
      </c>
      <c r="C2658" t="str">
        <f>"コンコウキョウホウ"</f>
        <v>コンコウキョウホウ</v>
      </c>
      <c r="D2658" t="str">
        <f>"金光教本部教庁"</f>
        <v>金光教本部教庁</v>
      </c>
      <c r="E2658" t="str">
        <f>"コンコウキョウ ホンブ キョウチョウ"</f>
        <v>コンコウキョウ ホンブ キョウチョウ</v>
      </c>
      <c r="F2658" t="str">
        <f>"金光町（浅口郡）"</f>
        <v>金光町（浅口郡）</v>
      </c>
      <c r="G2658" t="str">
        <f>"月刊"</f>
        <v>月刊</v>
      </c>
      <c r="H2658" t="str">
        <f>"2002222337430"</f>
        <v>2002222337430</v>
      </c>
      <c r="I2658" t="str">
        <f>HYPERLINK("#", "https://opac.libnet.pref.okayama.jp/licsxp-opac/WOpacMsgNewListToTifTilDetailAction.do?tilcod=2002222337430")</f>
        <v>https://opac.libnet.pref.okayama.jp/licsxp-opac/WOpacMsgNewListToTifTilDetailAction.do?tilcod=2002222337430</v>
      </c>
    </row>
    <row r="2659" spans="1:9" x14ac:dyDescent="0.4">
      <c r="A2659" t="str">
        <f>"金光町・鴨方町合併協議会だより"</f>
        <v>金光町・鴨方町合併協議会だより</v>
      </c>
      <c r="B2659" s="1" t="str">
        <f t="shared" si="146"/>
        <v>金光町・鴨方町合併協議会だより</v>
      </c>
      <c r="C2659" t="str">
        <f>"コンコウチョウ　カモガタチョウ　ガッペイ　キョウギカイ　ダヨリ"</f>
        <v>コンコウチョウ　カモガタチョウ　ガッペイ　キョウギカイ　ダヨリ</v>
      </c>
      <c r="D2659" t="str">
        <f>"金光町・鴨方町合併協議会"</f>
        <v>金光町・鴨方町合併協議会</v>
      </c>
      <c r="E2659" t="str">
        <f>"コンコウチョウカモガタチョウガッペイキョウギカイ"</f>
        <v>コンコウチョウカモガタチョウガッペイキョウギカイ</v>
      </c>
      <c r="F2659" t="str">
        <f>"鴨方町（浅口郡）"</f>
        <v>鴨方町（浅口郡）</v>
      </c>
      <c r="G2659" t="str">
        <f>"頻度不明"</f>
        <v>頻度不明</v>
      </c>
      <c r="H2659" t="str">
        <f>"2002222300188"</f>
        <v>2002222300188</v>
      </c>
      <c r="I2659" t="str">
        <f>HYPERLINK("#", "https://opac.libnet.pref.okayama.jp/licsxp-opac/WOpacMsgNewListToTifTilDetailAction.do?tilcod=2002222300188")</f>
        <v>https://opac.libnet.pref.okayama.jp/licsxp-opac/WOpacMsgNewListToTifTilDetailAction.do?tilcod=2002222300188</v>
      </c>
    </row>
    <row r="2660" spans="1:9" x14ac:dyDescent="0.4">
      <c r="A2660" t="str">
        <f>"金光町・鴨方町社協合併協議会だより"</f>
        <v>金光町・鴨方町社協合併協議会だより</v>
      </c>
      <c r="B2660" s="1" t="str">
        <f t="shared" si="146"/>
        <v>金光町・鴨方町社協合併協議会だより</v>
      </c>
      <c r="C2660" t="str">
        <f>"コンコウチョウ　カモガタチョウ　シャキョウ　ガッペイ　キョウギカイ　ダヨリ"</f>
        <v>コンコウチョウ　カモガタチョウ　シャキョウ　ガッペイ　キョウギカイ　ダヨリ</v>
      </c>
      <c r="D2660" t="str">
        <f>"合併事務局"</f>
        <v>合併事務局</v>
      </c>
      <c r="E2660" t="str">
        <f>"ガッペイジムキョク"</f>
        <v>ガッペイジムキョク</v>
      </c>
      <c r="F2660" t="str">
        <f>"鴨方町（浅口郡）"</f>
        <v>鴨方町（浅口郡）</v>
      </c>
      <c r="G2660" t="str">
        <f>"頻度不明"</f>
        <v>頻度不明</v>
      </c>
      <c r="H2660" t="str">
        <f>"2002222300182"</f>
        <v>2002222300182</v>
      </c>
      <c r="I2660" t="str">
        <f>HYPERLINK("#", "https://opac.libnet.pref.okayama.jp/licsxp-opac/WOpacMsgNewListToTifTilDetailAction.do?tilcod=2002222300182")</f>
        <v>https://opac.libnet.pref.okayama.jp/licsxp-opac/WOpacMsgNewListToTifTilDetailAction.do?tilcod=2002222300182</v>
      </c>
    </row>
    <row r="2661" spans="1:9" x14ac:dyDescent="0.4">
      <c r="A2661" t="str">
        <f>"金光町・鴨方町・寄島町合併協議会だより"</f>
        <v>金光町・鴨方町・寄島町合併協議会だより</v>
      </c>
      <c r="B2661" s="1" t="str">
        <f t="shared" si="146"/>
        <v>金光町・鴨方町・寄島町合併協議会だより</v>
      </c>
      <c r="C2661" t="str">
        <f>"コンコウチョウ　カモガタチョウ　ヨリシマチョウ　ガッペイ　キョウギカイ　ダヨリ"</f>
        <v>コンコウチョウ　カモガタチョウ　ヨリシマチョウ　ガッペイ　キョウギカイ　ダヨリ</v>
      </c>
      <c r="D2661" t="str">
        <f>"金光町・鴨方町・寄島町合併協議会"</f>
        <v>金光町・鴨方町・寄島町合併協議会</v>
      </c>
      <c r="E2661" t="str">
        <f>"コンコウチョウカモガタチョウヨリシマチョウガッペイキョウギカイ"</f>
        <v>コンコウチョウカモガタチョウヨリシマチョウガッペイキョウギカイ</v>
      </c>
      <c r="F2661" t="str">
        <f>"鴨方町（浅口郡）"</f>
        <v>鴨方町（浅口郡）</v>
      </c>
      <c r="G2661" t="str">
        <f>"月刊"</f>
        <v>月刊</v>
      </c>
      <c r="H2661" t="str">
        <f>"2002222300258"</f>
        <v>2002222300258</v>
      </c>
      <c r="I2661" t="str">
        <f>HYPERLINK("#", "https://opac.libnet.pref.okayama.jp/licsxp-opac/WOpacMsgNewListToTifTilDetailAction.do?tilcod=2002222300258")</f>
        <v>https://opac.libnet.pref.okayama.jp/licsxp-opac/WOpacMsgNewListToTifTilDetailAction.do?tilcod=2002222300258</v>
      </c>
    </row>
    <row r="2662" spans="1:9" x14ac:dyDescent="0.4">
      <c r="A2662" t="str">
        <f>"金光図書館通信ミニ"</f>
        <v>金光図書館通信ミニ</v>
      </c>
      <c r="B2662" s="1" t="str">
        <f t="shared" si="146"/>
        <v>金光図書館通信ミニ</v>
      </c>
      <c r="C2662" t="str">
        <f>"コンコウトショカン ツウシン ミニ"</f>
        <v>コンコウトショカン ツウシン ミニ</v>
      </c>
      <c r="D2662" t="str">
        <f>"金光図書館"</f>
        <v>金光図書館</v>
      </c>
      <c r="E2662" t="str">
        <f>"コンコウ トショカン"</f>
        <v>コンコウ トショカン</v>
      </c>
      <c r="F2662" t="str">
        <f>"金光町（浅口郡）"</f>
        <v>金光町（浅口郡）</v>
      </c>
      <c r="G2662" t="str">
        <f>"不定期刊"</f>
        <v>不定期刊</v>
      </c>
      <c r="H2662" t="str">
        <f>"2002222334046"</f>
        <v>2002222334046</v>
      </c>
      <c r="I2662" t="str">
        <f>HYPERLINK("#", "https://opac.libnet.pref.okayama.jp/licsxp-opac/WOpacMsgNewListToTifTilDetailAction.do?tilcod=2002222334046")</f>
        <v>https://opac.libnet.pref.okayama.jp/licsxp-opac/WOpacMsgNewListToTifTilDetailAction.do?tilcod=2002222334046</v>
      </c>
    </row>
    <row r="2663" spans="1:9" x14ac:dyDescent="0.4">
      <c r="A2663" t="str">
        <f>"こんにちわ"</f>
        <v>こんにちわ</v>
      </c>
      <c r="B2663" s="1" t="str">
        <f t="shared" si="146"/>
        <v>こんにちわ</v>
      </c>
      <c r="C2663" t="str">
        <f>"コンニチワ "</f>
        <v xml:space="preserve">コンニチワ </v>
      </c>
      <c r="D2663" t="str">
        <f>"しげい病院"</f>
        <v>しげい病院</v>
      </c>
      <c r="E2663" t="str">
        <f>"シゲイ ビョウイン"</f>
        <v>シゲイ ビョウイン</v>
      </c>
      <c r="F2663" t="str">
        <f>"倉敷"</f>
        <v>倉敷</v>
      </c>
      <c r="G2663" t="str">
        <f>"月刊"</f>
        <v>月刊</v>
      </c>
      <c r="H2663" t="str">
        <f>"2002222319620"</f>
        <v>2002222319620</v>
      </c>
      <c r="I2663" t="str">
        <f>HYPERLINK("#", "https://opac.libnet.pref.okayama.jp/licsxp-opac/WOpacMsgNewListToTifTilDetailAction.do?tilcod=2002222319620")</f>
        <v>https://opac.libnet.pref.okayama.jp/licsxp-opac/WOpacMsgNewListToTifTilDetailAction.do?tilcod=2002222319620</v>
      </c>
    </row>
    <row r="2664" spans="1:9" x14ac:dyDescent="0.4">
      <c r="A2664" t="str">
        <f>"こんにちは、　岡山版"</f>
        <v>こんにちは、　岡山版</v>
      </c>
      <c r="B2664" s="1" t="str">
        <f t="shared" si="146"/>
        <v>こんにちは、　岡山版</v>
      </c>
      <c r="C2664" t="str">
        <f>"コンニチワ　オカヤマバン"</f>
        <v>コンニチワ　オカヤマバン</v>
      </c>
      <c r="D2664" t="str">
        <f>"ジョセイ新聞社"</f>
        <v>ジョセイ新聞社</v>
      </c>
      <c r="E2664" t="str">
        <f>"ジョセイシンブンシャ"</f>
        <v>ジョセイシンブンシャ</v>
      </c>
      <c r="F2664" t="str">
        <f>"岡山"</f>
        <v>岡山</v>
      </c>
      <c r="G2664" t="str">
        <f>"月刊"</f>
        <v>月刊</v>
      </c>
      <c r="H2664" t="str">
        <f>"2002222300877"</f>
        <v>2002222300877</v>
      </c>
      <c r="I2664" t="str">
        <f>HYPERLINK("#", "https://opac.libnet.pref.okayama.jp/licsxp-opac/WOpacMsgNewListToTifTilDetailAction.do?tilcod=2002222300877")</f>
        <v>https://opac.libnet.pref.okayama.jp/licsxp-opac/WOpacMsgNewListToTifTilDetailAction.do?tilcod=2002222300877</v>
      </c>
    </row>
    <row r="2665" spans="1:9" x14ac:dyDescent="0.4">
      <c r="A2665" t="str">
        <f>"こんにちは新聞　岡山版"</f>
        <v>こんにちは新聞　岡山版</v>
      </c>
      <c r="B2665" s="1" t="str">
        <f t="shared" si="146"/>
        <v>こんにちは新聞　岡山版</v>
      </c>
      <c r="C2665" t="str">
        <f>"コンニチワ　シンブン　オカヤマバン"</f>
        <v>コンニチワ　シンブン　オカヤマバン</v>
      </c>
      <c r="D2665" t="str">
        <f>"ジョセイ新聞社"</f>
        <v>ジョセイ新聞社</v>
      </c>
      <c r="E2665" t="str">
        <f>"ジョセイシンブンシャ"</f>
        <v>ジョセイシンブンシャ</v>
      </c>
      <c r="F2665" t="str">
        <f>"岡山"</f>
        <v>岡山</v>
      </c>
      <c r="G2665" t="str">
        <f>"隔週刊"</f>
        <v>隔週刊</v>
      </c>
      <c r="H2665" t="str">
        <f>"2002222300878"</f>
        <v>2002222300878</v>
      </c>
      <c r="I2665" t="str">
        <f>HYPERLINK("#", "https://opac.libnet.pref.okayama.jp/licsxp-opac/WOpacMsgNewListToTifTilDetailAction.do?tilcod=2002222300878")</f>
        <v>https://opac.libnet.pref.okayama.jp/licsxp-opac/WOpacMsgNewListToTifTilDetailAction.do?tilcod=2002222300878</v>
      </c>
    </row>
    <row r="2666" spans="1:9" x14ac:dyDescent="0.4">
      <c r="A2666" t="str">
        <f>"「こんにちは日本共産党の竹永みつえです」ニュース"</f>
        <v>「こんにちは日本共産党の竹永みつえです」ニュース</v>
      </c>
      <c r="B2666" s="1" t="str">
        <f t="shared" si="146"/>
        <v>「こんにちは日本共産党の竹永みつえです」ニュース</v>
      </c>
      <c r="C2666" t="str">
        <f>"コンニチワ　ニホン　キョウサントウ　ノ　タケナガ　ミツエ　デス　ニュース"</f>
        <v>コンニチワ　ニホン　キョウサントウ　ノ　タケナガ　ミツエ　デス　ニュース</v>
      </c>
      <c r="D2666" t="str">
        <f>"日本共産党岡山市議団"</f>
        <v>日本共産党岡山市議団</v>
      </c>
      <c r="E2666" t="str">
        <f>"ニホンキョウサントウオカヤマシギダン"</f>
        <v>ニホンキョウサントウオカヤマシギダン</v>
      </c>
      <c r="F2666" t="str">
        <f>"岡山"</f>
        <v>岡山</v>
      </c>
      <c r="G2666" t="str">
        <f>"頻度不明"</f>
        <v>頻度不明</v>
      </c>
      <c r="H2666" t="str">
        <f>"2002222311168"</f>
        <v>2002222311168</v>
      </c>
      <c r="I2666" t="str">
        <f>HYPERLINK("#", "https://opac.libnet.pref.okayama.jp/licsxp-opac/WOpacMsgNewListToTifTilDetailAction.do?tilcod=2002222311168")</f>
        <v>https://opac.libnet.pref.okayama.jp/licsxp-opac/WOpacMsgNewListToTifTilDetailAction.do?tilcod=2002222311168</v>
      </c>
    </row>
    <row r="2667" spans="1:9" x14ac:dyDescent="0.4">
      <c r="A2667" t="str">
        <f>"こんにちは備前；備前市市民センター情報　"</f>
        <v>こんにちは備前；備前市市民センター情報　</v>
      </c>
      <c r="B2667" s="1" t="str">
        <f t="shared" si="146"/>
        <v>こんにちは備前；備前市市民センター情報　</v>
      </c>
      <c r="C2667" t="str">
        <f>"コンニチワ　ビゼン＊ビゼンシ　シミン　センター　ジョウホウ"</f>
        <v>コンニチワ　ビゼン＊ビゼンシ　シミン　センター　ジョウホウ</v>
      </c>
      <c r="D2667" t="str">
        <f>"備前市市民センター"</f>
        <v>備前市市民センター</v>
      </c>
      <c r="E2667" t="str">
        <f>"ビゼンシシミンセンター"</f>
        <v>ビゼンシシミンセンター</v>
      </c>
      <c r="F2667" t="str">
        <f>"備前"</f>
        <v>備前</v>
      </c>
      <c r="G2667" t="str">
        <f>"月刊"</f>
        <v>月刊</v>
      </c>
      <c r="H2667" t="str">
        <f>"2002222280631"</f>
        <v>2002222280631</v>
      </c>
      <c r="I2667" t="str">
        <f>HYPERLINK("#", "https://opac.libnet.pref.okayama.jp/licsxp-opac/WOpacMsgNewListToTifTilDetailAction.do?tilcod=2002222280631")</f>
        <v>https://opac.libnet.pref.okayama.jp/licsxp-opac/WOpacMsgNewListToTifTilDetailAction.do?tilcod=2002222280631</v>
      </c>
    </row>
    <row r="2668" spans="1:9" x14ac:dyDescent="0.4">
      <c r="A2668" t="str">
        <f>"こんにちは〔赤坂町〕"</f>
        <v>こんにちは〔赤坂町〕</v>
      </c>
      <c r="B2668" s="1" t="str">
        <f t="shared" si="146"/>
        <v>こんにちは〔赤坂町〕</v>
      </c>
      <c r="C2668" t="str">
        <f>"コンニチワ＊アカサカチョウ"</f>
        <v>コンニチワ＊アカサカチョウ</v>
      </c>
      <c r="D2668" t="str">
        <f>"赤坂町報道委員会"</f>
        <v>赤坂町報道委員会</v>
      </c>
      <c r="E2668" t="str">
        <f>"アカサカチョウホウドウイインカイ"</f>
        <v>アカサカチョウホウドウイインカイ</v>
      </c>
      <c r="F2668" t="str">
        <f>"赤坂町（赤磐郡）"</f>
        <v>赤坂町（赤磐郡）</v>
      </c>
      <c r="G2668" t="str">
        <f>"月刊"</f>
        <v>月刊</v>
      </c>
      <c r="H2668" t="str">
        <f>"2002222281041"</f>
        <v>2002222281041</v>
      </c>
      <c r="I2668" t="str">
        <f>HYPERLINK("#", "https://opac.libnet.pref.okayama.jp/licsxp-opac/WOpacMsgNewListToTifTilDetailAction.do?tilcod=2002222281041")</f>
        <v>https://opac.libnet.pref.okayama.jp/licsxp-opac/WOpacMsgNewListToTifTilDetailAction.do?tilcod=2002222281041</v>
      </c>
    </row>
    <row r="2669" spans="1:9" x14ac:dyDescent="0.4">
      <c r="A2669" t="str">
        <f>"コンパス　自分で創る学校生活"</f>
        <v>コンパス　自分で創る学校生活</v>
      </c>
      <c r="B2669" s="1" t="str">
        <f t="shared" si="146"/>
        <v>コンパス　自分で創る学校生活</v>
      </c>
      <c r="C2669" t="str">
        <f>"コンパス　ジブン　デ　ツクル　ガッコウ　セイカツ　"</f>
        <v>コンパス　ジブン　デ　ツクル　ガッコウ　セイカツ　</v>
      </c>
      <c r="D2669" t="str">
        <f>"岡山市立岡山後楽館高等学校"</f>
        <v>岡山市立岡山後楽館高等学校</v>
      </c>
      <c r="E2669" t="str">
        <f>"オカヤマシリツオカヤマコウラクカンコウトウガッコウ"</f>
        <v>オカヤマシリツオカヤマコウラクカンコウトウガッコウ</v>
      </c>
      <c r="F2669" t="str">
        <f>"岡山"</f>
        <v>岡山</v>
      </c>
      <c r="G2669" t="str">
        <f>"年刊"</f>
        <v>年刊</v>
      </c>
      <c r="H2669" t="str">
        <f>"2002222300732"</f>
        <v>2002222300732</v>
      </c>
      <c r="I2669" t="str">
        <f>HYPERLINK("#", "https://opac.libnet.pref.okayama.jp/licsxp-opac/WOpacMsgNewListToTifTilDetailAction.do?tilcod=2002222300732")</f>
        <v>https://opac.libnet.pref.okayama.jp/licsxp-opac/WOpacMsgNewListToTifTilDetailAction.do?tilcod=2002222300732</v>
      </c>
    </row>
    <row r="2670" spans="1:9" x14ac:dyDescent="0.4">
      <c r="A2670" t="str">
        <f>"ＣＯＮＶＥＸ岡山イベント情報（コンベックス岡山イベント情報）"</f>
        <v>ＣＯＮＶＥＸ岡山イベント情報（コンベックス岡山イベント情報）</v>
      </c>
      <c r="B2670" s="1" t="str">
        <f t="shared" si="146"/>
        <v>ＣＯＮＶＥＸ岡山イベント情報（コンベックス岡山イベント情報）</v>
      </c>
      <c r="C2670" t="str">
        <f>"コンベックス　オカヤマ　イベント　ジョウホウ"</f>
        <v>コンベックス　オカヤマ　イベント　ジョウホウ</v>
      </c>
      <c r="D2670" t="str">
        <f>"岡山県総合展示場コンベックス岡山"</f>
        <v>岡山県総合展示場コンベックス岡山</v>
      </c>
      <c r="E2670" t="str">
        <f>"オカヤマケンソウゴウテンジジョウコンベックスオカヤマ"</f>
        <v>オカヤマケンソウゴウテンジジョウコンベックスオカヤマ</v>
      </c>
      <c r="F2670" t="str">
        <f>"岡山"</f>
        <v>岡山</v>
      </c>
      <c r="G2670" t="str">
        <f>"隔月刊"</f>
        <v>隔月刊</v>
      </c>
      <c r="H2670" t="str">
        <f>"2002222302275"</f>
        <v>2002222302275</v>
      </c>
      <c r="I2670" t="str">
        <f>HYPERLINK("#", "https://opac.libnet.pref.okayama.jp/licsxp-opac/WOpacMsgNewListToTifTilDetailAction.do?tilcod=2002222302275")</f>
        <v>https://opac.libnet.pref.okayama.jp/licsxp-opac/WOpacMsgNewListToTifTilDetailAction.do?tilcod=2002222302275</v>
      </c>
    </row>
    <row r="2671" spans="1:9" x14ac:dyDescent="0.4">
      <c r="A2671" t="str">
        <f>"懇話会資料"</f>
        <v>懇話会資料</v>
      </c>
      <c r="B2671" s="1" t="str">
        <f t="shared" si="146"/>
        <v>懇話会資料</v>
      </c>
      <c r="C2671" t="str">
        <f>"コンワカイ シリョウ"</f>
        <v>コンワカイ シリョウ</v>
      </c>
      <c r="D2671" t="str">
        <f>"岡山県政経懇話会"</f>
        <v>岡山県政経懇話会</v>
      </c>
      <c r="E2671" t="str">
        <f>"オカヤマケン セイケイ コンワカイ"</f>
        <v>オカヤマケン セイケイ コンワカイ</v>
      </c>
      <c r="F2671" t="str">
        <f>""</f>
        <v/>
      </c>
      <c r="G2671" t="str">
        <f>"月刊"</f>
        <v>月刊</v>
      </c>
      <c r="H2671" t="str">
        <f>"2002222283093"</f>
        <v>2002222283093</v>
      </c>
      <c r="I2671" t="str">
        <f>HYPERLINK("#", "https://opac.libnet.pref.okayama.jp/licsxp-opac/WOpacMsgNewListToTifTilDetailAction.do?tilcod=2002222283093")</f>
        <v>https://opac.libnet.pref.okayama.jp/licsxp-opac/WOpacMsgNewListToTifTilDetailAction.do?tilcod=2002222283093</v>
      </c>
    </row>
    <row r="2672" spans="1:9" x14ac:dyDescent="0.4">
      <c r="A2672" t="str">
        <f>"ザ・宴会；岡山版"</f>
        <v>ザ・宴会；岡山版</v>
      </c>
      <c r="B2672" s="1" t="str">
        <f t="shared" si="146"/>
        <v>ザ・宴会；岡山版</v>
      </c>
      <c r="C2672" t="str">
        <f>"ザ　エンカイ＊オカヤマバン"</f>
        <v>ザ　エンカイ＊オカヤマバン</v>
      </c>
      <c r="D2672" t="str">
        <f>"Ａ・Ｖ"</f>
        <v>Ａ・Ｖ</v>
      </c>
      <c r="E2672" t="str">
        <f>"エーブイ"</f>
        <v>エーブイ</v>
      </c>
      <c r="F2672" t="str">
        <f>""</f>
        <v/>
      </c>
      <c r="G2672" t="str">
        <f>"年刊"</f>
        <v>年刊</v>
      </c>
      <c r="H2672" t="str">
        <f>"2002222281223"</f>
        <v>2002222281223</v>
      </c>
      <c r="I2672" t="str">
        <f>HYPERLINK("#", "https://opac.libnet.pref.okayama.jp/licsxp-opac/WOpacMsgNewListToTifTilDetailAction.do?tilcod=2002222281223")</f>
        <v>https://opac.libnet.pref.okayama.jp/licsxp-opac/WOpacMsgNewListToTifTilDetailAction.do?tilcod=2002222281223</v>
      </c>
    </row>
    <row r="2673" spans="1:9" x14ac:dyDescent="0.4">
      <c r="A2673" t="str">
        <f>"ザ・ＯＫＡＹＡＭＡ"</f>
        <v>ザ・ＯＫＡＹＡＭＡ</v>
      </c>
      <c r="B2673" s="1" t="str">
        <f t="shared" si="146"/>
        <v>ザ・ＯＫＡＹＡＭＡ</v>
      </c>
      <c r="C2673" t="str">
        <f>"ザ　オカヤマ"</f>
        <v>ザ　オカヤマ</v>
      </c>
      <c r="D2673" t="str">
        <f>"岡山県民通信社"</f>
        <v>岡山県民通信社</v>
      </c>
      <c r="E2673" t="str">
        <f>"オカヤマケンミンツウシンシャ"</f>
        <v>オカヤマケンミンツウシンシャ</v>
      </c>
      <c r="F2673" t="str">
        <f>"岡山"</f>
        <v>岡山</v>
      </c>
      <c r="G2673" t="str">
        <f>"頻度不明"</f>
        <v>頻度不明</v>
      </c>
      <c r="H2673" t="str">
        <f>"2002222300879"</f>
        <v>2002222300879</v>
      </c>
      <c r="I2673" t="str">
        <f>HYPERLINK("#", "https://opac.libnet.pref.okayama.jp/licsxp-opac/WOpacMsgNewListToTifTilDetailAction.do?tilcod=2002222300879")</f>
        <v>https://opac.libnet.pref.okayama.jp/licsxp-opac/WOpacMsgNewListToTifTilDetailAction.do?tilcod=2002222300879</v>
      </c>
    </row>
    <row r="2674" spans="1:9" x14ac:dyDescent="0.4">
      <c r="A2674" t="str">
        <f>"ザ　ジャーナル！！"</f>
        <v>ザ　ジャーナル！！</v>
      </c>
      <c r="B2674" s="1" t="str">
        <f t="shared" si="146"/>
        <v>ザ　ジャーナル！！</v>
      </c>
      <c r="C2674" t="str">
        <f>"ザ　ジャーナル　"</f>
        <v>ザ　ジャーナル　</v>
      </c>
      <c r="D2674" t="str">
        <f>"国立病院機構岡山医療センター"</f>
        <v>国立病院機構岡山医療センター</v>
      </c>
      <c r="E2674" t="str">
        <f>"コクリツ ビョウイン キコウ オカヤマ イリョウ センター"</f>
        <v>コクリツ ビョウイン キコウ オカヤマ イリョウ センター</v>
      </c>
      <c r="F2674" t="str">
        <f>"岡山"</f>
        <v>岡山</v>
      </c>
      <c r="G2674" t="str">
        <f>"季刊"</f>
        <v>季刊</v>
      </c>
      <c r="H2674" t="str">
        <f>"2002222301395"</f>
        <v>2002222301395</v>
      </c>
      <c r="I2674" t="str">
        <f>HYPERLINK("#", "https://opac.libnet.pref.okayama.jp/licsxp-opac/WOpacMsgNewListToTifTilDetailAction.do?tilcod=2002222301395")</f>
        <v>https://opac.libnet.pref.okayama.jp/licsxp-opac/WOpacMsgNewListToTifTilDetailAction.do?tilcod=2002222301395</v>
      </c>
    </row>
    <row r="2675" spans="1:9" x14ac:dyDescent="0.4">
      <c r="A2675" t="str">
        <f>"Ｔｈｅ　Ｓｅｔｏ　ｉｎｌａｎｄ　ｔｉｍｅｓ"</f>
        <v>Ｔｈｅ　Ｓｅｔｏ　ｉｎｌａｎｄ　ｔｉｍｅｓ</v>
      </c>
      <c r="B2675" s="1" t="str">
        <f t="shared" si="146"/>
        <v>Ｔｈｅ　Ｓｅｔｏ　ｉｎｌａｎｄ　ｔｉｍｅｓ</v>
      </c>
      <c r="C2675" t="str">
        <f>"ザ　セト　インランド　タイムス"</f>
        <v>ザ　セト　インランド　タイムス</v>
      </c>
      <c r="D2675" t="str">
        <f>"藤原仁"</f>
        <v>藤原仁</v>
      </c>
      <c r="E2675" t="str">
        <f>"フジワラヒトシ"</f>
        <v>フジワラヒトシ</v>
      </c>
      <c r="F2675" t="str">
        <f>"岡山"</f>
        <v>岡山</v>
      </c>
      <c r="G2675" t="str">
        <f>"月刊"</f>
        <v>月刊</v>
      </c>
      <c r="H2675" t="str">
        <f>"2002222290491"</f>
        <v>2002222290491</v>
      </c>
      <c r="I2675" t="str">
        <f>HYPERLINK("#", "https://opac.libnet.pref.okayama.jp/licsxp-opac/WOpacMsgNewListToTifTilDetailAction.do?tilcod=2002222290491")</f>
        <v>https://opac.libnet.pref.okayama.jp/licsxp-opac/WOpacMsgNewListToTifTilDetailAction.do?tilcod=2002222290491</v>
      </c>
    </row>
    <row r="2676" spans="1:9" x14ac:dyDescent="0.4">
      <c r="A2676" t="str">
        <f>"ＴＨＥ　ＢＲＩＤＧＥ（ザ　ブリッジ）；加茂町国際交流ニュースレター"</f>
        <v>ＴＨＥ　ＢＲＩＤＧＥ（ザ　ブリッジ）；加茂町国際交流ニュースレター</v>
      </c>
      <c r="B2676" s="1" t="str">
        <f t="shared" si="146"/>
        <v>ＴＨＥ　ＢＲＩＤＧＥ（ザ　ブリッジ）；加茂町国際交流ニュースレター</v>
      </c>
      <c r="C2676" t="str">
        <f>"ザ　ブリッジ＊カモチョウ　コクサイ　コウリュウ　ニュースレター"</f>
        <v>ザ　ブリッジ＊カモチョウ　コクサイ　コウリュウ　ニュースレター</v>
      </c>
      <c r="D2676" t="str">
        <f>"加茂町"</f>
        <v>加茂町</v>
      </c>
      <c r="E2676" t="str">
        <f>"カモチョウ"</f>
        <v>カモチョウ</v>
      </c>
      <c r="F2676" t="str">
        <f>"加茂町（苫田郡）"</f>
        <v>加茂町（苫田郡）</v>
      </c>
      <c r="G2676" t="str">
        <f>"頻度不明"</f>
        <v>頻度不明</v>
      </c>
      <c r="H2676" t="str">
        <f>"2002222285661"</f>
        <v>2002222285661</v>
      </c>
      <c r="I2676" t="str">
        <f>HYPERLINK("#", "https://opac.libnet.pref.okayama.jp/licsxp-opac/WOpacMsgNewListToTifTilDetailAction.do?tilcod=2002222285661")</f>
        <v>https://opac.libnet.pref.okayama.jp/licsxp-opac/WOpacMsgNewListToTifTilDetailAction.do?tilcod=2002222285661</v>
      </c>
    </row>
    <row r="2677" spans="1:9" x14ac:dyDescent="0.4">
      <c r="A2677" t="str">
        <f>"Ｔｈｅ　Ｐｒｏｇｒｅｓｓ"</f>
        <v>Ｔｈｅ　Ｐｒｏｇｒｅｓｓ</v>
      </c>
      <c r="B2677" s="1" t="str">
        <f t="shared" si="146"/>
        <v>Ｔｈｅ　Ｐｒｏｇｒｅｓｓ</v>
      </c>
      <c r="C2677" t="str">
        <f>"ザ　プログレス"</f>
        <v>ザ　プログレス</v>
      </c>
      <c r="D2677" t="str">
        <f>"岡山県庁英会話部"</f>
        <v>岡山県庁英会話部</v>
      </c>
      <c r="E2677" t="str">
        <f>"オカヤマケンチョウエイカイワブ"</f>
        <v>オカヤマケンチョウエイカイワブ</v>
      </c>
      <c r="F2677" t="str">
        <f>"岡山"</f>
        <v>岡山</v>
      </c>
      <c r="G2677" t="str">
        <f>"頻度不明"</f>
        <v>頻度不明</v>
      </c>
      <c r="H2677" t="str">
        <f>"2002222281363"</f>
        <v>2002222281363</v>
      </c>
      <c r="I2677" t="str">
        <f>HYPERLINK("#", "https://opac.libnet.pref.okayama.jp/licsxp-opac/WOpacMsgNewListToTifTilDetailAction.do?tilcod=2002222281363")</f>
        <v>https://opac.libnet.pref.okayama.jp/licsxp-opac/WOpacMsgNewListToTifTilDetailAction.do?tilcod=2002222281363</v>
      </c>
    </row>
    <row r="2678" spans="1:9" x14ac:dyDescent="0.4">
      <c r="A2678" t="str">
        <f>"ＴＨＥ　ＢＯＮＯＢＯＳ（ザ　ボノボス）"</f>
        <v>ＴＨＥ　ＢＯＮＯＢＯＳ（ザ　ボノボス）</v>
      </c>
      <c r="B2678" s="1" t="str">
        <f t="shared" si="146"/>
        <v>ＴＨＥ　ＢＯＮＯＢＯＳ（ザ　ボノボス）</v>
      </c>
      <c r="C2678" t="str">
        <f>"ザ　ボノボス"</f>
        <v>ザ　ボノボス</v>
      </c>
      <c r="D2678" t="str">
        <f>"ＦＩＡＳＣＯ"</f>
        <v>ＦＩＡＳＣＯ</v>
      </c>
      <c r="E2678" t="str">
        <f>"フィアスコ"</f>
        <v>フィアスコ</v>
      </c>
      <c r="F2678" t="str">
        <f>"倉敷"</f>
        <v>倉敷</v>
      </c>
      <c r="G2678" t="str">
        <f>"年２回刊"</f>
        <v>年２回刊</v>
      </c>
      <c r="H2678" t="str">
        <f>"2002222302245"</f>
        <v>2002222302245</v>
      </c>
      <c r="I2678" t="str">
        <f>HYPERLINK("#", "https://opac.libnet.pref.okayama.jp/licsxp-opac/WOpacMsgNewListToTifTilDetailAction.do?tilcod=2002222302245")</f>
        <v>https://opac.libnet.pref.okayama.jp/licsxp-opac/WOpacMsgNewListToTifTilDetailAction.do?tilcod=2002222302245</v>
      </c>
    </row>
    <row r="2679" spans="1:9" x14ac:dyDescent="0.4">
      <c r="A2679" t="str">
        <f>"ＴＨＥ　ＭＡＮＩＷＡ　ＲＯＴＡＲＹ　ＣＬＵＢ　ＭＯＮＴＨＬＹ"</f>
        <v>ＴＨＥ　ＭＡＮＩＷＡ　ＲＯＴＡＲＹ　ＣＬＵＢ　ＭＯＮＴＨＬＹ</v>
      </c>
      <c r="B2679" s="1" t="str">
        <f t="shared" si="146"/>
        <v>ＴＨＥ　ＭＡＮＩＷＡ　ＲＯＴＡＲＹ　ＣＬＵＢ　ＭＯＮＴＨＬＹ</v>
      </c>
      <c r="C2679" t="str">
        <f>"ザ　マニワ　ロータリー　クラブ　マンスリー"</f>
        <v>ザ　マニワ　ロータリー　クラブ　マンスリー</v>
      </c>
      <c r="D2679" t="str">
        <f>"真庭ロータリークラブ"</f>
        <v>真庭ロータリークラブ</v>
      </c>
      <c r="E2679" t="str">
        <f>"マニワロータリークラブ"</f>
        <v>マニワロータリークラブ</v>
      </c>
      <c r="F2679" t="str">
        <f>""</f>
        <v/>
      </c>
      <c r="G2679" t="str">
        <f>"頻度不明"</f>
        <v>頻度不明</v>
      </c>
      <c r="H2679" t="str">
        <f>"2002222281383"</f>
        <v>2002222281383</v>
      </c>
      <c r="I2679" t="str">
        <f>HYPERLINK("#", "https://opac.libnet.pref.okayama.jp/licsxp-opac/WOpacMsgNewListToTifTilDetailAction.do?tilcod=2002222281383")</f>
        <v>https://opac.libnet.pref.okayama.jp/licsxp-opac/WOpacMsgNewListToTifTilDetailAction.do?tilcod=2002222281383</v>
      </c>
    </row>
    <row r="2680" spans="1:9" x14ac:dyDescent="0.4">
      <c r="A2680" t="str">
        <f>"THE LION TIMES"</f>
        <v>THE LION TIMES</v>
      </c>
      <c r="B2680" s="1" t="str">
        <f t="shared" si="146"/>
        <v>THE LION TIMES</v>
      </c>
      <c r="C2680" t="str">
        <f>"ザ ライオンタイムス"</f>
        <v>ザ ライオンタイムス</v>
      </c>
      <c r="D2680" t="str">
        <f>"ライオンズクラブ国際協会336-B地区地区誌編集委員会"</f>
        <v>ライオンズクラブ国際協会336-B地区地区誌編集委員会</v>
      </c>
      <c r="E2680" t="str">
        <f>"ライオンズ クラブ コクサイ キョウカイ サンビャクサンジュウロク ビー チク チクシ ヘンシュウ イインカイ"</f>
        <v>ライオンズ クラブ コクサイ キョウカイ サンビャクサンジュウロク ビー チク チクシ ヘンシュウ イインカイ</v>
      </c>
      <c r="F2680" t="str">
        <f>"岡山"</f>
        <v>岡山</v>
      </c>
      <c r="G2680" t="str">
        <f>"季刊"</f>
        <v>季刊</v>
      </c>
      <c r="H2680" t="str">
        <f>"2002222316249"</f>
        <v>2002222316249</v>
      </c>
      <c r="I2680" t="str">
        <f>HYPERLINK("#", "https://opac.libnet.pref.okayama.jp/licsxp-opac/WOpacMsgNewListToTifTilDetailAction.do?tilcod=2002222316249")</f>
        <v>https://opac.libnet.pref.okayama.jp/licsxp-opac/WOpacMsgNewListToTifTilDetailAction.do?tilcod=2002222316249</v>
      </c>
    </row>
    <row r="2681" spans="1:9" x14ac:dyDescent="0.4">
      <c r="A2681" t="str">
        <f>"ＴＨＥ　ＲＯＴＡＲＹ　ＣＬＵＢ　ＯＦ　ＫＡＳＡＯＫＡ"</f>
        <v>ＴＨＥ　ＲＯＴＡＲＹ　ＣＬＵＢ　ＯＦ　ＫＡＳＡＯＫＡ</v>
      </c>
      <c r="B2681" s="1" t="str">
        <f t="shared" si="146"/>
        <v>ＴＨＥ　ＲＯＴＡＲＹ　ＣＬＵＢ　ＯＦ　ＫＡＳＡＯＫＡ</v>
      </c>
      <c r="C2681" t="str">
        <f>"ザ　ロータリー　クラブ　オブ　カサオカ"</f>
        <v>ザ　ロータリー　クラブ　オブ　カサオカ</v>
      </c>
      <c r="D2681" t="str">
        <f>"笠岡ロータリークラブ"</f>
        <v>笠岡ロータリークラブ</v>
      </c>
      <c r="E2681" t="str">
        <f>"カサオカロータリークラブ"</f>
        <v>カサオカロータリークラブ</v>
      </c>
      <c r="F2681" t="str">
        <f>"笠岡"</f>
        <v>笠岡</v>
      </c>
      <c r="G2681" t="str">
        <f>"頻度不明"</f>
        <v>頻度不明</v>
      </c>
      <c r="H2681" t="str">
        <f>"2002222281443"</f>
        <v>2002222281443</v>
      </c>
      <c r="I2681" t="str">
        <f>HYPERLINK("#", "https://opac.libnet.pref.okayama.jp/licsxp-opac/WOpacMsgNewListToTifTilDetailAction.do?tilcod=2002222281443")</f>
        <v>https://opac.libnet.pref.okayama.jp/licsxp-opac/WOpacMsgNewListToTifTilDetailAction.do?tilcod=2002222281443</v>
      </c>
    </row>
    <row r="2682" spans="1:9" x14ac:dyDescent="0.4">
      <c r="A2682" t="str">
        <f>"サークルマム"</f>
        <v>サークルマム</v>
      </c>
      <c r="B2682" s="1" t="str">
        <f t="shared" si="146"/>
        <v>サークルマム</v>
      </c>
      <c r="C2682" t="str">
        <f>"サークル　マム"</f>
        <v>サークル　マム</v>
      </c>
      <c r="D2682" t="str">
        <f>"下電開発"</f>
        <v>下電開発</v>
      </c>
      <c r="E2682" t="str">
        <f>"シモデンカイハツ"</f>
        <v>シモデンカイハツ</v>
      </c>
      <c r="F2682" t="str">
        <f>"岡山"</f>
        <v>岡山</v>
      </c>
      <c r="G2682" t="str">
        <f>"隔月刊"</f>
        <v>隔月刊</v>
      </c>
      <c r="H2682" t="str">
        <f>"2002222292571"</f>
        <v>2002222292571</v>
      </c>
      <c r="I2682" t="str">
        <f>HYPERLINK("#", "https://opac.libnet.pref.okayama.jp/licsxp-opac/WOpacMsgNewListToTifTilDetailAction.do?tilcod=2002222292571")</f>
        <v>https://opac.libnet.pref.okayama.jp/licsxp-opac/WOpacMsgNewListToTifTilDetailAction.do?tilcod=2002222292571</v>
      </c>
    </row>
    <row r="2683" spans="1:9" x14ac:dyDescent="0.4">
      <c r="A2683" t="str">
        <f>"彩雲"</f>
        <v>彩雲</v>
      </c>
      <c r="B2683" s="1" t="str">
        <f t="shared" si="146"/>
        <v>彩雲</v>
      </c>
      <c r="C2683" t="str">
        <f>"サイウン"</f>
        <v>サイウン</v>
      </c>
      <c r="D2683" t="str">
        <f>"岡山文化財研究会"</f>
        <v>岡山文化財研究会</v>
      </c>
      <c r="E2683" t="str">
        <f>"オカヤマ ブンカザイ ケンキュウカイ"</f>
        <v>オカヤマ ブンカザイ ケンキュウカイ</v>
      </c>
      <c r="F2683" t="str">
        <f>"岡山"</f>
        <v>岡山</v>
      </c>
      <c r="G2683" t="str">
        <f>"頻度不明"</f>
        <v>頻度不明</v>
      </c>
      <c r="H2683" t="str">
        <f>"2002222300707"</f>
        <v>2002222300707</v>
      </c>
      <c r="I2683" t="str">
        <f>HYPERLINK("#", "https://opac.libnet.pref.okayama.jp/licsxp-opac/WOpacMsgNewListToTifTilDetailAction.do?tilcod=2002222300707")</f>
        <v>https://opac.libnet.pref.okayama.jp/licsxp-opac/WOpacMsgNewListToTifTilDetailAction.do?tilcod=2002222300707</v>
      </c>
    </row>
    <row r="2684" spans="1:9" x14ac:dyDescent="0.4">
      <c r="A2684" t="str">
        <f>"彩雲；笠岡市立竹喬美術館友の会会報"</f>
        <v>彩雲；笠岡市立竹喬美術館友の会会報</v>
      </c>
      <c r="B2684" s="1" t="str">
        <f t="shared" si="146"/>
        <v>彩雲；笠岡市立竹喬美術館友の会会報</v>
      </c>
      <c r="C2684" t="str">
        <f>"サイウン＊カサオカシリツ　チッキョウ　ビジュツカン　トモノカイ　カイホウ"</f>
        <v>サイウン＊カサオカシリツ　チッキョウ　ビジュツカン　トモノカイ　カイホウ</v>
      </c>
      <c r="D2684" t="str">
        <f>"笠岡市立竹喬美術館友の会"</f>
        <v>笠岡市立竹喬美術館友の会</v>
      </c>
      <c r="E2684" t="str">
        <f>"カサオカシリツ チッキョウ ビジュツカン トモ ノ カイ"</f>
        <v>カサオカシリツ チッキョウ ビジュツカン トモ ノ カイ</v>
      </c>
      <c r="F2684" t="str">
        <f>"笠岡"</f>
        <v>笠岡</v>
      </c>
      <c r="G2684" t="str">
        <f>"年２回刊"</f>
        <v>年２回刊</v>
      </c>
      <c r="H2684" t="str">
        <f>"2002222300432"</f>
        <v>2002222300432</v>
      </c>
      <c r="I2684" t="str">
        <f>HYPERLINK("#", "https://opac.libnet.pref.okayama.jp/licsxp-opac/WOpacMsgNewListToTifTilDetailAction.do?tilcod=2002222300432")</f>
        <v>https://opac.libnet.pref.okayama.jp/licsxp-opac/WOpacMsgNewListToTifTilDetailAction.do?tilcod=2002222300432</v>
      </c>
    </row>
    <row r="2685" spans="1:9" x14ac:dyDescent="0.4">
      <c r="A2685" t="str">
        <f>"採集手帖"</f>
        <v>採集手帖</v>
      </c>
      <c r="B2685" s="1" t="str">
        <f t="shared" si="146"/>
        <v>採集手帖</v>
      </c>
      <c r="C2685" t="str">
        <f>"サイシュウ　テチョウ"</f>
        <v>サイシュウ　テチョウ</v>
      </c>
      <c r="D2685" t="str">
        <f>"中国民俗学会"</f>
        <v>中国民俗学会</v>
      </c>
      <c r="E2685" t="str">
        <f>"チュウゴクミンゾクガッカイ"</f>
        <v>チュウゴクミンゾクガッカイ</v>
      </c>
      <c r="F2685" t="str">
        <f>""</f>
        <v/>
      </c>
      <c r="G2685" t="str">
        <f>"頻度不明"</f>
        <v>頻度不明</v>
      </c>
      <c r="H2685" t="str">
        <f>"2002222281093"</f>
        <v>2002222281093</v>
      </c>
      <c r="I2685" t="str">
        <f>HYPERLINK("#", "https://opac.libnet.pref.okayama.jp/licsxp-opac/WOpacMsgNewListToTifTilDetailAction.do?tilcod=2002222281093")</f>
        <v>https://opac.libnet.pref.okayama.jp/licsxp-opac/WOpacMsgNewListToTifTilDetailAction.do?tilcod=2002222281093</v>
      </c>
    </row>
    <row r="2686" spans="1:9" x14ac:dyDescent="0.4">
      <c r="A2686" t="str">
        <f>"最上教報"</f>
        <v>最上教報</v>
      </c>
      <c r="B2686" s="1" t="str">
        <f t="shared" si="146"/>
        <v>最上教報</v>
      </c>
      <c r="C2686" t="str">
        <f>"サイジョウ　キョウホウ"</f>
        <v>サイジョウ　キョウホウ</v>
      </c>
      <c r="D2686" t="str">
        <f>"最上教報社"</f>
        <v>最上教報社</v>
      </c>
      <c r="E2686" t="str">
        <f>"サイジョウ キョウホウシャ"</f>
        <v>サイジョウ キョウホウシャ</v>
      </c>
      <c r="F2686" t="str">
        <f t="shared" ref="F2686:F2700" si="148">"岡山"</f>
        <v>岡山</v>
      </c>
      <c r="G2686" t="str">
        <f>"月刊"</f>
        <v>月刊</v>
      </c>
      <c r="H2686" t="str">
        <f>"2002222292541"</f>
        <v>2002222292541</v>
      </c>
      <c r="I2686" t="str">
        <f>HYPERLINK("#", "https://opac.libnet.pref.okayama.jp/licsxp-opac/WOpacMsgNewListToTifTilDetailAction.do?tilcod=2002222292541")</f>
        <v>https://opac.libnet.pref.okayama.jp/licsxp-opac/WOpacMsgNewListToTifTilDetailAction.do?tilcod=2002222292541</v>
      </c>
    </row>
    <row r="2687" spans="1:9" x14ac:dyDescent="0.4">
      <c r="A2687" t="str">
        <f>"さいじょうのいのり"</f>
        <v>さいじょうのいのり</v>
      </c>
      <c r="B2687" s="1" t="str">
        <f t="shared" si="146"/>
        <v>さいじょうのいのり</v>
      </c>
      <c r="C2687" t="str">
        <f>"サイジョウ　ノ　イノリ"</f>
        <v>サイジョウ　ノ　イノリ</v>
      </c>
      <c r="D2687" t="str">
        <f>"最上教報社"</f>
        <v>最上教報社</v>
      </c>
      <c r="E2687" t="str">
        <f>"サイジョウ キョウホウシャ"</f>
        <v>サイジョウ キョウホウシャ</v>
      </c>
      <c r="F2687" t="str">
        <f t="shared" si="148"/>
        <v>岡山</v>
      </c>
      <c r="G2687" t="str">
        <f>"月刊"</f>
        <v>月刊</v>
      </c>
      <c r="H2687" t="str">
        <f>"2002222281193"</f>
        <v>2002222281193</v>
      </c>
      <c r="I2687" t="str">
        <f>HYPERLINK("#", "https://opac.libnet.pref.okayama.jp/licsxp-opac/WOpacMsgNewListToTifTilDetailAction.do?tilcod=2002222281193")</f>
        <v>https://opac.libnet.pref.okayama.jp/licsxp-opac/WOpacMsgNewListToTifTilDetailAction.do?tilcod=2002222281193</v>
      </c>
    </row>
    <row r="2688" spans="1:9" x14ac:dyDescent="0.4">
      <c r="A2688" t="str">
        <f>"最上宝暦"</f>
        <v>最上宝暦</v>
      </c>
      <c r="B2688" s="1" t="str">
        <f t="shared" si="146"/>
        <v>最上宝暦</v>
      </c>
      <c r="C2688" t="str">
        <f>"サイジョウ　ホウレキ"</f>
        <v>サイジョウ　ホウレキ</v>
      </c>
      <c r="D2688" t="str">
        <f>"最上教報社"</f>
        <v>最上教報社</v>
      </c>
      <c r="E2688" t="str">
        <f>"サイジョウ キョウホウシャ"</f>
        <v>サイジョウ キョウホウシャ</v>
      </c>
      <c r="F2688" t="str">
        <f t="shared" si="148"/>
        <v>岡山</v>
      </c>
      <c r="G2688" t="str">
        <f>"年刊"</f>
        <v>年刊</v>
      </c>
      <c r="H2688" t="str">
        <f>"2002222280331"</f>
        <v>2002222280331</v>
      </c>
      <c r="I2688" t="str">
        <f>HYPERLINK("#", "https://opac.libnet.pref.okayama.jp/licsxp-opac/WOpacMsgNewListToTifTilDetailAction.do?tilcod=2002222280331")</f>
        <v>https://opac.libnet.pref.okayama.jp/licsxp-opac/WOpacMsgNewListToTifTilDetailAction.do?tilcod=2002222280331</v>
      </c>
    </row>
    <row r="2689" spans="1:9" x14ac:dyDescent="0.4">
      <c r="A2689" t="str">
        <f>"済世"</f>
        <v>済世</v>
      </c>
      <c r="B2689" s="1" t="str">
        <f t="shared" si="146"/>
        <v>済世</v>
      </c>
      <c r="C2689" t="str">
        <f>"サイセイ"</f>
        <v>サイセイ</v>
      </c>
      <c r="D2689" t="str">
        <f>"岡山県社会課"</f>
        <v>岡山県社会課</v>
      </c>
      <c r="E2689" t="str">
        <f>"オカヤマケン シャカイカ"</f>
        <v>オカヤマケン シャカイカ</v>
      </c>
      <c r="F2689" t="str">
        <f t="shared" si="148"/>
        <v>岡山</v>
      </c>
      <c r="G2689" t="str">
        <f>"頻度不明"</f>
        <v>頻度不明</v>
      </c>
      <c r="H2689" t="str">
        <f>"2002222281103"</f>
        <v>2002222281103</v>
      </c>
      <c r="I2689" t="str">
        <f>HYPERLINK("#", "https://opac.libnet.pref.okayama.jp/licsxp-opac/WOpacMsgNewListToTifTilDetailAction.do?tilcod=2002222281103")</f>
        <v>https://opac.libnet.pref.okayama.jp/licsxp-opac/WOpacMsgNewListToTifTilDetailAction.do?tilcod=2002222281103</v>
      </c>
    </row>
    <row r="2690" spans="1:9" x14ac:dyDescent="0.4">
      <c r="A2690" t="str">
        <f>"済世彙報"</f>
        <v>済世彙報</v>
      </c>
      <c r="B2690" s="1" t="str">
        <f t="shared" si="146"/>
        <v>済世彙報</v>
      </c>
      <c r="C2690" t="str">
        <f>"サイセイ　イホウ"</f>
        <v>サイセイ　イホウ</v>
      </c>
      <c r="D2690" t="str">
        <f>"岡山県学務部社会課"</f>
        <v>岡山県学務部社会課</v>
      </c>
      <c r="E2690" t="str">
        <f>"オカヤマケンガクムブシャカイカ"</f>
        <v>オカヤマケンガクムブシャカイカ</v>
      </c>
      <c r="F2690" t="str">
        <f t="shared" si="148"/>
        <v>岡山</v>
      </c>
      <c r="G2690" t="str">
        <f>"頻度不明"</f>
        <v>頻度不明</v>
      </c>
      <c r="H2690" t="str">
        <f>"2002222281113"</f>
        <v>2002222281113</v>
      </c>
      <c r="I2690" t="str">
        <f>HYPERLINK("#", "https://opac.libnet.pref.okayama.jp/licsxp-opac/WOpacMsgNewListToTifTilDetailAction.do?tilcod=2002222281113")</f>
        <v>https://opac.libnet.pref.okayama.jp/licsxp-opac/WOpacMsgNewListToTifTilDetailAction.do?tilcod=2002222281113</v>
      </c>
    </row>
    <row r="2691" spans="1:9" x14ac:dyDescent="0.4">
      <c r="A2691" t="str">
        <f>"西大寺"</f>
        <v>西大寺</v>
      </c>
      <c r="B2691" s="1" t="str">
        <f t="shared" si="146"/>
        <v>西大寺</v>
      </c>
      <c r="C2691" t="str">
        <f>"サイダイジ"</f>
        <v>サイダイジ</v>
      </c>
      <c r="D2691" t="str">
        <f>"西大寺高等学校"</f>
        <v>西大寺高等学校</v>
      </c>
      <c r="E2691" t="str">
        <f>"サイダイジ コウトウ ガッコウ"</f>
        <v>サイダイジ コウトウ ガッコウ</v>
      </c>
      <c r="F2691" t="str">
        <f t="shared" si="148"/>
        <v>岡山</v>
      </c>
      <c r="G2691" t="str">
        <f>"年刊"</f>
        <v>年刊</v>
      </c>
      <c r="H2691" t="str">
        <f>"2002222283201"</f>
        <v>2002222283201</v>
      </c>
      <c r="I2691" t="str">
        <f>HYPERLINK("#", "https://opac.libnet.pref.okayama.jp/licsxp-opac/WOpacMsgNewListToTifTilDetailAction.do?tilcod=2002222283201")</f>
        <v>https://opac.libnet.pref.okayama.jp/licsxp-opac/WOpacMsgNewListToTifTilDetailAction.do?tilcod=2002222283201</v>
      </c>
    </row>
    <row r="2692" spans="1:9" x14ac:dyDescent="0.4">
      <c r="A2692" t="str">
        <f>"西大寺"</f>
        <v>西大寺</v>
      </c>
      <c r="B2692" s="1" t="str">
        <f t="shared" ref="B2692:B2755" si="149">HYPERLINK("#", A2692)</f>
        <v>西大寺</v>
      </c>
      <c r="C2692" t="str">
        <f>"サイダイジ"</f>
        <v>サイダイジ</v>
      </c>
      <c r="D2692" t="str">
        <f>"西大寺愛郷会"</f>
        <v>西大寺愛郷会</v>
      </c>
      <c r="E2692" t="str">
        <f>"サイダイジ アイキョウカイ"</f>
        <v>サイダイジ アイキョウカイ</v>
      </c>
      <c r="F2692" t="str">
        <f t="shared" si="148"/>
        <v>岡山</v>
      </c>
      <c r="G2692" t="str">
        <f>"年刊"</f>
        <v>年刊</v>
      </c>
      <c r="H2692" t="str">
        <f>"2002222291391"</f>
        <v>2002222291391</v>
      </c>
      <c r="I2692" t="str">
        <f>HYPERLINK("#", "https://opac.libnet.pref.okayama.jp/licsxp-opac/WOpacMsgNewListToTifTilDetailAction.do?tilcod=2002222291391")</f>
        <v>https://opac.libnet.pref.okayama.jp/licsxp-opac/WOpacMsgNewListToTifTilDetailAction.do?tilcod=2002222291391</v>
      </c>
    </row>
    <row r="2693" spans="1:9" x14ac:dyDescent="0.4">
      <c r="A2693" t="str">
        <f>"西大寺高校新聞"</f>
        <v>西大寺高校新聞</v>
      </c>
      <c r="B2693" s="1" t="str">
        <f t="shared" si="149"/>
        <v>西大寺高校新聞</v>
      </c>
      <c r="C2693" t="str">
        <f>"サイダイジ　コウコウ　シンブン"</f>
        <v>サイダイジ　コウコウ　シンブン</v>
      </c>
      <c r="D2693" t="str">
        <f>"西大寺高校新聞部"</f>
        <v>西大寺高校新聞部</v>
      </c>
      <c r="E2693" t="str">
        <f>"サイダイジコウコウシンブンブ"</f>
        <v>サイダイジコウコウシンブンブ</v>
      </c>
      <c r="F2693" t="str">
        <f t="shared" si="148"/>
        <v>岡山</v>
      </c>
      <c r="G2693" t="str">
        <f>"頻度不明"</f>
        <v>頻度不明</v>
      </c>
      <c r="H2693" t="str">
        <f>"2002222301825"</f>
        <v>2002222301825</v>
      </c>
      <c r="I2693" t="str">
        <f>HYPERLINK("#", "https://opac.libnet.pref.okayama.jp/licsxp-opac/WOpacMsgNewListToTifTilDetailAction.do?tilcod=2002222301825")</f>
        <v>https://opac.libnet.pref.okayama.jp/licsxp-opac/WOpacMsgNewListToTifTilDetailAction.do?tilcod=2002222301825</v>
      </c>
    </row>
    <row r="2694" spans="1:9" x14ac:dyDescent="0.4">
      <c r="A2694" t="str">
        <f>"[西大寺高等学校] 学校案内"</f>
        <v>[西大寺高等学校] 学校案内</v>
      </c>
      <c r="B2694" s="1" t="str">
        <f t="shared" si="149"/>
        <v>[西大寺高等学校] 学校案内</v>
      </c>
      <c r="C2694" t="str">
        <f>"サイダイジ　コウトウ　ガッコウ　ガッコウ　アンナイ"</f>
        <v>サイダイジ　コウトウ　ガッコウ　ガッコウ　アンナイ</v>
      </c>
      <c r="D2694" t="str">
        <f>"西大寺高等学校"</f>
        <v>西大寺高等学校</v>
      </c>
      <c r="E2694" t="str">
        <f>"サイダイジ コウトウ ガッコウ"</f>
        <v>サイダイジ コウトウ ガッコウ</v>
      </c>
      <c r="F2694" t="str">
        <f t="shared" si="148"/>
        <v>岡山</v>
      </c>
      <c r="G2694" t="str">
        <f>"年刊"</f>
        <v>年刊</v>
      </c>
      <c r="H2694" t="str">
        <f>"2002222301176"</f>
        <v>2002222301176</v>
      </c>
      <c r="I2694" t="str">
        <f>HYPERLINK("#", "https://opac.libnet.pref.okayama.jp/licsxp-opac/WOpacMsgNewListToTifTilDetailAction.do?tilcod=2002222301176")</f>
        <v>https://opac.libnet.pref.okayama.jp/licsxp-opac/WOpacMsgNewListToTifTilDetailAction.do?tilcod=2002222301176</v>
      </c>
    </row>
    <row r="2695" spans="1:9" x14ac:dyDescent="0.4">
      <c r="A2695" t="str">
        <f>"西大寺高等学校学校要覧"</f>
        <v>西大寺高等学校学校要覧</v>
      </c>
      <c r="B2695" s="1" t="str">
        <f t="shared" si="149"/>
        <v>西大寺高等学校学校要覧</v>
      </c>
      <c r="C2695" t="str">
        <f>"サイダイジ　コウトウ　ガッコウ　ガッコウ　ヨウラン"</f>
        <v>サイダイジ　コウトウ　ガッコウ　ガッコウ　ヨウラン</v>
      </c>
      <c r="D2695" t="str">
        <f>"西大寺高等学校"</f>
        <v>西大寺高等学校</v>
      </c>
      <c r="E2695" t="str">
        <f>"サイダイジ コウトウ ガッコウ"</f>
        <v>サイダイジ コウトウ ガッコウ</v>
      </c>
      <c r="F2695" t="str">
        <f t="shared" si="148"/>
        <v>岡山</v>
      </c>
      <c r="G2695" t="str">
        <f>"年刊"</f>
        <v>年刊</v>
      </c>
      <c r="H2695" t="str">
        <f>"2002222300487"</f>
        <v>2002222300487</v>
      </c>
      <c r="I2695" t="str">
        <f>HYPERLINK("#", "https://opac.libnet.pref.okayama.jp/licsxp-opac/WOpacMsgNewListToTifTilDetailAction.do?tilcod=2002222300487")</f>
        <v>https://opac.libnet.pref.okayama.jp/licsxp-opac/WOpacMsgNewListToTifTilDetailAction.do?tilcod=2002222300487</v>
      </c>
    </row>
    <row r="2696" spans="1:9" x14ac:dyDescent="0.4">
      <c r="A2696" t="str">
        <f>"〔西大寺高等学校〕金山文学"</f>
        <v>〔西大寺高等学校〕金山文学</v>
      </c>
      <c r="B2696" s="1" t="str">
        <f t="shared" si="149"/>
        <v>〔西大寺高等学校〕金山文学</v>
      </c>
      <c r="C2696" t="str">
        <f>"サイダイジ　コウトウ　ガッコウ＊カナヤマ　ブンガク"</f>
        <v>サイダイジ　コウトウ　ガッコウ＊カナヤマ　ブンガク</v>
      </c>
      <c r="D2696" t="str">
        <f>"西大寺高等学校文学同好会"</f>
        <v>西大寺高等学校文学同好会</v>
      </c>
      <c r="E2696" t="str">
        <f>"サイダイジコウトウガッコウブンガクドウコウカイ"</f>
        <v>サイダイジコウトウガッコウブンガクドウコウカイ</v>
      </c>
      <c r="F2696" t="str">
        <f t="shared" si="148"/>
        <v>岡山</v>
      </c>
      <c r="G2696" t="str">
        <f>"頻度不明"</f>
        <v>頻度不明</v>
      </c>
      <c r="H2696" t="str">
        <f>"2002222302062"</f>
        <v>2002222302062</v>
      </c>
      <c r="I2696" t="str">
        <f>HYPERLINK("#", "https://opac.libnet.pref.okayama.jp/licsxp-opac/WOpacMsgNewListToTifTilDetailAction.do?tilcod=2002222302062")</f>
        <v>https://opac.libnet.pref.okayama.jp/licsxp-opac/WOpacMsgNewListToTifTilDetailAction.do?tilcod=2002222302062</v>
      </c>
    </row>
    <row r="2697" spans="1:9" x14ac:dyDescent="0.4">
      <c r="A2697" t="str">
        <f>"〔西大寺高等学校〕図書館報"</f>
        <v>〔西大寺高等学校〕図書館報</v>
      </c>
      <c r="B2697" s="1" t="str">
        <f t="shared" si="149"/>
        <v>〔西大寺高等学校〕図書館報</v>
      </c>
      <c r="C2697" t="str">
        <f>"サイダイジ　コウトウ　ガッコウ＊トショカンポウ"</f>
        <v>サイダイジ　コウトウ　ガッコウ＊トショカンポウ</v>
      </c>
      <c r="D2697" t="str">
        <f>"西大寺高等学校図書課"</f>
        <v>西大寺高等学校図書課</v>
      </c>
      <c r="E2697" t="str">
        <f>"サイダイジコウトウガッコウトショカ"</f>
        <v>サイダイジコウトウガッコウトショカ</v>
      </c>
      <c r="F2697" t="str">
        <f t="shared" si="148"/>
        <v>岡山</v>
      </c>
      <c r="G2697" t="str">
        <f>"年刊"</f>
        <v>年刊</v>
      </c>
      <c r="H2697" t="str">
        <f>"2002222301793"</f>
        <v>2002222301793</v>
      </c>
      <c r="I2697" t="str">
        <f>HYPERLINK("#", "https://opac.libnet.pref.okayama.jp/licsxp-opac/WOpacMsgNewListToTifTilDetailAction.do?tilcod=2002222301793")</f>
        <v>https://opac.libnet.pref.okayama.jp/licsxp-opac/WOpacMsgNewListToTifTilDetailAction.do?tilcod=2002222301793</v>
      </c>
    </row>
    <row r="2698" spans="1:9" x14ac:dyDescent="0.4">
      <c r="A2698" t="str">
        <f>"西大寺小学校西大寺幼稚園要覧"</f>
        <v>西大寺小学校西大寺幼稚園要覧</v>
      </c>
      <c r="B2698" s="1" t="str">
        <f t="shared" si="149"/>
        <v>西大寺小学校西大寺幼稚園要覧</v>
      </c>
      <c r="C2698" t="str">
        <f>"サイダイジ　ショウガッコウ　サイダイジ　ヨウチエン　ヨウラン"</f>
        <v>サイダイジ　ショウガッコウ　サイダイジ　ヨウチエン　ヨウラン</v>
      </c>
      <c r="D2698" t="str">
        <f>"西大寺小学校西大寺幼稚園"</f>
        <v>西大寺小学校西大寺幼稚園</v>
      </c>
      <c r="E2698" t="str">
        <f>"サイダイジショウガッコウサイダイジヨウチエン"</f>
        <v>サイダイジショウガッコウサイダイジヨウチエン</v>
      </c>
      <c r="F2698" t="str">
        <f t="shared" si="148"/>
        <v>岡山</v>
      </c>
      <c r="G2698" t="str">
        <f>"年刊"</f>
        <v>年刊</v>
      </c>
      <c r="H2698" t="str">
        <f>"2002222302063"</f>
        <v>2002222302063</v>
      </c>
      <c r="I2698" t="str">
        <f>HYPERLINK("#", "https://opac.libnet.pref.okayama.jp/licsxp-opac/WOpacMsgNewListToTifTilDetailAction.do?tilcod=2002222302063")</f>
        <v>https://opac.libnet.pref.okayama.jp/licsxp-opac/WOpacMsgNewListToTifTilDetailAction.do?tilcod=2002222302063</v>
      </c>
    </row>
    <row r="2699" spans="1:9" x14ac:dyDescent="0.4">
      <c r="A2699" t="str">
        <f>"西大寺読書感想文集"</f>
        <v>西大寺読書感想文集</v>
      </c>
      <c r="B2699" s="1" t="str">
        <f t="shared" si="149"/>
        <v>西大寺読書感想文集</v>
      </c>
      <c r="C2699" t="str">
        <f>"サイダイジ　ドクショ　カンソウ　ブンシュウ"</f>
        <v>サイダイジ　ドクショ　カンソウ　ブンシュウ</v>
      </c>
      <c r="D2699" t="str">
        <f>"岡山市立西大寺図書館"</f>
        <v>岡山市立西大寺図書館</v>
      </c>
      <c r="E2699" t="str">
        <f>"オカヤマシリツサイダイジトショカン"</f>
        <v>オカヤマシリツサイダイジトショカン</v>
      </c>
      <c r="F2699" t="str">
        <f t="shared" si="148"/>
        <v>岡山</v>
      </c>
      <c r="G2699" t="str">
        <f>"頻度不明"</f>
        <v>頻度不明</v>
      </c>
      <c r="H2699" t="str">
        <f>"2002222281203"</f>
        <v>2002222281203</v>
      </c>
      <c r="I2699" t="str">
        <f>HYPERLINK("#", "https://opac.libnet.pref.okayama.jp/licsxp-opac/WOpacMsgNewListToTifTilDetailAction.do?tilcod=2002222281203")</f>
        <v>https://opac.libnet.pref.okayama.jp/licsxp-opac/WOpacMsgNewListToTifTilDetailAction.do?tilcod=2002222281203</v>
      </c>
    </row>
    <row r="2700" spans="1:9" x14ac:dyDescent="0.4">
      <c r="A2700" t="str">
        <f>"西大寺農協だより"</f>
        <v>西大寺農協だより</v>
      </c>
      <c r="B2700" s="1" t="str">
        <f t="shared" si="149"/>
        <v>西大寺農協だより</v>
      </c>
      <c r="C2700" t="str">
        <f>"サイダイジ ノウキョウ ダヨリ"</f>
        <v>サイダイジ ノウキョウ ダヨリ</v>
      </c>
      <c r="D2700" t="str">
        <f>"西大寺農業協同組合"</f>
        <v>西大寺農業協同組合</v>
      </c>
      <c r="E2700" t="str">
        <f>"サイダイジ ノウギョウ キョウドウ クミアイ"</f>
        <v>サイダイジ ノウギョウ キョウドウ クミアイ</v>
      </c>
      <c r="F2700" t="str">
        <f t="shared" si="148"/>
        <v>岡山</v>
      </c>
      <c r="G2700" t="str">
        <f>"月刊"</f>
        <v>月刊</v>
      </c>
      <c r="H2700" t="str">
        <f>"2002222327908"</f>
        <v>2002222327908</v>
      </c>
      <c r="I2700" t="str">
        <f>HYPERLINK("#", "https://opac.libnet.pref.okayama.jp/licsxp-opac/WOpacMsgNewListToTifTilDetailAction.do?tilcod=2002222327908")</f>
        <v>https://opac.libnet.pref.okayama.jp/licsxp-opac/WOpacMsgNewListToTifTilDetailAction.do?tilcod=2002222327908</v>
      </c>
    </row>
    <row r="2701" spans="1:9" x14ac:dyDescent="0.4">
      <c r="A2701" t="str">
        <f>"〔西大寺市大宮婦人会〕あゆみ"</f>
        <v>〔西大寺市大宮婦人会〕あゆみ</v>
      </c>
      <c r="B2701" s="1" t="str">
        <f t="shared" si="149"/>
        <v>〔西大寺市大宮婦人会〕あゆみ</v>
      </c>
      <c r="C2701" t="str">
        <f>"サイダイジシ　オオミヤ　フジンカイ＊アユミ"</f>
        <v>サイダイジシ　オオミヤ　フジンカイ＊アユミ</v>
      </c>
      <c r="D2701" t="str">
        <f>"西大寺市大宮婦人会"</f>
        <v>西大寺市大宮婦人会</v>
      </c>
      <c r="E2701" t="str">
        <f>"サイダイジシオオミヤフジンカイ"</f>
        <v>サイダイジシオオミヤフジンカイ</v>
      </c>
      <c r="F2701" t="str">
        <f>"西大寺"</f>
        <v>西大寺</v>
      </c>
      <c r="G2701" t="str">
        <f>"頻度不明"</f>
        <v>頻度不明</v>
      </c>
      <c r="H2701" t="str">
        <f>"2002222301503"</f>
        <v>2002222301503</v>
      </c>
      <c r="I2701" t="str">
        <f>HYPERLINK("#", "https://opac.libnet.pref.okayama.jp/licsxp-opac/WOpacMsgNewListToTifTilDetailAction.do?tilcod=2002222301503")</f>
        <v>https://opac.libnet.pref.okayama.jp/licsxp-opac/WOpacMsgNewListToTifTilDetailAction.do?tilcod=2002222301503</v>
      </c>
    </row>
    <row r="2702" spans="1:9" x14ac:dyDescent="0.4">
      <c r="A2702" t="str">
        <f>"西大寺市広報"</f>
        <v>西大寺市広報</v>
      </c>
      <c r="B2702" s="1" t="str">
        <f t="shared" si="149"/>
        <v>西大寺市広報</v>
      </c>
      <c r="C2702" t="str">
        <f>"サイダイジシ　コウホウ"</f>
        <v>サイダイジシ　コウホウ</v>
      </c>
      <c r="D2702" t="str">
        <f>"西大寺市役所"</f>
        <v>西大寺市役所</v>
      </c>
      <c r="E2702" t="str">
        <f>"サイダイジシヤクショ"</f>
        <v>サイダイジシヤクショ</v>
      </c>
      <c r="F2702" t="str">
        <f>"西大寺"</f>
        <v>西大寺</v>
      </c>
      <c r="G2702" t="str">
        <f>"月刊"</f>
        <v>月刊</v>
      </c>
      <c r="H2702" t="str">
        <f>"2002222301518"</f>
        <v>2002222301518</v>
      </c>
      <c r="I2702" t="str">
        <f>HYPERLINK("#", "https://opac.libnet.pref.okayama.jp/licsxp-opac/WOpacMsgNewListToTifTilDetailAction.do?tilcod=2002222301518")</f>
        <v>https://opac.libnet.pref.okayama.jp/licsxp-opac/WOpacMsgNewListToTifTilDetailAction.do?tilcod=2002222301518</v>
      </c>
    </row>
    <row r="2703" spans="1:9" x14ac:dyDescent="0.4">
      <c r="A2703" t="str">
        <f>"〔西大寺市立西大寺中学校〕学校要覧"</f>
        <v>〔西大寺市立西大寺中学校〕学校要覧</v>
      </c>
      <c r="B2703" s="1" t="str">
        <f t="shared" si="149"/>
        <v>〔西大寺市立西大寺中学校〕学校要覧</v>
      </c>
      <c r="C2703" t="str">
        <f>"サイダイジシリツ　サイダイジ　チュウガッコウ＊ガッコウ　ヨウラン"</f>
        <v>サイダイジシリツ　サイダイジ　チュウガッコウ＊ガッコウ　ヨウラン</v>
      </c>
      <c r="D2703" t="str">
        <f>"西大寺市立西大寺中学校"</f>
        <v>西大寺市立西大寺中学校</v>
      </c>
      <c r="E2703" t="str">
        <f>"サイダイジシリツサイダイジチュウガッコウ"</f>
        <v>サイダイジシリツサイダイジチュウガッコウ</v>
      </c>
      <c r="F2703" t="str">
        <f>"岡山"</f>
        <v>岡山</v>
      </c>
      <c r="G2703" t="str">
        <f>"年刊"</f>
        <v>年刊</v>
      </c>
      <c r="H2703" t="str">
        <f>"2002222302065"</f>
        <v>2002222302065</v>
      </c>
      <c r="I2703" t="str">
        <f>HYPERLINK("#", "https://opac.libnet.pref.okayama.jp/licsxp-opac/WOpacMsgNewListToTifTilDetailAction.do?tilcod=2002222302065")</f>
        <v>https://opac.libnet.pref.okayama.jp/licsxp-opac/WOpacMsgNewListToTifTilDetailAction.do?tilcod=2002222302065</v>
      </c>
    </row>
    <row r="2704" spans="1:9" x14ac:dyDescent="0.4">
      <c r="A2704" t="str">
        <f>"在宅介護支援センターだより〔井原市〕"</f>
        <v>在宅介護支援センターだより〔井原市〕</v>
      </c>
      <c r="B2704" s="1" t="str">
        <f t="shared" si="149"/>
        <v>在宅介護支援センターだより〔井原市〕</v>
      </c>
      <c r="C2704" t="str">
        <f>"ザイタク　カイゴ　シエン　センター　ダヨリ"</f>
        <v>ザイタク　カイゴ　シエン　センター　ダヨリ</v>
      </c>
      <c r="D2704" t="str">
        <f>"井原市在宅介護支援センター"</f>
        <v>井原市在宅介護支援センター</v>
      </c>
      <c r="E2704" t="str">
        <f>"イバラシザイタクカイゴシエンセンター"</f>
        <v>イバラシザイタクカイゴシエンセンター</v>
      </c>
      <c r="F2704" t="str">
        <f>"井原"</f>
        <v>井原</v>
      </c>
      <c r="G2704" t="str">
        <f>"年３回刊"</f>
        <v>年３回刊</v>
      </c>
      <c r="H2704" t="str">
        <f>"2002222285581"</f>
        <v>2002222285581</v>
      </c>
      <c r="I2704" t="str">
        <f>HYPERLINK("#", "https://opac.libnet.pref.okayama.jp/licsxp-opac/WOpacMsgNewListToTifTilDetailAction.do?tilcod=2002222285581")</f>
        <v>https://opac.libnet.pref.okayama.jp/licsxp-opac/WOpacMsgNewListToTifTilDetailAction.do?tilcod=2002222285581</v>
      </c>
    </row>
    <row r="2705" spans="1:9" x14ac:dyDescent="0.4">
      <c r="A2705" t="str">
        <f>"財団１年の歩み〔ＯＨＫスポーツ振興財団〕"</f>
        <v>財団１年の歩み〔ＯＨＫスポーツ振興財団〕</v>
      </c>
      <c r="B2705" s="1" t="str">
        <f t="shared" si="149"/>
        <v>財団１年の歩み〔ＯＨＫスポーツ振興財団〕</v>
      </c>
      <c r="C2705" t="str">
        <f>"ザイダン　イチネン　ノ　アユミ＊オーエッチケー　スポーツ　シンコウ　ザイダン"</f>
        <v>ザイダン　イチネン　ノ　アユミ＊オーエッチケー　スポーツ　シンコウ　ザイダン</v>
      </c>
      <c r="D2705" t="str">
        <f>"ＯＨＫスポーツ振興財団"</f>
        <v>ＯＨＫスポーツ振興財団</v>
      </c>
      <c r="E2705" t="str">
        <f>"オーエイチケイスポーツシンコウザイダン"</f>
        <v>オーエイチケイスポーツシンコウザイダン</v>
      </c>
      <c r="F2705" t="str">
        <f>"岡山"</f>
        <v>岡山</v>
      </c>
      <c r="G2705" t="str">
        <f>"年刊"</f>
        <v>年刊</v>
      </c>
      <c r="H2705" t="str">
        <f>"2002222292551"</f>
        <v>2002222292551</v>
      </c>
      <c r="I2705" t="str">
        <f>HYPERLINK("#", "https://opac.libnet.pref.okayama.jp/licsxp-opac/WOpacMsgNewListToTifTilDetailAction.do?tilcod=2002222292551")</f>
        <v>https://opac.libnet.pref.okayama.jp/licsxp-opac/WOpacMsgNewListToTifTilDetailAction.do?tilcod=2002222292551</v>
      </c>
    </row>
    <row r="2706" spans="1:9" x14ac:dyDescent="0.4">
      <c r="A2706" t="str">
        <f>"[財田村青年団]団報 "</f>
        <v xml:space="preserve">[財田村青年団]団報 </v>
      </c>
      <c r="B2706" s="1" t="str">
        <f t="shared" si="149"/>
        <v xml:space="preserve">[財田村青年団]団報 </v>
      </c>
      <c r="C2706" t="str">
        <f>"サイデンソン セイネンダン ダンポウ"</f>
        <v>サイデンソン セイネンダン ダンポウ</v>
      </c>
      <c r="D2706" t="str">
        <f>"財田村青年団"</f>
        <v>財田村青年団</v>
      </c>
      <c r="E2706" t="str">
        <f>"サイデンソン セイネンダン"</f>
        <v>サイデンソン セイネンダン</v>
      </c>
      <c r="F2706" t="str">
        <f>"上道"</f>
        <v>上道</v>
      </c>
      <c r="G2706" t="str">
        <f>"頻度不明"</f>
        <v>頻度不明</v>
      </c>
      <c r="H2706" t="str">
        <f>"2002222306697"</f>
        <v>2002222306697</v>
      </c>
      <c r="I2706" t="str">
        <f>HYPERLINK("#", "https://opac.libnet.pref.okayama.jp/licsxp-opac/WOpacMsgNewListToTifTilDetailAction.do?tilcod=2002222306697")</f>
        <v>https://opac.libnet.pref.okayama.jp/licsxp-opac/WOpacMsgNewListToTifTilDetailAction.do?tilcod=2002222306697</v>
      </c>
    </row>
    <row r="2707" spans="1:9" x14ac:dyDescent="0.4">
      <c r="A2707" t="str">
        <f>"裁判ウォッチング岡山会報"</f>
        <v>裁判ウォッチング岡山会報</v>
      </c>
      <c r="B2707" s="1" t="str">
        <f t="shared" si="149"/>
        <v>裁判ウォッチング岡山会報</v>
      </c>
      <c r="C2707" t="str">
        <f>"サイバン　ウォッチング　オカヤマ　カイホウ"</f>
        <v>サイバン　ウォッチング　オカヤマ　カイホウ</v>
      </c>
      <c r="D2707" t="str">
        <f>"裁判ウォッチング岡山"</f>
        <v>裁判ウォッチング岡山</v>
      </c>
      <c r="E2707" t="str">
        <f>"サイバンウォッチングオカヤマ"</f>
        <v>サイバンウォッチングオカヤマ</v>
      </c>
      <c r="F2707" t="str">
        <f>""</f>
        <v/>
      </c>
      <c r="G2707" t="str">
        <f>"頻度不明"</f>
        <v>頻度不明</v>
      </c>
      <c r="H2707" t="str">
        <f>"2002222281213"</f>
        <v>2002222281213</v>
      </c>
      <c r="I2707" t="str">
        <f>HYPERLINK("#", "https://opac.libnet.pref.okayama.jp/licsxp-opac/WOpacMsgNewListToTifTilDetailAction.do?tilcod=2002222281213")</f>
        <v>https://opac.libnet.pref.okayama.jp/licsxp-opac/WOpacMsgNewListToTifTilDetailAction.do?tilcod=2002222281213</v>
      </c>
    </row>
    <row r="2708" spans="1:9" x14ac:dyDescent="0.4">
      <c r="A2708" t="str">
        <f>"サイピア通信"</f>
        <v>サイピア通信</v>
      </c>
      <c r="B2708" s="1" t="str">
        <f t="shared" si="149"/>
        <v>サイピア通信</v>
      </c>
      <c r="C2708" t="str">
        <f>"サイピア ツウシン"</f>
        <v>サイピア ツウシン</v>
      </c>
      <c r="D2708" t="str">
        <f>"岡山県生涯学習センター人と科学の未来館サイピア"</f>
        <v>岡山県生涯学習センター人と科学の未来館サイピア</v>
      </c>
      <c r="E2708" t="str">
        <f>"オカヤマケン ショウガイ ガクシュウ センター ヒト ト カガク ノ ミライカン サイピア"</f>
        <v>オカヤマケン ショウガイ ガクシュウ センター ヒト ト カガク ノ ミライカン サイピア</v>
      </c>
      <c r="F2708" t="str">
        <f>"岡山"</f>
        <v>岡山</v>
      </c>
      <c r="G2708" t="str">
        <f>"季刊"</f>
        <v>季刊</v>
      </c>
      <c r="H2708" t="str">
        <f>"2002222324592"</f>
        <v>2002222324592</v>
      </c>
      <c r="I2708" t="str">
        <f>HYPERLINK("#", "https://opac.libnet.pref.okayama.jp/licsxp-opac/WOpacMsgNewListToTifTilDetailAction.do?tilcod=2002222324592")</f>
        <v>https://opac.libnet.pref.okayama.jp/licsxp-opac/WOpacMsgNewListToTifTilDetailAction.do?tilcod=2002222324592</v>
      </c>
    </row>
    <row r="2709" spans="1:9" x14ac:dyDescent="0.4">
      <c r="A2709" t="str">
        <f>"細胞核病理学雑誌"</f>
        <v>細胞核病理学雑誌</v>
      </c>
      <c r="B2709" s="1" t="str">
        <f t="shared" si="149"/>
        <v>細胞核病理学雑誌</v>
      </c>
      <c r="C2709" t="str">
        <f>"サイボウ　カクビョウリガク　ザッシ"</f>
        <v>サイボウ　カクビョウリガク　ザッシ</v>
      </c>
      <c r="D2709" t="str">
        <f>"細胞核病理学雑誌編集部"</f>
        <v>細胞核病理学雑誌編集部</v>
      </c>
      <c r="E2709" t="str">
        <f>"サイボウカクビョウリガクザッシヘンシュウブ"</f>
        <v>サイボウカクビョウリガクザッシヘンシュウブ</v>
      </c>
      <c r="F2709" t="str">
        <f>"岡山"</f>
        <v>岡山</v>
      </c>
      <c r="G2709" t="str">
        <f>"頻度不明"</f>
        <v>頻度不明</v>
      </c>
      <c r="H2709" t="str">
        <f>"2002222288373"</f>
        <v>2002222288373</v>
      </c>
      <c r="I2709" t="str">
        <f>HYPERLINK("#", "https://opac.libnet.pref.okayama.jp/licsxp-opac/WOpacMsgNewListToTifTilDetailAction.do?tilcod=2002222288373")</f>
        <v>https://opac.libnet.pref.okayama.jp/licsxp-opac/WOpacMsgNewListToTifTilDetailAction.do?tilcod=2002222288373</v>
      </c>
    </row>
    <row r="2710" spans="1:9" x14ac:dyDescent="0.4">
      <c r="A2710" t="str">
        <f>"沙鴎"</f>
        <v>沙鴎</v>
      </c>
      <c r="B2710" s="1" t="str">
        <f t="shared" si="149"/>
        <v>沙鴎</v>
      </c>
      <c r="C2710" t="str">
        <f>"サオウ"</f>
        <v>サオウ</v>
      </c>
      <c r="D2710" t="str">
        <f>"戊辰俳壇社雅品部"</f>
        <v>戊辰俳壇社雅品部</v>
      </c>
      <c r="E2710" t="str">
        <f>"ボシン　ハイダンシャ　ガヒンブ"</f>
        <v>ボシン　ハイダンシャ　ガヒンブ</v>
      </c>
      <c r="F2710" t="str">
        <f>""</f>
        <v/>
      </c>
      <c r="G2710" t="str">
        <f>"頻度不明"</f>
        <v>頻度不明</v>
      </c>
      <c r="H2710" t="str">
        <f>"2002222281233"</f>
        <v>2002222281233</v>
      </c>
      <c r="I2710" t="str">
        <f>HYPERLINK("#", "https://opac.libnet.pref.okayama.jp/licsxp-opac/WOpacMsgNewListToTifTilDetailAction.do?tilcod=2002222281233")</f>
        <v>https://opac.libnet.pref.okayama.jp/licsxp-opac/WOpacMsgNewListToTifTilDetailAction.do?tilcod=2002222281233</v>
      </c>
    </row>
    <row r="2711" spans="1:9" x14ac:dyDescent="0.4">
      <c r="A2711" t="str">
        <f>"さかおり"</f>
        <v>さかおり</v>
      </c>
      <c r="B2711" s="1" t="str">
        <f t="shared" si="149"/>
        <v>さかおり</v>
      </c>
      <c r="C2711" t="str">
        <f>"サカオリ"</f>
        <v>サカオリ</v>
      </c>
      <c r="D2711" t="str">
        <f>"岡山神社社務所"</f>
        <v>岡山神社社務所</v>
      </c>
      <c r="E2711" t="str">
        <f>"オカヤマ ジンジャ シャムショ"</f>
        <v>オカヤマ ジンジャ シャムショ</v>
      </c>
      <c r="F2711" t="str">
        <f>"岡山"</f>
        <v>岡山</v>
      </c>
      <c r="G2711" t="str">
        <f>"年２回刊"</f>
        <v>年２回刊</v>
      </c>
      <c r="H2711" t="str">
        <f>"2002222335708"</f>
        <v>2002222335708</v>
      </c>
      <c r="I2711" t="str">
        <f>HYPERLINK("#", "https://opac.libnet.pref.okayama.jp/licsxp-opac/WOpacMsgNewListToTifTilDetailAction.do?tilcod=2002222335708")</f>
        <v>https://opac.libnet.pref.okayama.jp/licsxp-opac/WOpacMsgNewListToTifTilDetailAction.do?tilcod=2002222335708</v>
      </c>
    </row>
    <row r="2712" spans="1:9" x14ac:dyDescent="0.4">
      <c r="A2712" t="str">
        <f>"さかきばらNews"</f>
        <v>さかきばらNews</v>
      </c>
      <c r="B2712" s="1" t="str">
        <f t="shared" si="149"/>
        <v>さかきばらNews</v>
      </c>
      <c r="C2712" t="str">
        <f>"サカキバラ ニュース"</f>
        <v>サカキバラ ニュース</v>
      </c>
      <c r="D2712" t="str">
        <f>"心臓病センター榊原病院"</f>
        <v>心臓病センター榊原病院</v>
      </c>
      <c r="E2712" t="str">
        <f>"シンゾウビョウ センター サカキバラ ビョウイン"</f>
        <v>シンゾウビョウ センター サカキバラ ビョウイン</v>
      </c>
      <c r="F2712" t="str">
        <f>"岡山"</f>
        <v>岡山</v>
      </c>
      <c r="G2712" t="str">
        <f>"季刊"</f>
        <v>季刊</v>
      </c>
      <c r="H2712" t="str">
        <f>"2002222337831"</f>
        <v>2002222337831</v>
      </c>
      <c r="I2712" t="str">
        <f>HYPERLINK("#", "https://opac.libnet.pref.okayama.jp/licsxp-opac/WOpacMsgNewListToTifTilDetailAction.do?tilcod=2002222337831")</f>
        <v>https://opac.libnet.pref.okayama.jp/licsxp-opac/WOpacMsgNewListToTifTilDetailAction.do?tilcod=2002222337831</v>
      </c>
    </row>
    <row r="2713" spans="1:9" x14ac:dyDescent="0.4">
      <c r="A2713" t="str">
        <f>"魁民報"</f>
        <v>魁民報</v>
      </c>
      <c r="B2713" s="1" t="str">
        <f t="shared" si="149"/>
        <v>魁民報</v>
      </c>
      <c r="C2713" t="str">
        <f>"サキガケ　ミンポウ"</f>
        <v>サキガケ　ミンポウ</v>
      </c>
      <c r="D2713" t="str">
        <f>"魁民報社"</f>
        <v>魁民報社</v>
      </c>
      <c r="E2713" t="str">
        <f>"サキガケ ミンポウシャ"</f>
        <v>サキガケ ミンポウシャ</v>
      </c>
      <c r="F2713" t="str">
        <f>"笠岡町（小田郡）"</f>
        <v>笠岡町（小田郡）</v>
      </c>
      <c r="G2713" t="str">
        <f>"旬刊"</f>
        <v>旬刊</v>
      </c>
      <c r="H2713" t="str">
        <f>"2002222300880"</f>
        <v>2002222300880</v>
      </c>
      <c r="I2713" t="str">
        <f>HYPERLINK("#", "https://opac.libnet.pref.okayama.jp/licsxp-opac/WOpacMsgNewListToTifTilDetailAction.do?tilcod=2002222300880")</f>
        <v>https://opac.libnet.pref.okayama.jp/licsxp-opac/WOpacMsgNewListToTifTilDetailAction.do?tilcod=2002222300880</v>
      </c>
    </row>
    <row r="2714" spans="1:9" x14ac:dyDescent="0.4">
      <c r="A2714" t="str">
        <f>"先取り！おかやま；岡山観光イベント先取り情報"</f>
        <v>先取り！おかやま；岡山観光イベント先取り情報</v>
      </c>
      <c r="B2714" s="1" t="str">
        <f t="shared" si="149"/>
        <v>先取り！おかやま；岡山観光イベント先取り情報</v>
      </c>
      <c r="C2714" t="str">
        <f>"サキドリ　オカヤマ　オカヤマ　カンコウ　サキドリ　ジョウホウ"</f>
        <v>サキドリ　オカヤマ　オカヤマ　カンコウ　サキドリ　ジョウホウ</v>
      </c>
      <c r="D2714" t="str">
        <f>"「吉備の国岡山」再発見の旅推進協議会"</f>
        <v>「吉備の国岡山」再発見の旅推進協議会</v>
      </c>
      <c r="E2714" t="str">
        <f>"キビノクニオカヤマサイハッケンノタビスイシンキョウギカイ"</f>
        <v>キビノクニオカヤマサイハッケンノタビスイシンキョウギカイ</v>
      </c>
      <c r="F2714" t="str">
        <f>"岡山"</f>
        <v>岡山</v>
      </c>
      <c r="G2714" t="str">
        <f>"季刊"</f>
        <v>季刊</v>
      </c>
      <c r="H2714" t="str">
        <f>"2002222301633"</f>
        <v>2002222301633</v>
      </c>
      <c r="I2714" t="str">
        <f>HYPERLINK("#", "https://opac.libnet.pref.okayama.jp/licsxp-opac/WOpacMsgNewListToTifTilDetailAction.do?tilcod=2002222301633")</f>
        <v>https://opac.libnet.pref.okayama.jp/licsxp-opac/WOpacMsgNewListToTifTilDetailAction.do?tilcod=2002222301633</v>
      </c>
    </row>
    <row r="2715" spans="1:9" x14ac:dyDescent="0.4">
      <c r="A2715" t="str">
        <f>"砂丘"</f>
        <v>砂丘</v>
      </c>
      <c r="B2715" s="1" t="str">
        <f t="shared" si="149"/>
        <v>砂丘</v>
      </c>
      <c r="C2715" t="str">
        <f>"サキュウ"</f>
        <v>サキュウ</v>
      </c>
      <c r="D2715" t="str">
        <f>"瀬戸高等学校文学部"</f>
        <v>瀬戸高等学校文学部</v>
      </c>
      <c r="E2715" t="str">
        <f>"セト　コウトウ　ガッコウ　ブンガクブ"</f>
        <v>セト　コウトウ　ガッコウ　ブンガクブ</v>
      </c>
      <c r="F2715" t="str">
        <f>""</f>
        <v/>
      </c>
      <c r="G2715" t="str">
        <f>"年刊"</f>
        <v>年刊</v>
      </c>
      <c r="H2715" t="str">
        <f>"2002222328229"</f>
        <v>2002222328229</v>
      </c>
      <c r="I2715" t="str">
        <f>HYPERLINK("#", "https://opac.libnet.pref.okayama.jp/licsxp-opac/WOpacMsgNewListToTifTilDetailAction.do?tilcod=2002222328229")</f>
        <v>https://opac.libnet.pref.okayama.jp/licsxp-opac/WOpacMsgNewListToTifTilDetailAction.do?tilcod=2002222328229</v>
      </c>
    </row>
    <row r="2716" spans="1:9" x14ac:dyDescent="0.4">
      <c r="A2716" t="str">
        <f>"さぎり"</f>
        <v>さぎり</v>
      </c>
      <c r="B2716" s="1" t="str">
        <f t="shared" si="149"/>
        <v>さぎり</v>
      </c>
      <c r="C2716" t="str">
        <f>"サギリ"</f>
        <v>サギリ</v>
      </c>
      <c r="D2716" t="str">
        <f>"狭霧会"</f>
        <v>狭霧会</v>
      </c>
      <c r="E2716" t="str">
        <f>"サギリカイ"</f>
        <v>サギリカイ</v>
      </c>
      <c r="F2716" t="str">
        <f>"笠岡"</f>
        <v>笠岡</v>
      </c>
      <c r="G2716" t="str">
        <f>"月刊"</f>
        <v>月刊</v>
      </c>
      <c r="H2716" t="str">
        <f>"2002222281243"</f>
        <v>2002222281243</v>
      </c>
      <c r="I2716" t="str">
        <f>HYPERLINK("#", "https://opac.libnet.pref.okayama.jp/licsxp-opac/WOpacMsgNewListToTifTilDetailAction.do?tilcod=2002222281243")</f>
        <v>https://opac.libnet.pref.okayama.jp/licsxp-opac/WOpacMsgNewListToTifTilDetailAction.do?tilcod=2002222281243</v>
      </c>
    </row>
    <row r="2717" spans="1:9" x14ac:dyDescent="0.4">
      <c r="A2717" t="str">
        <f>"作州日報"</f>
        <v>作州日報</v>
      </c>
      <c r="B2717" s="1" t="str">
        <f t="shared" si="149"/>
        <v>作州日報</v>
      </c>
      <c r="C2717" t="str">
        <f>"サクシュウ　ニッポウ"</f>
        <v>サクシュウ　ニッポウ</v>
      </c>
      <c r="D2717" t="str">
        <f>"作州日報社"</f>
        <v>作州日報社</v>
      </c>
      <c r="E2717" t="str">
        <f>"サクシュウ ニッポウシャ"</f>
        <v>サクシュウ ニッポウシャ</v>
      </c>
      <c r="F2717" t="str">
        <f>"津山"</f>
        <v>津山</v>
      </c>
      <c r="G2717" t="str">
        <f>"頻度不明"</f>
        <v>頻度不明</v>
      </c>
      <c r="H2717" t="str">
        <f>"2002222300881"</f>
        <v>2002222300881</v>
      </c>
      <c r="I2717" t="str">
        <f>HYPERLINK("#", "https://opac.libnet.pref.okayama.jp/licsxp-opac/WOpacMsgNewListToTifTilDetailAction.do?tilcod=2002222300881")</f>
        <v>https://opac.libnet.pref.okayama.jp/licsxp-opac/WOpacMsgNewListToTifTilDetailAction.do?tilcod=2002222300881</v>
      </c>
    </row>
    <row r="2718" spans="1:9" x14ac:dyDescent="0.4">
      <c r="A2718" t="str">
        <f>"作州の野鳥"</f>
        <v>作州の野鳥</v>
      </c>
      <c r="B2718" s="1" t="str">
        <f t="shared" si="149"/>
        <v>作州の野鳥</v>
      </c>
      <c r="C2718" t="str">
        <f>"サクシュウ　ノ　ヤチョウ"</f>
        <v>サクシュウ　ノ　ヤチョウ</v>
      </c>
      <c r="D2718" t="str">
        <f>"作州野鳥の会"</f>
        <v>作州野鳥の会</v>
      </c>
      <c r="E2718" t="str">
        <f>"サクシュウヤチョウノカイ"</f>
        <v>サクシュウヤチョウノカイ</v>
      </c>
      <c r="F2718" t="str">
        <f>"津山"</f>
        <v>津山</v>
      </c>
      <c r="G2718" t="str">
        <f>"頻度不明"</f>
        <v>頻度不明</v>
      </c>
      <c r="H2718" t="str">
        <f>"2002222281263"</f>
        <v>2002222281263</v>
      </c>
      <c r="I2718" t="str">
        <f>HYPERLINK("#", "https://opac.libnet.pref.okayama.jp/licsxp-opac/WOpacMsgNewListToTifTilDetailAction.do?tilcod=2002222281263")</f>
        <v>https://opac.libnet.pref.okayama.jp/licsxp-opac/WOpacMsgNewListToTifTilDetailAction.do?tilcod=2002222281263</v>
      </c>
    </row>
    <row r="2719" spans="1:9" x14ac:dyDescent="0.4">
      <c r="A2719" t="str">
        <f>"作州俳句"</f>
        <v>作州俳句</v>
      </c>
      <c r="B2719" s="1" t="str">
        <f t="shared" si="149"/>
        <v>作州俳句</v>
      </c>
      <c r="C2719" t="str">
        <f>"サクシュウ　ハイク"</f>
        <v>サクシュウ　ハイク</v>
      </c>
      <c r="D2719" t="str">
        <f>"作州俳人協会"</f>
        <v>作州俳人協会</v>
      </c>
      <c r="E2719" t="str">
        <f>"サクシュウハイジンキョウカイ"</f>
        <v>サクシュウハイジンキョウカイ</v>
      </c>
      <c r="F2719" t="str">
        <f>"（鏡野町）苫田郡"</f>
        <v>（鏡野町）苫田郡</v>
      </c>
      <c r="G2719" t="str">
        <f>"年２回刊"</f>
        <v>年２回刊</v>
      </c>
      <c r="H2719" t="str">
        <f>"2002222292561"</f>
        <v>2002222292561</v>
      </c>
      <c r="I2719" t="str">
        <f>HYPERLINK("#", "https://opac.libnet.pref.okayama.jp/licsxp-opac/WOpacMsgNewListToTifTilDetailAction.do?tilcod=2002222292561")</f>
        <v>https://opac.libnet.pref.okayama.jp/licsxp-opac/WOpacMsgNewListToTifTilDetailAction.do?tilcod=2002222292561</v>
      </c>
    </row>
    <row r="2720" spans="1:9" x14ac:dyDescent="0.4">
      <c r="A2720" t="str">
        <f>"作州路"</f>
        <v>作州路</v>
      </c>
      <c r="B2720" s="1" t="str">
        <f t="shared" si="149"/>
        <v>作州路</v>
      </c>
      <c r="C2720" t="str">
        <f>"サクシュウジ"</f>
        <v>サクシュウジ</v>
      </c>
      <c r="D2720" t="str">
        <f>"美作学術文化振興財団"</f>
        <v>美作学術文化振興財団</v>
      </c>
      <c r="E2720" t="str">
        <f>"ミマサカガクジュッブンカシンコウザイダン"</f>
        <v>ミマサカガクジュッブンカシンコウザイダン</v>
      </c>
      <c r="F2720" t="str">
        <f>"勝央町（勝田郡）"</f>
        <v>勝央町（勝田郡）</v>
      </c>
      <c r="G2720" t="str">
        <f>"年刊"</f>
        <v>年刊</v>
      </c>
      <c r="H2720" t="str">
        <f>"2002222281253"</f>
        <v>2002222281253</v>
      </c>
      <c r="I2720" t="str">
        <f>HYPERLINK("#", "https://opac.libnet.pref.okayama.jp/licsxp-opac/WOpacMsgNewListToTifTilDetailAction.do?tilcod=2002222281253")</f>
        <v>https://opac.libnet.pref.okayama.jp/licsxp-opac/WOpacMsgNewListToTifTilDetailAction.do?tilcod=2002222281253</v>
      </c>
    </row>
    <row r="2721" spans="1:9" x14ac:dyDescent="0.4">
      <c r="A2721" t="str">
        <f>"作東の文化"</f>
        <v>作東の文化</v>
      </c>
      <c r="B2721" s="1" t="str">
        <f t="shared" si="149"/>
        <v>作東の文化</v>
      </c>
      <c r="C2721" t="str">
        <f>"サクトウ　ノ　ブンカ"</f>
        <v>サクトウ　ノ　ブンカ</v>
      </c>
      <c r="D2721" t="str">
        <f>"作東文化協会"</f>
        <v>作東文化協会</v>
      </c>
      <c r="E2721" t="str">
        <f>"サクトウブンカキョウカイ"</f>
        <v>サクトウブンカキョウカイ</v>
      </c>
      <c r="F2721" t="str">
        <f>"美作"</f>
        <v>美作</v>
      </c>
      <c r="G2721" t="str">
        <f>"年刊"</f>
        <v>年刊</v>
      </c>
      <c r="H2721" t="str">
        <f>"2002222300232"</f>
        <v>2002222300232</v>
      </c>
      <c r="I2721" t="str">
        <f>HYPERLINK("#", "https://opac.libnet.pref.okayama.jp/licsxp-opac/WOpacMsgNewListToTifTilDetailAction.do?tilcod=2002222300232")</f>
        <v>https://opac.libnet.pref.okayama.jp/licsxp-opac/WOpacMsgNewListToTifTilDetailAction.do?tilcod=2002222300232</v>
      </c>
    </row>
    <row r="2722" spans="1:9" x14ac:dyDescent="0.4">
      <c r="A2722" t="str">
        <f>"作陽音楽大学・作陽短期大学研究紀要"</f>
        <v>作陽音楽大学・作陽短期大学研究紀要</v>
      </c>
      <c r="B2722" s="1" t="str">
        <f t="shared" si="149"/>
        <v>作陽音楽大学・作陽短期大学研究紀要</v>
      </c>
      <c r="C2722" t="str">
        <f>"サクヨウ　オンガク　ダイガク　サクヨウ　タンキ　ダイガク　ケンキュウ　キヨウ"</f>
        <v>サクヨウ　オンガク　ダイガク　サクヨウ　タンキ　ダイガク　ケンキュウ　キヨウ</v>
      </c>
      <c r="D2722" t="str">
        <f>"作陽学園学術研究会"</f>
        <v>作陽学園学術研究会</v>
      </c>
      <c r="E2722" t="str">
        <f>"サクヨウガクエンガクジュツケンキュウカイ"</f>
        <v>サクヨウガクエンガクジュツケンキュウカイ</v>
      </c>
      <c r="F2722" t="str">
        <f>"津山"</f>
        <v>津山</v>
      </c>
      <c r="G2722" t="str">
        <f>"不定期刊"</f>
        <v>不定期刊</v>
      </c>
      <c r="H2722" t="str">
        <f>"2002222294471"</f>
        <v>2002222294471</v>
      </c>
      <c r="I2722" t="str">
        <f>HYPERLINK("#", "https://opac.libnet.pref.okayama.jp/licsxp-opac/WOpacMsgNewListToTifTilDetailAction.do?tilcod=2002222294471")</f>
        <v>https://opac.libnet.pref.okayama.jp/licsxp-opac/WOpacMsgNewListToTifTilDetailAction.do?tilcod=2002222294471</v>
      </c>
    </row>
    <row r="2723" spans="1:9" x14ac:dyDescent="0.4">
      <c r="A2723" t="str">
        <f>"作陽学園高等学校 SCHOOL GUIDE"</f>
        <v>作陽学園高等学校 SCHOOL GUIDE</v>
      </c>
      <c r="B2723" s="1" t="str">
        <f t="shared" si="149"/>
        <v>作陽学園高等学校 SCHOOL GUIDE</v>
      </c>
      <c r="C2723" t="str">
        <f>"サクヨウ ガクエン コウトウ ガッコウ スクールガイド"</f>
        <v>サクヨウ ガクエン コウトウ ガッコウ スクールガイド</v>
      </c>
      <c r="D2723" t="str">
        <f>"作陽学園高等学校"</f>
        <v>作陽学園高等学校</v>
      </c>
      <c r="E2723" t="str">
        <f>"サクヨウ ガクエン コウトウ ガッコウ"</f>
        <v>サクヨウ ガクエン コウトウ ガッコウ</v>
      </c>
      <c r="F2723" t="str">
        <f>"倉敷"</f>
        <v>倉敷</v>
      </c>
      <c r="G2723" t="str">
        <f>"年刊"</f>
        <v>年刊</v>
      </c>
      <c r="H2723" t="str">
        <f>"2002222341310"</f>
        <v>2002222341310</v>
      </c>
      <c r="I2723" t="str">
        <f>HYPERLINK("#", "https://opac.libnet.pref.okayama.jp/licsxp-opac/WOpacMsgNewListToTifTilDetailAction.do?tilcod=2002222341310")</f>
        <v>https://opac.libnet.pref.okayama.jp/licsxp-opac/WOpacMsgNewListToTifTilDetailAction.do?tilcod=2002222341310</v>
      </c>
    </row>
    <row r="2724" spans="1:9" x14ac:dyDescent="0.4">
      <c r="A2724" t="str">
        <f>"作陽学園報；くらしき作陽大学　作陽短期大学　岡山県作陽高等学校"</f>
        <v>作陽学園報；くらしき作陽大学　作陽短期大学　岡山県作陽高等学校</v>
      </c>
      <c r="B2724" s="1" t="str">
        <f t="shared" si="149"/>
        <v>作陽学園報；くらしき作陽大学　作陽短期大学　岡山県作陽高等学校</v>
      </c>
      <c r="C2724" t="str">
        <f>"サクヨウ　ガクエン　ホウ＊クラシキ　サクヨウ　ダイガク　サクヨウ　タンキ　ダイガク　オカヤマケン　サクヨウ　コウトウガッコウ"</f>
        <v>サクヨウ　ガクエン　ホウ＊クラシキ　サクヨウ　ダイガク　サクヨウ　タンキ　ダイガク　オカヤマケン　サクヨウ　コウトウガッコウ</v>
      </c>
      <c r="D2724" t="str">
        <f>"作陽学園"</f>
        <v>作陽学園</v>
      </c>
      <c r="E2724" t="str">
        <f>"サクヨウガクエン"</f>
        <v>サクヨウガクエン</v>
      </c>
      <c r="F2724" t="str">
        <f>"倉敷"</f>
        <v>倉敷</v>
      </c>
      <c r="G2724" t="str">
        <f>"年２回刊"</f>
        <v>年２回刊</v>
      </c>
      <c r="H2724" t="str">
        <f>"2002222301073"</f>
        <v>2002222301073</v>
      </c>
      <c r="I2724" t="str">
        <f>HYPERLINK("#", "https://opac.libnet.pref.okayama.jp/licsxp-opac/WOpacMsgNewListToTifTilDetailAction.do?tilcod=2002222301073")</f>
        <v>https://opac.libnet.pref.okayama.jp/licsxp-opac/WOpacMsgNewListToTifTilDetailAction.do?tilcod=2002222301073</v>
      </c>
    </row>
    <row r="2725" spans="1:9" x14ac:dyDescent="0.4">
      <c r="A2725" t="str">
        <f>"〔作陽高等学校陽友会〕陽友"</f>
        <v>〔作陽高等学校陽友会〕陽友</v>
      </c>
      <c r="B2725" s="1" t="str">
        <f t="shared" si="149"/>
        <v>〔作陽高等学校陽友会〕陽友</v>
      </c>
      <c r="C2725" t="str">
        <f>"サクヨウ　コウトウ　ガッコウ　ヨウユウカイ＊ヨウユウ"</f>
        <v>サクヨウ　コウトウ　ガッコウ　ヨウユウカイ＊ヨウユウ</v>
      </c>
      <c r="D2725" t="str">
        <f>"作陽高等学校陽友会"</f>
        <v>作陽高等学校陽友会</v>
      </c>
      <c r="E2725" t="str">
        <f>"サクヨウコウトウガッコウヨウユウカイ"</f>
        <v>サクヨウコウトウガッコウヨウユウカイ</v>
      </c>
      <c r="F2725" t="str">
        <f>""</f>
        <v/>
      </c>
      <c r="G2725" t="str">
        <f>"頻度不明"</f>
        <v>頻度不明</v>
      </c>
      <c r="H2725" t="str">
        <f>"2002222282923"</f>
        <v>2002222282923</v>
      </c>
      <c r="I2725" t="str">
        <f>HYPERLINK("#", "https://opac.libnet.pref.okayama.jp/licsxp-opac/WOpacMsgNewListToTifTilDetailAction.do?tilcod=2002222282923")</f>
        <v>https://opac.libnet.pref.okayama.jp/licsxp-opac/WOpacMsgNewListToTifTilDetailAction.do?tilcod=2002222282923</v>
      </c>
    </row>
    <row r="2726" spans="1:9" x14ac:dyDescent="0.4">
      <c r="A2726" t="str">
        <f>"作陽新報"</f>
        <v>作陽新報</v>
      </c>
      <c r="B2726" s="1" t="str">
        <f t="shared" si="149"/>
        <v>作陽新報</v>
      </c>
      <c r="C2726" t="str">
        <f>"サクヨウ　シンポウ"</f>
        <v>サクヨウ　シンポウ</v>
      </c>
      <c r="D2726" t="str">
        <f>"作陽新報社"</f>
        <v>作陽新報社</v>
      </c>
      <c r="E2726" t="str">
        <f>"サクヨウ シンポウシャ"</f>
        <v>サクヨウ シンポウシャ</v>
      </c>
      <c r="F2726" t="str">
        <f>"落合町（真庭郡）"</f>
        <v>落合町（真庭郡）</v>
      </c>
      <c r="G2726" t="str">
        <f>"旬刊"</f>
        <v>旬刊</v>
      </c>
      <c r="H2726" t="str">
        <f>"2002222300882"</f>
        <v>2002222300882</v>
      </c>
      <c r="I2726" t="str">
        <f>HYPERLINK("#", "https://opac.libnet.pref.okayama.jp/licsxp-opac/WOpacMsgNewListToTifTilDetailAction.do?tilcod=2002222300882")</f>
        <v>https://opac.libnet.pref.okayama.jp/licsxp-opac/WOpacMsgNewListToTifTilDetailAction.do?tilcod=2002222300882</v>
      </c>
    </row>
    <row r="2727" spans="1:9" x14ac:dyDescent="0.4">
      <c r="A2727" t="str">
        <f>"作陽短期大学研究紀要"</f>
        <v>作陽短期大学研究紀要</v>
      </c>
      <c r="B2727" s="1" t="str">
        <f t="shared" si="149"/>
        <v>作陽短期大学研究紀要</v>
      </c>
      <c r="C2727" t="str">
        <f>"サクヨウ　タンキ　ダイガク　ケンキュウ　キヨウ"</f>
        <v>サクヨウ　タンキ　ダイガク　ケンキュウ　キヨウ</v>
      </c>
      <c r="D2727" t="str">
        <f>"作陽短期大学"</f>
        <v>作陽短期大学</v>
      </c>
      <c r="E2727" t="str">
        <f>"サクヨウ タンキ ダイガク"</f>
        <v>サクヨウ タンキ ダイガク</v>
      </c>
      <c r="F2727" t="str">
        <f>"津山"</f>
        <v>津山</v>
      </c>
      <c r="G2727" t="str">
        <f>"頻度不明"</f>
        <v>頻度不明</v>
      </c>
      <c r="H2727" t="str">
        <f>"2002222288593"</f>
        <v>2002222288593</v>
      </c>
      <c r="I2727" t="str">
        <f>HYPERLINK("#", "https://opac.libnet.pref.okayama.jp/licsxp-opac/WOpacMsgNewListToTifTilDetailAction.do?tilcod=2002222288593")</f>
        <v>https://opac.libnet.pref.okayama.jp/licsxp-opac/WOpacMsgNewListToTifTilDetailAction.do?tilcod=2002222288593</v>
      </c>
    </row>
    <row r="2728" spans="1:9" x14ac:dyDescent="0.4">
      <c r="A2728" t="str">
        <f>"[作楽神社]社報"</f>
        <v>[作楽神社]社報</v>
      </c>
      <c r="B2728" s="1" t="str">
        <f t="shared" si="149"/>
        <v>[作楽神社]社報</v>
      </c>
      <c r="C2728" t="str">
        <f>"サクラ ジンジャ シャホウ"</f>
        <v>サクラ ジンジャ シャホウ</v>
      </c>
      <c r="D2728" t="str">
        <f>"作楽神社社務所"</f>
        <v>作楽神社社務所</v>
      </c>
      <c r="E2728" t="str">
        <f>"サクラ ジンジャ シャムショ"</f>
        <v>サクラ ジンジャ シャムショ</v>
      </c>
      <c r="F2728" t="str">
        <f>"津山"</f>
        <v>津山</v>
      </c>
      <c r="G2728" t="str">
        <f>"月２回刊"</f>
        <v>月２回刊</v>
      </c>
      <c r="H2728" t="str">
        <f>"2002222281273"</f>
        <v>2002222281273</v>
      </c>
      <c r="I2728" t="str">
        <f>HYPERLINK("#", "https://opac.libnet.pref.okayama.jp/licsxp-opac/WOpacMsgNewListToTifTilDetailAction.do?tilcod=2002222281273")</f>
        <v>https://opac.libnet.pref.okayama.jp/licsxp-opac/WOpacMsgNewListToTifTilDetailAction.do?tilcod=2002222281273</v>
      </c>
    </row>
    <row r="2729" spans="1:9" x14ac:dyDescent="0.4">
      <c r="A2729" t="str">
        <f>"支える"</f>
        <v>支える</v>
      </c>
      <c r="B2729" s="1" t="str">
        <f t="shared" si="149"/>
        <v>支える</v>
      </c>
      <c r="C2729" t="str">
        <f>"ササエル"</f>
        <v>ササエル</v>
      </c>
      <c r="D2729" t="str">
        <f>"赤磐郡ヘルスボランティアの会"</f>
        <v>赤磐郡ヘルスボランティアの会</v>
      </c>
      <c r="E2729" t="str">
        <f>"アカイワグンヘルスボランティアノカイ"</f>
        <v>アカイワグンヘルスボランティアノカイ</v>
      </c>
      <c r="F2729" t="str">
        <f>""</f>
        <v/>
      </c>
      <c r="G2729" t="str">
        <f>"年刊"</f>
        <v>年刊</v>
      </c>
      <c r="H2729" t="str">
        <f>"2002222281283"</f>
        <v>2002222281283</v>
      </c>
      <c r="I2729" t="str">
        <f>HYPERLINK("#", "https://opac.libnet.pref.okayama.jp/licsxp-opac/WOpacMsgNewListToTifTilDetailAction.do?tilcod=2002222281283")</f>
        <v>https://opac.libnet.pref.okayama.jp/licsxp-opac/WOpacMsgNewListToTifTilDetailAction.do?tilcod=2002222281283</v>
      </c>
    </row>
    <row r="2730" spans="1:9" x14ac:dyDescent="0.4">
      <c r="A2730" t="str">
        <f>"笹ヶ瀬川"</f>
        <v>笹ヶ瀬川</v>
      </c>
      <c r="B2730" s="1" t="str">
        <f t="shared" si="149"/>
        <v>笹ヶ瀬川</v>
      </c>
      <c r="C2730" t="str">
        <f>"ササガセガワ"</f>
        <v>ササガセガワ</v>
      </c>
      <c r="D2730" t="str">
        <f>"福田公民館"</f>
        <v>福田公民館</v>
      </c>
      <c r="E2730" t="str">
        <f>"オカヤマシリツ フクダ コウミンカン"</f>
        <v>オカヤマシリツ フクダ コウミンカン</v>
      </c>
      <c r="F2730" t="str">
        <f>"岡山"</f>
        <v>岡山</v>
      </c>
      <c r="G2730" t="str">
        <f>"頻度不明"</f>
        <v>頻度不明</v>
      </c>
      <c r="H2730" t="str">
        <f>"2002222338072"</f>
        <v>2002222338072</v>
      </c>
      <c r="I2730" t="str">
        <f>HYPERLINK("#", "https://opac.libnet.pref.okayama.jp/licsxp-opac/WOpacMsgNewListToTifTilDetailAction.do?tilcod=2002222338072")</f>
        <v>https://opac.libnet.pref.okayama.jp/licsxp-opac/WOpacMsgNewListToTifTilDetailAction.do?tilcod=2002222338072</v>
      </c>
    </row>
    <row r="2731" spans="1:9" x14ac:dyDescent="0.4">
      <c r="A2731" t="str">
        <f>"さゝなき（ささなき）"</f>
        <v>さゝなき（ささなき）</v>
      </c>
      <c r="B2731" s="1" t="str">
        <f t="shared" si="149"/>
        <v>さゝなき（ささなき）</v>
      </c>
      <c r="C2731" t="str">
        <f>"ササナキ"</f>
        <v>ササナキ</v>
      </c>
      <c r="D2731" t="str">
        <f>"笹鳴吟社"</f>
        <v>笹鳴吟社</v>
      </c>
      <c r="E2731" t="str">
        <f>"ササナキギンシャ"</f>
        <v>ササナキギンシャ</v>
      </c>
      <c r="F2731" t="str">
        <f>""</f>
        <v/>
      </c>
      <c r="G2731" t="str">
        <f>"頻度不明"</f>
        <v>頻度不明</v>
      </c>
      <c r="H2731" t="str">
        <f>"2002222281293"</f>
        <v>2002222281293</v>
      </c>
      <c r="I2731" t="str">
        <f>HYPERLINK("#", "https://opac.libnet.pref.okayama.jp/licsxp-opac/WOpacMsgNewListToTifTilDetailAction.do?tilcod=2002222281293")</f>
        <v>https://opac.libnet.pref.okayama.jp/licsxp-opac/WOpacMsgNewListToTifTilDetailAction.do?tilcod=2002222281293</v>
      </c>
    </row>
    <row r="2732" spans="1:9" x14ac:dyDescent="0.4">
      <c r="A2732" t="str">
        <f>"漣"</f>
        <v>漣</v>
      </c>
      <c r="B2732" s="1" t="str">
        <f t="shared" si="149"/>
        <v>漣</v>
      </c>
      <c r="C2732" t="str">
        <f>"サザナミ"</f>
        <v>サザナミ</v>
      </c>
      <c r="D2732" t="str">
        <f>"漣短歌会"</f>
        <v>漣短歌会</v>
      </c>
      <c r="E2732" t="str">
        <f>"サザナミタンカカイ"</f>
        <v>サザナミタンカカイ</v>
      </c>
      <c r="F2732" t="str">
        <f>""</f>
        <v/>
      </c>
      <c r="G2732" t="str">
        <f>"頻度不明"</f>
        <v>頻度不明</v>
      </c>
      <c r="H2732" t="str">
        <f>"2002222281313"</f>
        <v>2002222281313</v>
      </c>
      <c r="I2732" t="str">
        <f>HYPERLINK("#", "https://opac.libnet.pref.okayama.jp/licsxp-opac/WOpacMsgNewListToTifTilDetailAction.do?tilcod=2002222281313")</f>
        <v>https://opac.libnet.pref.okayama.jp/licsxp-opac/WOpacMsgNewListToTifTilDetailAction.do?tilcod=2002222281313</v>
      </c>
    </row>
    <row r="2733" spans="1:9" x14ac:dyDescent="0.4">
      <c r="A2733" t="str">
        <f>"さざなみ"</f>
        <v>さざなみ</v>
      </c>
      <c r="B2733" s="1" t="str">
        <f t="shared" si="149"/>
        <v>さざなみ</v>
      </c>
      <c r="C2733" t="str">
        <f>"サザナミ"</f>
        <v>サザナミ</v>
      </c>
      <c r="D2733" t="str">
        <f>"玉野市児童詩研究会"</f>
        <v>玉野市児童詩研究会</v>
      </c>
      <c r="E2733" t="str">
        <f>"タマノシジドウシケンキュウカイ"</f>
        <v>タマノシジドウシケンキュウカイ</v>
      </c>
      <c r="F2733" t="str">
        <f>"玉野"</f>
        <v>玉野</v>
      </c>
      <c r="G2733" t="str">
        <f>"年刊"</f>
        <v>年刊</v>
      </c>
      <c r="H2733" t="str">
        <f>"2002222301307"</f>
        <v>2002222301307</v>
      </c>
      <c r="I2733" t="str">
        <f>HYPERLINK("#", "https://opac.libnet.pref.okayama.jp/licsxp-opac/WOpacMsgNewListToTifTilDetailAction.do?tilcod=2002222301307")</f>
        <v>https://opac.libnet.pref.okayama.jp/licsxp-opac/WOpacMsgNewListToTifTilDetailAction.do?tilcod=2002222301307</v>
      </c>
    </row>
    <row r="2734" spans="1:9" x14ac:dyDescent="0.4">
      <c r="A2734" t="str">
        <f>"楽浪（さざなみ）"</f>
        <v>楽浪（さざなみ）</v>
      </c>
      <c r="B2734" s="1" t="str">
        <f t="shared" si="149"/>
        <v>楽浪（さざなみ）</v>
      </c>
      <c r="C2734" t="str">
        <f>"サザナミ"</f>
        <v>サザナミ</v>
      </c>
      <c r="D2734" t="str">
        <f>"楽浪会"</f>
        <v>楽浪会</v>
      </c>
      <c r="E2734" t="str">
        <f>"ラクロウカイ"</f>
        <v>ラクロウカイ</v>
      </c>
      <c r="F2734" t="str">
        <f>"児島町(岡山県児島郡)"</f>
        <v>児島町(岡山県児島郡)</v>
      </c>
      <c r="G2734" t="str">
        <f>"月刊"</f>
        <v>月刊</v>
      </c>
      <c r="H2734" t="str">
        <f>"2002222324326"</f>
        <v>2002222324326</v>
      </c>
      <c r="I2734" t="str">
        <f>HYPERLINK("#", "https://opac.libnet.pref.okayama.jp/licsxp-opac/WOpacMsgNewListToTifTilDetailAction.do?tilcod=2002222324326")</f>
        <v>https://opac.libnet.pref.okayama.jp/licsxp-opac/WOpacMsgNewListToTifTilDetailAction.do?tilcod=2002222324326</v>
      </c>
    </row>
    <row r="2735" spans="1:9" x14ac:dyDescent="0.4">
      <c r="A2735" t="str">
        <f>"作々奈美〔岡山県牛窓高等女学校〕"</f>
        <v>作々奈美〔岡山県牛窓高等女学校〕</v>
      </c>
      <c r="B2735" s="1" t="str">
        <f t="shared" si="149"/>
        <v>作々奈美〔岡山県牛窓高等女学校〕</v>
      </c>
      <c r="C2735" t="str">
        <f>"サザナミ　オカヤマケン　ウシマド　コウトウ　ジョガッコウ"</f>
        <v>サザナミ　オカヤマケン　ウシマド　コウトウ　ジョガッコウ</v>
      </c>
      <c r="D2735" t="str">
        <f>"岡山県牛窓高等女学校校友会"</f>
        <v>岡山県牛窓高等女学校校友会</v>
      </c>
      <c r="E2735" t="str">
        <f>"オカヤマケンウシマドコウトウジョガッコウコウユウカイ"</f>
        <v>オカヤマケンウシマドコウトウジョガッコウコウユウカイ</v>
      </c>
      <c r="F2735" t="str">
        <f>""</f>
        <v/>
      </c>
      <c r="G2735" t="str">
        <f>"頻度不明"</f>
        <v>頻度不明</v>
      </c>
      <c r="H2735" t="str">
        <f>"2002222281303"</f>
        <v>2002222281303</v>
      </c>
      <c r="I2735" t="str">
        <f>HYPERLINK("#", "https://opac.libnet.pref.okayama.jp/licsxp-opac/WOpacMsgNewListToTifTilDetailAction.do?tilcod=2002222281303")</f>
        <v>https://opac.libnet.pref.okayama.jp/licsxp-opac/WOpacMsgNewListToTifTilDetailAction.do?tilcod=2002222281303</v>
      </c>
    </row>
    <row r="2736" spans="1:9" x14ac:dyDescent="0.4">
      <c r="A2736" t="str">
        <f>"さゝ舟"</f>
        <v>さゝ舟</v>
      </c>
      <c r="B2736" s="1" t="str">
        <f t="shared" si="149"/>
        <v>さゝ舟</v>
      </c>
      <c r="C2736" t="str">
        <f>"ササブネ"</f>
        <v>ササブネ</v>
      </c>
      <c r="D2736" t="str">
        <f>"さゝ舟会"</f>
        <v>さゝ舟会</v>
      </c>
      <c r="E2736" t="str">
        <f>"ササブネカイ"</f>
        <v>ササブネカイ</v>
      </c>
      <c r="F2736" t="str">
        <f>"美作"</f>
        <v>美作</v>
      </c>
      <c r="G2736" t="str">
        <f>"月刊"</f>
        <v>月刊</v>
      </c>
      <c r="H2736" t="str">
        <f>"2002222292581"</f>
        <v>2002222292581</v>
      </c>
      <c r="I2736" t="str">
        <f>HYPERLINK("#", "https://opac.libnet.pref.okayama.jp/licsxp-opac/WOpacMsgNewListToTifTilDetailAction.do?tilcod=2002222292581")</f>
        <v>https://opac.libnet.pref.okayama.jp/licsxp-opac/WOpacMsgNewListToTifTilDetailAction.do?tilcod=2002222292581</v>
      </c>
    </row>
    <row r="2737" spans="1:9" x14ac:dyDescent="0.4">
      <c r="A2737" t="str">
        <f>"さすら"</f>
        <v>さすら</v>
      </c>
      <c r="B2737" s="1" t="str">
        <f t="shared" si="149"/>
        <v>さすら</v>
      </c>
      <c r="C2737" t="str">
        <f>"サスラ"</f>
        <v>サスラ</v>
      </c>
      <c r="D2737" t="str">
        <f>"神理研究会"</f>
        <v>神理研究会</v>
      </c>
      <c r="E2737" t="str">
        <f>"シンリ ケンキュウカイ"</f>
        <v>シンリ ケンキュウカイ</v>
      </c>
      <c r="F2737" t="str">
        <f>"東京"</f>
        <v>東京</v>
      </c>
      <c r="G2737" t="str">
        <f>"月刊"</f>
        <v>月刊</v>
      </c>
      <c r="H2737" t="str">
        <f>"2002222315526"</f>
        <v>2002222315526</v>
      </c>
      <c r="I2737" t="str">
        <f>HYPERLINK("#", "https://opac.libnet.pref.okayama.jp/licsxp-opac/WOpacMsgNewListToTifTilDetailAction.do?tilcod=2002222315526")</f>
        <v>https://opac.libnet.pref.okayama.jp/licsxp-opac/WOpacMsgNewListToTifTilDetailAction.do?tilcod=2002222315526</v>
      </c>
    </row>
    <row r="2738" spans="1:9" x14ac:dyDescent="0.4">
      <c r="A2738" t="str">
        <f>"雑誌中国"</f>
        <v>雑誌中国</v>
      </c>
      <c r="B2738" s="1" t="str">
        <f t="shared" si="149"/>
        <v>雑誌中国</v>
      </c>
      <c r="C2738" t="str">
        <f>"ザッシ　チュウゴク"</f>
        <v>ザッシ　チュウゴク</v>
      </c>
      <c r="D2738" t="str">
        <f>"雑誌中国社"</f>
        <v>雑誌中国社</v>
      </c>
      <c r="E2738" t="str">
        <f>"ザッシ チュウゴクシャ"</f>
        <v>ザッシ チュウゴクシャ</v>
      </c>
      <c r="F2738" t="str">
        <f>"庭瀬町(吉備郡)"</f>
        <v>庭瀬町(吉備郡)</v>
      </c>
      <c r="G2738" t="str">
        <f>"頻度不明"</f>
        <v>頻度不明</v>
      </c>
      <c r="H2738" t="str">
        <f>"2002222281323"</f>
        <v>2002222281323</v>
      </c>
      <c r="I2738" t="str">
        <f>HYPERLINK("#", "https://opac.libnet.pref.okayama.jp/licsxp-opac/WOpacMsgNewListToTifTilDetailAction.do?tilcod=2002222281323")</f>
        <v>https://opac.libnet.pref.okayama.jp/licsxp-opac/WOpacMsgNewListToTifTilDetailAction.do?tilcod=2002222281323</v>
      </c>
    </row>
    <row r="2739" spans="1:9" x14ac:dyDescent="0.4">
      <c r="A2739" t="str">
        <f>"雑種"</f>
        <v>雑種</v>
      </c>
      <c r="B2739" s="1" t="str">
        <f t="shared" si="149"/>
        <v>雑種</v>
      </c>
      <c r="C2739" t="str">
        <f>"ザッシュ"</f>
        <v>ザッシュ</v>
      </c>
      <c r="D2739" t="str">
        <f>"山陽学園雑種の会"</f>
        <v>山陽学園雑種の会</v>
      </c>
      <c r="E2739" t="str">
        <f>"サンヨウ ガクエン ザッシュ ノ カイ"</f>
        <v>サンヨウ ガクエン ザッシュ ノ カイ</v>
      </c>
      <c r="F2739" t="str">
        <f>"岡山"</f>
        <v>岡山</v>
      </c>
      <c r="G2739" t="str">
        <f>"年刊"</f>
        <v>年刊</v>
      </c>
      <c r="H2739" t="str">
        <f>"2002222331171"</f>
        <v>2002222331171</v>
      </c>
      <c r="I2739" t="str">
        <f>HYPERLINK("#", "https://opac.libnet.pref.okayama.jp/licsxp-opac/WOpacMsgNewListToTifTilDetailAction.do?tilcod=2002222331171")</f>
        <v>https://opac.libnet.pref.okayama.jp/licsxp-opac/WOpacMsgNewListToTifTilDetailAction.do?tilcod=2002222331171</v>
      </c>
    </row>
    <row r="2740" spans="1:9" x14ac:dyDescent="0.4">
      <c r="A2740" t="str">
        <f>"雑草；高校生の主張"</f>
        <v>雑草；高校生の主張</v>
      </c>
      <c r="B2740" s="1" t="str">
        <f t="shared" si="149"/>
        <v>雑草；高校生の主張</v>
      </c>
      <c r="C2740" t="str">
        <f>"ザッソウ＊コウコウセイ　ノ　シュチョウ"</f>
        <v>ザッソウ＊コウコウセイ　ノ　シュチョウ</v>
      </c>
      <c r="D2740" t="str">
        <f>"至道高等学校社研同好会"</f>
        <v>至道高等学校社研同好会</v>
      </c>
      <c r="E2740" t="str">
        <f>"シドウコウトウガッコウシャケンドウコウカイ"</f>
        <v>シドウコウトウガッコウシャケンドウコウカイ</v>
      </c>
      <c r="F2740" t="str">
        <f>""</f>
        <v/>
      </c>
      <c r="G2740" t="str">
        <f>"頻度不明"</f>
        <v>頻度不明</v>
      </c>
      <c r="H2740" t="str">
        <f>"2002222301090"</f>
        <v>2002222301090</v>
      </c>
      <c r="I2740" t="str">
        <f>HYPERLINK("#", "https://opac.libnet.pref.okayama.jp/licsxp-opac/WOpacMsgNewListToTifTilDetailAction.do?tilcod=2002222301090")</f>
        <v>https://opac.libnet.pref.okayama.jp/licsxp-opac/WOpacMsgNewListToTifTilDetailAction.do?tilcod=2002222301090</v>
      </c>
    </row>
    <row r="2741" spans="1:9" x14ac:dyDescent="0.4">
      <c r="A2741" t="str">
        <f>"サトウカメラニュース"</f>
        <v>サトウカメラニュース</v>
      </c>
      <c r="B2741" s="1" t="str">
        <f t="shared" si="149"/>
        <v>サトウカメラニュース</v>
      </c>
      <c r="C2741" t="str">
        <f>"サトウ カメラ ニュース"</f>
        <v>サトウ カメラ ニュース</v>
      </c>
      <c r="D2741" t="str">
        <f>"サトウ写真機店"</f>
        <v>サトウ写真機店</v>
      </c>
      <c r="E2741" t="str">
        <f>"サトウ シャシンキ テン"</f>
        <v>サトウ シャシンキ テン</v>
      </c>
      <c r="F2741" t="str">
        <f>"岡山"</f>
        <v>岡山</v>
      </c>
      <c r="G2741" t="str">
        <f>"頻度不明"</f>
        <v>頻度不明</v>
      </c>
      <c r="H2741" t="str">
        <f>"2002222335608"</f>
        <v>2002222335608</v>
      </c>
      <c r="I2741" t="str">
        <f>HYPERLINK("#", "https://opac.libnet.pref.okayama.jp/licsxp-opac/WOpacMsgNewListToTifTilDetailAction.do?tilcod=2002222335608")</f>
        <v>https://opac.libnet.pref.okayama.jp/licsxp-opac/WOpacMsgNewListToTifTilDetailAction.do?tilcod=2002222335608</v>
      </c>
    </row>
    <row r="2742" spans="1:9" x14ac:dyDescent="0.4">
      <c r="A2742" t="str">
        <f>"佐藤清明資料保存会会報"</f>
        <v>佐藤清明資料保存会会報</v>
      </c>
      <c r="B2742" s="1" t="str">
        <f t="shared" si="149"/>
        <v>佐藤清明資料保存会会報</v>
      </c>
      <c r="C2742" t="str">
        <f>"サトウ キヨアキ シリョウ ホゾンカイ カイホウ"</f>
        <v>サトウ キヨアキ シリョウ ホゾンカイ カイホウ</v>
      </c>
      <c r="D2742" t="str">
        <f>"佐藤清明資料保存会"</f>
        <v>佐藤清明資料保存会</v>
      </c>
      <c r="E2742" t="str">
        <f>"サトウ キヨアキ シリョウ ホゾンカイ"</f>
        <v>サトウ キヨアキ シリョウ ホゾンカイ</v>
      </c>
      <c r="F2742" t="str">
        <f>"里庄町"</f>
        <v>里庄町</v>
      </c>
      <c r="G2742" t="str">
        <f>"不定期刊"</f>
        <v>不定期刊</v>
      </c>
      <c r="H2742" t="str">
        <f>"2002222333909"</f>
        <v>2002222333909</v>
      </c>
      <c r="I2742" t="str">
        <f>HYPERLINK("#", "https://opac.libnet.pref.okayama.jp/licsxp-opac/WOpacMsgNewListToTifTilDetailAction.do?tilcod=2002222333909")</f>
        <v>https://opac.libnet.pref.okayama.jp/licsxp-opac/WOpacMsgNewListToTifTilDetailAction.do?tilcod=2002222333909</v>
      </c>
    </row>
    <row r="2743" spans="1:9" x14ac:dyDescent="0.4">
      <c r="A2743" t="str">
        <f>"佐藤清明資料保存会（仮称）会報"</f>
        <v>佐藤清明資料保存会（仮称）会報</v>
      </c>
      <c r="B2743" s="1" t="str">
        <f t="shared" si="149"/>
        <v>佐藤清明資料保存会（仮称）会報</v>
      </c>
      <c r="C2743" t="str">
        <f>"サトウ キヨアキ シリョウ ホゾンカイ カショウ カイホウ"</f>
        <v>サトウ キヨアキ シリョウ ホゾンカイ カショウ カイホウ</v>
      </c>
      <c r="D2743" t="str">
        <f>"佐藤清明資料保存会（仮称）"</f>
        <v>佐藤清明資料保存会（仮称）</v>
      </c>
      <c r="E2743" t="str">
        <f>"サトウ キヨアキ シリョウ ホゾンカイ"</f>
        <v>サトウ キヨアキ シリョウ ホゾンカイ</v>
      </c>
      <c r="F2743" t="str">
        <f>"里庄町"</f>
        <v>里庄町</v>
      </c>
      <c r="G2743" t="str">
        <f>"頻度不明"</f>
        <v>頻度不明</v>
      </c>
      <c r="H2743" t="str">
        <f>"2002222332351"</f>
        <v>2002222332351</v>
      </c>
      <c r="I2743" t="str">
        <f>HYPERLINK("#", "https://opac.libnet.pref.okayama.jp/licsxp-opac/WOpacMsgNewListToTifTilDetailAction.do?tilcod=2002222332351")</f>
        <v>https://opac.libnet.pref.okayama.jp/licsxp-opac/WOpacMsgNewListToTifTilDetailAction.do?tilcod=2002222332351</v>
      </c>
    </row>
    <row r="2744" spans="1:9" x14ac:dyDescent="0.4">
      <c r="A2744" t="str">
        <f>"さとおや"</f>
        <v>さとおや</v>
      </c>
      <c r="B2744" s="1" t="str">
        <f t="shared" si="149"/>
        <v>さとおや</v>
      </c>
      <c r="C2744" t="str">
        <f>"サトオヤ"</f>
        <v>サトオヤ</v>
      </c>
      <c r="D2744" t="str">
        <f>"岡山県民生労働部婦人児童課"</f>
        <v>岡山県民生労働部婦人児童課</v>
      </c>
      <c r="E2744" t="str">
        <f>"オカヤマケン ミンセイ ロウドウブ フジン ジドウカ"</f>
        <v>オカヤマケン ミンセイ ロウドウブ フジン ジドウカ</v>
      </c>
      <c r="F2744" t="str">
        <f>""</f>
        <v/>
      </c>
      <c r="G2744" t="str">
        <f>"頻度不明"</f>
        <v>頻度不明</v>
      </c>
      <c r="H2744" t="str">
        <f>"2002222281333"</f>
        <v>2002222281333</v>
      </c>
      <c r="I2744" t="str">
        <f>HYPERLINK("#", "https://opac.libnet.pref.okayama.jp/licsxp-opac/WOpacMsgNewListToTifTilDetailAction.do?tilcod=2002222281333")</f>
        <v>https://opac.libnet.pref.okayama.jp/licsxp-opac/WOpacMsgNewListToTifTilDetailAction.do?tilcod=2002222281333</v>
      </c>
    </row>
    <row r="2745" spans="1:9" x14ac:dyDescent="0.4">
      <c r="A2745" t="str">
        <f>"里庄町報"</f>
        <v>里庄町報</v>
      </c>
      <c r="B2745" s="1" t="str">
        <f t="shared" si="149"/>
        <v>里庄町報</v>
      </c>
      <c r="C2745" t="str">
        <f>"サトショウ　チョウホウ"</f>
        <v>サトショウ　チョウホウ</v>
      </c>
      <c r="D2745" t="str">
        <f>"里庄町"</f>
        <v>里庄町</v>
      </c>
      <c r="E2745" t="str">
        <f>"サトショウチョウ"</f>
        <v>サトショウチョウ</v>
      </c>
      <c r="F2745" t="str">
        <f>"里庄町（浅口郡）"</f>
        <v>里庄町（浅口郡）</v>
      </c>
      <c r="G2745" t="str">
        <f>"月刊"</f>
        <v>月刊</v>
      </c>
      <c r="H2745" t="str">
        <f>"2002222301662"</f>
        <v>2002222301662</v>
      </c>
      <c r="I2745" t="str">
        <f>HYPERLINK("#", "https://opac.libnet.pref.okayama.jp/licsxp-opac/WOpacMsgNewListToTifTilDetailAction.do?tilcod=2002222301662")</f>
        <v>https://opac.libnet.pref.okayama.jp/licsxp-opac/WOpacMsgNewListToTifTilDetailAction.do?tilcod=2002222301662</v>
      </c>
    </row>
    <row r="2746" spans="1:9" x14ac:dyDescent="0.4">
      <c r="A2746" t="str">
        <f>"里庄俳壇作品集"</f>
        <v>里庄俳壇作品集</v>
      </c>
      <c r="B2746" s="1" t="str">
        <f t="shared" si="149"/>
        <v>里庄俳壇作品集</v>
      </c>
      <c r="C2746" t="str">
        <f>"サトショウ　ハイダン　サクヒンシュウ"</f>
        <v>サトショウ　ハイダン　サクヒンシュウ</v>
      </c>
      <c r="D2746" t="str">
        <f>"里庄町文化協会俳句部"</f>
        <v>里庄町文化協会俳句部</v>
      </c>
      <c r="E2746" t="str">
        <f>"サトショウチョウブンカキョウカイハイクブ"</f>
        <v>サトショウチョウブンカキョウカイハイクブ</v>
      </c>
      <c r="F2746" t="str">
        <f>"里庄町（浅口郡）"</f>
        <v>里庄町（浅口郡）</v>
      </c>
      <c r="G2746" t="str">
        <f>"頻度不明"</f>
        <v>頻度不明</v>
      </c>
      <c r="H2746" t="str">
        <f>"2002222281343"</f>
        <v>2002222281343</v>
      </c>
      <c r="I2746" t="str">
        <f>HYPERLINK("#", "https://opac.libnet.pref.okayama.jp/licsxp-opac/WOpacMsgNewListToTifTilDetailAction.do?tilcod=2002222281343")</f>
        <v>https://opac.libnet.pref.okayama.jp/licsxp-opac/WOpacMsgNewListToTifTilDetailAction.do?tilcod=2002222281343</v>
      </c>
    </row>
    <row r="2747" spans="1:9" x14ac:dyDescent="0.4">
      <c r="A2747" t="str">
        <f>"里山センターだより"</f>
        <v>里山センターだより</v>
      </c>
      <c r="B2747" s="1" t="str">
        <f t="shared" si="149"/>
        <v>里山センターだより</v>
      </c>
      <c r="C2747" t="str">
        <f>"サトヤマ　センター　ダヨリ"</f>
        <v>サトヤマ　センター　ダヨリ</v>
      </c>
      <c r="D2747" t="str">
        <f>"操山公園里山センター"</f>
        <v>操山公園里山センター</v>
      </c>
      <c r="E2747" t="str">
        <f>"ミサオヤマコウエンサトヤマセンター"</f>
        <v>ミサオヤマコウエンサトヤマセンター</v>
      </c>
      <c r="F2747" t="str">
        <f>"岡山"</f>
        <v>岡山</v>
      </c>
      <c r="G2747" t="str">
        <f>"月刊"</f>
        <v>月刊</v>
      </c>
      <c r="H2747" t="str">
        <f>"2002222301080"</f>
        <v>2002222301080</v>
      </c>
      <c r="I2747" t="str">
        <f>HYPERLINK("#", "https://opac.libnet.pref.okayama.jp/licsxp-opac/WOpacMsgNewListToTifTilDetailAction.do?tilcod=2002222301080")</f>
        <v>https://opac.libnet.pref.okayama.jp/licsxp-opac/WOpacMsgNewListToTifTilDetailAction.do?tilcod=2002222301080</v>
      </c>
    </row>
    <row r="2748" spans="1:9" x14ac:dyDescent="0.4">
      <c r="A2748" t="str">
        <f>"さなえ"</f>
        <v>さなえ</v>
      </c>
      <c r="B2748" s="1" t="str">
        <f t="shared" si="149"/>
        <v>さなえ</v>
      </c>
      <c r="C2748" t="str">
        <f>"サナエ"</f>
        <v>サナエ</v>
      </c>
      <c r="D2748" t="str">
        <f>"岡山市立操南小学校"</f>
        <v>岡山市立操南小学校</v>
      </c>
      <c r="E2748" t="str">
        <f>"オカヤマシリツ ソウナン ショウガッコウ"</f>
        <v>オカヤマシリツ ソウナン ショウガッコウ</v>
      </c>
      <c r="F2748" t="str">
        <f>"岡山"</f>
        <v>岡山</v>
      </c>
      <c r="G2748" t="str">
        <f>"年刊"</f>
        <v>年刊</v>
      </c>
      <c r="H2748" t="str">
        <f>"2002222331929"</f>
        <v>2002222331929</v>
      </c>
      <c r="I2748" t="str">
        <f>HYPERLINK("#", "https://opac.libnet.pref.okayama.jp/licsxp-opac/WOpacMsgNewListToTifTilDetailAction.do?tilcod=2002222331929")</f>
        <v>https://opac.libnet.pref.okayama.jp/licsxp-opac/WOpacMsgNewListToTifTilDetailAction.do?tilcod=2002222331929</v>
      </c>
    </row>
    <row r="2749" spans="1:9" x14ac:dyDescent="0.4">
      <c r="A2749" t="str">
        <f>"サヌカイト"</f>
        <v>サヌカイト</v>
      </c>
      <c r="B2749" s="1" t="str">
        <f t="shared" si="149"/>
        <v>サヌカイト</v>
      </c>
      <c r="C2749" t="str">
        <f>"サヌカイト"</f>
        <v>サヌカイト</v>
      </c>
      <c r="D2749" t="str">
        <f>"岡山理科大学考古学部"</f>
        <v>岡山理科大学考古学部</v>
      </c>
      <c r="E2749" t="str">
        <f>"オカヤマリカダイガクコウコガクブ"</f>
        <v>オカヤマリカダイガクコウコガクブ</v>
      </c>
      <c r="F2749" t="str">
        <f>""</f>
        <v/>
      </c>
      <c r="G2749" t="str">
        <f>"頻度不明"</f>
        <v>頻度不明</v>
      </c>
      <c r="H2749" t="str">
        <f>"2002222281353"</f>
        <v>2002222281353</v>
      </c>
      <c r="I2749" t="str">
        <f>HYPERLINK("#", "https://opac.libnet.pref.okayama.jp/licsxp-opac/WOpacMsgNewListToTifTilDetailAction.do?tilcod=2002222281353")</f>
        <v>https://opac.libnet.pref.okayama.jp/licsxp-opac/WOpacMsgNewListToTifTilDetailAction.do?tilcod=2002222281353</v>
      </c>
    </row>
    <row r="2750" spans="1:9" x14ac:dyDescent="0.4">
      <c r="A2750" t="str">
        <f>"サピックス通信"</f>
        <v>サピックス通信</v>
      </c>
      <c r="B2750" s="1" t="str">
        <f t="shared" si="149"/>
        <v>サピックス通信</v>
      </c>
      <c r="C2750" t="str">
        <f>"サピックス　ツウシン"</f>
        <v>サピックス　ツウシン</v>
      </c>
      <c r="D2750" t="str">
        <f>"サピックス"</f>
        <v>サピックス</v>
      </c>
      <c r="E2750" t="str">
        <f>"サピックス"</f>
        <v>サピックス</v>
      </c>
      <c r="F2750" t="str">
        <f>"岡山"</f>
        <v>岡山</v>
      </c>
      <c r="G2750" t="str">
        <f>"季刊"</f>
        <v>季刊</v>
      </c>
      <c r="H2750" t="str">
        <f>"2002222302432"</f>
        <v>2002222302432</v>
      </c>
      <c r="I2750" t="str">
        <f>HYPERLINK("#", "https://opac.libnet.pref.okayama.jp/licsxp-opac/WOpacMsgNewListToTifTilDetailAction.do?tilcod=2002222302432")</f>
        <v>https://opac.libnet.pref.okayama.jp/licsxp-opac/WOpacMsgNewListToTifTilDetailAction.do?tilcod=2002222302432</v>
      </c>
    </row>
    <row r="2751" spans="1:9" x14ac:dyDescent="0.4">
      <c r="A2751" t="str">
        <f>"Ｓｕｂ　Ｒｏｓａ（サブ　ローサ）"</f>
        <v>Ｓｕｂ　Ｒｏｓａ（サブ　ローサ）</v>
      </c>
      <c r="B2751" s="1" t="str">
        <f t="shared" si="149"/>
        <v>Ｓｕｂ　Ｒｏｓａ（サブ　ローサ）</v>
      </c>
      <c r="C2751" t="str">
        <f>"サブ　ローサ"</f>
        <v>サブ　ローサ</v>
      </c>
      <c r="D2751" t="str">
        <f>"「月の舞台」運営実行委員会"</f>
        <v>「月の舞台」運営実行委員会</v>
      </c>
      <c r="E2751" t="str">
        <f>"ツキノブタイウンエイジッコウイインカイ"</f>
        <v>ツキノブタイウンエイジッコウイインカイ</v>
      </c>
      <c r="F2751" t="str">
        <f>"岡山"</f>
        <v>岡山</v>
      </c>
      <c r="G2751" t="str">
        <f>"頻度不明"</f>
        <v>頻度不明</v>
      </c>
      <c r="H2751" t="str">
        <f>"2002222301479"</f>
        <v>2002222301479</v>
      </c>
      <c r="I2751" t="str">
        <f>HYPERLINK("#", "https://opac.libnet.pref.okayama.jp/licsxp-opac/WOpacMsgNewListToTifTilDetailAction.do?tilcod=2002222301479")</f>
        <v>https://opac.libnet.pref.okayama.jp/licsxp-opac/WOpacMsgNewListToTifTilDetailAction.do?tilcod=2002222301479</v>
      </c>
    </row>
    <row r="2752" spans="1:9" x14ac:dyDescent="0.4">
      <c r="A2752" t="str">
        <f>"サポート岡山"</f>
        <v>サポート岡山</v>
      </c>
      <c r="B2752" s="1" t="str">
        <f t="shared" si="149"/>
        <v>サポート岡山</v>
      </c>
      <c r="C2752" t="str">
        <f>"サポート　オカヤマ"</f>
        <v>サポート　オカヤマ</v>
      </c>
      <c r="D2752" t="str">
        <f>"おかやま申請取次行政書士連絡会　外国人入国在留申請相談センター"</f>
        <v>おかやま申請取次行政書士連絡会　外国人入国在留申請相談センター</v>
      </c>
      <c r="E2752" t="str">
        <f>"オカヤマシンセイトリツギギョウセイショシレンラクカイガイコクジンニュウコクザイリュウソウダンセンター"</f>
        <v>オカヤマシンセイトリツギギョウセイショシレンラクカイガイコクジンニュウコクザイリュウソウダンセンター</v>
      </c>
      <c r="F2752" t="str">
        <f>"岡山"</f>
        <v>岡山</v>
      </c>
      <c r="G2752" t="str">
        <f>"頻度不明"</f>
        <v>頻度不明</v>
      </c>
      <c r="H2752" t="str">
        <f>"2002222282231"</f>
        <v>2002222282231</v>
      </c>
      <c r="I2752" t="str">
        <f>HYPERLINK("#", "https://opac.libnet.pref.okayama.jp/licsxp-opac/WOpacMsgNewListToTifTilDetailAction.do?tilcod=2002222282231")</f>
        <v>https://opac.libnet.pref.okayama.jp/licsxp-opac/WOpacMsgNewListToTifTilDetailAction.do?tilcod=2002222282231</v>
      </c>
    </row>
    <row r="2753" spans="1:9" x14ac:dyDescent="0.4">
      <c r="A2753" t="str">
        <f>"サボテン岡山"</f>
        <v>サボテン岡山</v>
      </c>
      <c r="B2753" s="1" t="str">
        <f t="shared" si="149"/>
        <v>サボテン岡山</v>
      </c>
      <c r="C2753" t="str">
        <f>"サボテン　オカヤマ"</f>
        <v>サボテン　オカヤマ</v>
      </c>
      <c r="D2753" t="str">
        <f>"岡山サボテン同好会"</f>
        <v>岡山サボテン同好会</v>
      </c>
      <c r="E2753" t="str">
        <f>"オカヤマサボテンドウコウカイ"</f>
        <v>オカヤマサボテンドウコウカイ</v>
      </c>
      <c r="F2753" t="str">
        <f>"岡山"</f>
        <v>岡山</v>
      </c>
      <c r="G2753" t="str">
        <f>"年２回刊"</f>
        <v>年２回刊</v>
      </c>
      <c r="H2753" t="str">
        <f>"2002222301351"</f>
        <v>2002222301351</v>
      </c>
      <c r="I2753" t="str">
        <f>HYPERLINK("#", "https://opac.libnet.pref.okayama.jp/licsxp-opac/WOpacMsgNewListToTifTilDetailAction.do?tilcod=2002222301351")</f>
        <v>https://opac.libnet.pref.okayama.jp/licsxp-opac/WOpacMsgNewListToTifTilDetailAction.do?tilcod=2002222301351</v>
      </c>
    </row>
    <row r="2754" spans="1:9" x14ac:dyDescent="0.4">
      <c r="A2754" t="str">
        <f>"ざぼん"</f>
        <v>ざぼん</v>
      </c>
      <c r="B2754" s="1" t="str">
        <f t="shared" si="149"/>
        <v>ざぼん</v>
      </c>
      <c r="C2754" t="str">
        <f>"ザボン"</f>
        <v>ザボン</v>
      </c>
      <c r="D2754" t="str">
        <f>"朱欒詩社"</f>
        <v>朱欒詩社</v>
      </c>
      <c r="E2754" t="str">
        <f>"ザボンシシャ"</f>
        <v>ザボンシシャ</v>
      </c>
      <c r="F2754" t="str">
        <f>""</f>
        <v/>
      </c>
      <c r="G2754" t="str">
        <f>"頻度不明"</f>
        <v>頻度不明</v>
      </c>
      <c r="H2754" t="str">
        <f>"2002222281373"</f>
        <v>2002222281373</v>
      </c>
      <c r="I2754" t="str">
        <f>HYPERLINK("#", "https://opac.libnet.pref.okayama.jp/licsxp-opac/WOpacMsgNewListToTifTilDetailAction.do?tilcod=2002222281373")</f>
        <v>https://opac.libnet.pref.okayama.jp/licsxp-opac/WOpacMsgNewListToTifTilDetailAction.do?tilcod=2002222281373</v>
      </c>
    </row>
    <row r="2755" spans="1:9" x14ac:dyDescent="0.4">
      <c r="A2755" t="str">
        <f>"さようならば"</f>
        <v>さようならば</v>
      </c>
      <c r="B2755" s="1" t="str">
        <f t="shared" si="149"/>
        <v>さようならば</v>
      </c>
      <c r="C2755" t="str">
        <f>"サヨウナラバ"</f>
        <v>サヨウナラバ</v>
      </c>
      <c r="D2755" t="str">
        <f>"中野真吾"</f>
        <v>中野真吾</v>
      </c>
      <c r="E2755" t="str">
        <f>"ナカノシンゴ"</f>
        <v>ナカノシンゴ</v>
      </c>
      <c r="F2755" t="str">
        <f>""</f>
        <v/>
      </c>
      <c r="G2755" t="str">
        <f>"不定期刊"</f>
        <v>不定期刊</v>
      </c>
      <c r="H2755" t="str">
        <f>"2002222281393"</f>
        <v>2002222281393</v>
      </c>
      <c r="I2755" t="str">
        <f>HYPERLINK("#", "https://opac.libnet.pref.okayama.jp/licsxp-opac/WOpacMsgNewListToTifTilDetailAction.do?tilcod=2002222281393")</f>
        <v>https://opac.libnet.pref.okayama.jp/licsxp-opac/WOpacMsgNewListToTifTilDetailAction.do?tilcod=2002222281393</v>
      </c>
    </row>
    <row r="2756" spans="1:9" x14ac:dyDescent="0.4">
      <c r="A2756" t="str">
        <f>"SALIO（さりお）"</f>
        <v>SALIO（さりお）</v>
      </c>
      <c r="B2756" s="1" t="str">
        <f t="shared" ref="B2756:B2819" si="150">HYPERLINK("#", A2756)</f>
        <v>SALIO（さりお）</v>
      </c>
      <c r="C2756" t="str">
        <f>"サリオ"</f>
        <v>サリオ</v>
      </c>
      <c r="D2756" t="str">
        <f>"山陽リビングメディア"</f>
        <v>山陽リビングメディア</v>
      </c>
      <c r="E2756" t="str">
        <f>"サンヨウ リビング メディア"</f>
        <v>サンヨウ リビング メディア</v>
      </c>
      <c r="F2756" t="str">
        <f>"岡山"</f>
        <v>岡山</v>
      </c>
      <c r="G2756" t="str">
        <f>"週刊"</f>
        <v>週刊</v>
      </c>
      <c r="H2756" t="str">
        <f>"2002222334847"</f>
        <v>2002222334847</v>
      </c>
      <c r="I2756" t="str">
        <f>HYPERLINK("#", "https://opac.libnet.pref.okayama.jp/licsxp-opac/WOpacMsgNewListToTifTilDetailAction.do?tilcod=2002222334847")</f>
        <v>https://opac.libnet.pref.okayama.jp/licsxp-opac/WOpacMsgNewListToTifTilDetailAction.do?tilcod=2002222334847</v>
      </c>
    </row>
    <row r="2757" spans="1:9" x14ac:dyDescent="0.4">
      <c r="A2757" t="str">
        <f>"ＳＡＬＵＴ"</f>
        <v>ＳＡＬＵＴ</v>
      </c>
      <c r="B2757" s="1" t="str">
        <f t="shared" si="150"/>
        <v>ＳＡＬＵＴ</v>
      </c>
      <c r="C2757" t="str">
        <f>"サリュー"</f>
        <v>サリュー</v>
      </c>
      <c r="D2757" t="str">
        <f>"オハヨー乳業"</f>
        <v>オハヨー乳業</v>
      </c>
      <c r="E2757" t="str">
        <f>"オハヨー ニュウギョウ"</f>
        <v>オハヨー ニュウギョウ</v>
      </c>
      <c r="F2757" t="str">
        <f>"岡山"</f>
        <v>岡山</v>
      </c>
      <c r="G2757" t="str">
        <f>"季刊"</f>
        <v>季刊</v>
      </c>
      <c r="H2757" t="str">
        <f>"2002222282251"</f>
        <v>2002222282251</v>
      </c>
      <c r="I2757" t="str">
        <f>HYPERLINK("#", "https://opac.libnet.pref.okayama.jp/licsxp-opac/WOpacMsgNewListToTifTilDetailAction.do?tilcod=2002222282251")</f>
        <v>https://opac.libnet.pref.okayama.jp/licsxp-opac/WOpacMsgNewListToTifTilDetailAction.do?tilcod=2002222282251</v>
      </c>
    </row>
    <row r="2758" spans="1:9" x14ac:dyDescent="0.4">
      <c r="A2758" t="str">
        <f>"さるうく"</f>
        <v>さるうく</v>
      </c>
      <c r="B2758" s="1" t="str">
        <f t="shared" si="150"/>
        <v>さるうく</v>
      </c>
      <c r="C2758" t="str">
        <f>"サルウク"</f>
        <v>サルウク</v>
      </c>
      <c r="D2758" t="str">
        <f>"現代実験箱"</f>
        <v>現代実験箱</v>
      </c>
      <c r="E2758" t="str">
        <f>"ゲンダイジッケンバコ"</f>
        <v>ゲンダイジッケンバコ</v>
      </c>
      <c r="F2758" t="str">
        <f>""</f>
        <v/>
      </c>
      <c r="G2758" t="str">
        <f>"不定期刊"</f>
        <v>不定期刊</v>
      </c>
      <c r="H2758" t="str">
        <f>"2002222289973"</f>
        <v>2002222289973</v>
      </c>
      <c r="I2758" t="str">
        <f>HYPERLINK("#", "https://opac.libnet.pref.okayama.jp/licsxp-opac/WOpacMsgNewListToTifTilDetailAction.do?tilcod=2002222289973")</f>
        <v>https://opac.libnet.pref.okayama.jp/licsxp-opac/WOpacMsgNewListToTifTilDetailAction.do?tilcod=2002222289973</v>
      </c>
    </row>
    <row r="2759" spans="1:9" x14ac:dyDescent="0.4">
      <c r="A2759" t="str">
        <f>"サルビア"</f>
        <v>サルビア</v>
      </c>
      <c r="B2759" s="1" t="str">
        <f t="shared" si="150"/>
        <v>サルビア</v>
      </c>
      <c r="C2759" t="str">
        <f>"サルビア"</f>
        <v>サルビア</v>
      </c>
      <c r="D2759" t="str">
        <f>"サルビア俳句会"</f>
        <v>サルビア俳句会</v>
      </c>
      <c r="E2759" t="str">
        <f>"サルビアハイクカイ"</f>
        <v>サルビアハイクカイ</v>
      </c>
      <c r="F2759" t="str">
        <f>"鏡野町（苫田郡）"</f>
        <v>鏡野町（苫田郡）</v>
      </c>
      <c r="G2759" t="str">
        <f>"隔月刊"</f>
        <v>隔月刊</v>
      </c>
      <c r="H2759" t="str">
        <f>"2002222291401"</f>
        <v>2002222291401</v>
      </c>
      <c r="I2759" t="str">
        <f>HYPERLINK("#", "https://opac.libnet.pref.okayama.jp/licsxp-opac/WOpacMsgNewListToTifTilDetailAction.do?tilcod=2002222291401")</f>
        <v>https://opac.libnet.pref.okayama.jp/licsxp-opac/WOpacMsgNewListToTifTilDetailAction.do?tilcod=2002222291401</v>
      </c>
    </row>
    <row r="2760" spans="1:9" x14ac:dyDescent="0.4">
      <c r="A2760" t="str">
        <f>"サルビヤ"</f>
        <v>サルビヤ</v>
      </c>
      <c r="B2760" s="1" t="str">
        <f t="shared" si="150"/>
        <v>サルビヤ</v>
      </c>
      <c r="C2760" t="str">
        <f>"サルビヤ"</f>
        <v>サルビヤ</v>
      </c>
      <c r="D2760" t="str">
        <f>"サルビア発行所"</f>
        <v>サルビア発行所</v>
      </c>
      <c r="E2760" t="str">
        <f>"サルビヤハッコウジョ"</f>
        <v>サルビヤハッコウジョ</v>
      </c>
      <c r="F2760" t="str">
        <f>"鏡野町（苫田郡）"</f>
        <v>鏡野町（苫田郡）</v>
      </c>
      <c r="G2760" t="str">
        <f>"頻度不明"</f>
        <v>頻度不明</v>
      </c>
      <c r="H2760" t="str">
        <f>"2002222281433"</f>
        <v>2002222281433</v>
      </c>
      <c r="I2760" t="str">
        <f>HYPERLINK("#", "https://opac.libnet.pref.okayama.jp/licsxp-opac/WOpacMsgNewListToTifTilDetailAction.do?tilcod=2002222281433")</f>
        <v>https://opac.libnet.pref.okayama.jp/licsxp-opac/WOpacMsgNewListToTifTilDetailAction.do?tilcod=2002222281433</v>
      </c>
    </row>
    <row r="2761" spans="1:9" x14ac:dyDescent="0.4">
      <c r="A2761" t="str">
        <f>"サロニカ通信"</f>
        <v>サロニカ通信</v>
      </c>
      <c r="B2761" s="1" t="str">
        <f t="shared" si="150"/>
        <v>サロニカ通信</v>
      </c>
      <c r="C2761" t="str">
        <f>"サロニカ　ツウシン"</f>
        <v>サロニカ　ツウシン</v>
      </c>
      <c r="D2761" t="str">
        <f>"カフェ・サロニカ"</f>
        <v>カフェ・サロニカ</v>
      </c>
      <c r="E2761" t="str">
        <f>"カフェ　サロニカ"</f>
        <v>カフェ　サロニカ</v>
      </c>
      <c r="F2761" t="str">
        <f>""</f>
        <v/>
      </c>
      <c r="G2761" t="str">
        <f>"頻度不明"</f>
        <v>頻度不明</v>
      </c>
      <c r="H2761" t="str">
        <f>"2002222281453"</f>
        <v>2002222281453</v>
      </c>
      <c r="I2761" t="str">
        <f>HYPERLINK("#", "https://opac.libnet.pref.okayama.jp/licsxp-opac/WOpacMsgNewListToTifTilDetailAction.do?tilcod=2002222281453")</f>
        <v>https://opac.libnet.pref.okayama.jp/licsxp-opac/WOpacMsgNewListToTifTilDetailAction.do?tilcod=2002222281453</v>
      </c>
    </row>
    <row r="2762" spans="1:9" x14ac:dyDescent="0.4">
      <c r="A2762" t="str">
        <f>"サロル"</f>
        <v>サロル</v>
      </c>
      <c r="B2762" s="1" t="str">
        <f t="shared" si="150"/>
        <v>サロル</v>
      </c>
      <c r="C2762" t="str">
        <f>"サロル"</f>
        <v>サロル</v>
      </c>
      <c r="D2762" t="str">
        <f>"岡山大学文芸部"</f>
        <v>岡山大学文芸部</v>
      </c>
      <c r="E2762" t="str">
        <f>"オカヤマダイガクブンゲイブ"</f>
        <v>オカヤマダイガクブンゲイブ</v>
      </c>
      <c r="F2762" t="str">
        <f>"岡山"</f>
        <v>岡山</v>
      </c>
      <c r="G2762" t="str">
        <f>"頻度不明"</f>
        <v>頻度不明</v>
      </c>
      <c r="H2762" t="str">
        <f>"2002222281413"</f>
        <v>2002222281413</v>
      </c>
      <c r="I2762" t="str">
        <f>HYPERLINK("#", "https://opac.libnet.pref.okayama.jp/licsxp-opac/WOpacMsgNewListToTifTilDetailAction.do?tilcod=2002222281413")</f>
        <v>https://opac.libnet.pref.okayama.jp/licsxp-opac/WOpacMsgNewListToTifTilDetailAction.do?tilcod=2002222281413</v>
      </c>
    </row>
    <row r="2763" spans="1:9" x14ac:dyDescent="0.4">
      <c r="A2763" t="str">
        <f>"さわやか東備かわら版"</f>
        <v>さわやか東備かわら版</v>
      </c>
      <c r="B2763" s="1" t="str">
        <f t="shared" si="150"/>
        <v>さわやか東備かわら版</v>
      </c>
      <c r="C2763" t="str">
        <f>"サワヤカ　トウビ　カワラバン"</f>
        <v>サワヤカ　トウビ　カワラバン</v>
      </c>
      <c r="D2763" t="str">
        <f>"東備地方振興局振興部地域振興室"</f>
        <v>東備地方振興局振興部地域振興室</v>
      </c>
      <c r="E2763" t="str">
        <f>"トウビチホウシンコウキョクシンコウブチイキシンコウシツ"</f>
        <v>トウビチホウシンコウキョクシンコウブチイキシンコウシツ</v>
      </c>
      <c r="F2763" t="str">
        <f>"和気町（和気郡）"</f>
        <v>和気町（和気郡）</v>
      </c>
      <c r="G2763" t="str">
        <f>"年３回刊"</f>
        <v>年３回刊</v>
      </c>
      <c r="H2763" t="str">
        <f>"2002222281731"</f>
        <v>2002222281731</v>
      </c>
      <c r="I2763" t="str">
        <f>HYPERLINK("#", "https://opac.libnet.pref.okayama.jp/licsxp-opac/WOpacMsgNewListToTifTilDetailAction.do?tilcod=2002222281731")</f>
        <v>https://opac.libnet.pref.okayama.jp/licsxp-opac/WOpacMsgNewListToTifTilDetailAction.do?tilcod=2002222281731</v>
      </c>
    </row>
    <row r="2764" spans="1:9" x14ac:dyDescent="0.4">
      <c r="A2764" t="str">
        <f>"早蕨"</f>
        <v>早蕨</v>
      </c>
      <c r="B2764" s="1" t="str">
        <f t="shared" si="150"/>
        <v>早蕨</v>
      </c>
      <c r="C2764" t="str">
        <f>"サワラビ"</f>
        <v>サワラビ</v>
      </c>
      <c r="D2764" t="str">
        <f>"早蕨社"</f>
        <v>早蕨社</v>
      </c>
      <c r="E2764" t="str">
        <f>"サワラビシャ"</f>
        <v>サワラビシャ</v>
      </c>
      <c r="F2764" t="str">
        <f>""</f>
        <v/>
      </c>
      <c r="G2764" t="str">
        <f>"頻度不明"</f>
        <v>頻度不明</v>
      </c>
      <c r="H2764" t="str">
        <f>"2002222281463"</f>
        <v>2002222281463</v>
      </c>
      <c r="I2764" t="str">
        <f>HYPERLINK("#", "https://opac.libnet.pref.okayama.jp/licsxp-opac/WOpacMsgNewListToTifTilDetailAction.do?tilcod=2002222281463")</f>
        <v>https://opac.libnet.pref.okayama.jp/licsxp-opac/WOpacMsgNewListToTifTilDetailAction.do?tilcod=2002222281463</v>
      </c>
    </row>
    <row r="2765" spans="1:9" x14ac:dyDescent="0.4">
      <c r="A2765" t="str">
        <f>"さわらび会々報"</f>
        <v>さわらび会々報</v>
      </c>
      <c r="B2765" s="1" t="str">
        <f t="shared" si="150"/>
        <v>さわらび会々報</v>
      </c>
      <c r="C2765" t="str">
        <f>"サワラビカイ　カイホウ"</f>
        <v>サワラビカイ　カイホウ</v>
      </c>
      <c r="D2765" t="str">
        <f>"枝松国明"</f>
        <v>枝松国明</v>
      </c>
      <c r="E2765" t="str">
        <f>"エダマツクニアキ"</f>
        <v>エダマツクニアキ</v>
      </c>
      <c r="F2765" t="str">
        <f>"総社"</f>
        <v>総社</v>
      </c>
      <c r="G2765" t="str">
        <f>"頻度不明"</f>
        <v>頻度不明</v>
      </c>
      <c r="H2765" t="str">
        <f>"2002222281664"</f>
        <v>2002222281664</v>
      </c>
      <c r="I2765" t="str">
        <f>HYPERLINK("#", "https://opac.libnet.pref.okayama.jp/licsxp-opac/WOpacMsgNewListToTifTilDetailAction.do?tilcod=2002222281664")</f>
        <v>https://opac.libnet.pref.okayama.jp/licsxp-opac/WOpacMsgNewListToTifTilDetailAction.do?tilcod=2002222281664</v>
      </c>
    </row>
    <row r="2766" spans="1:9" x14ac:dyDescent="0.4">
      <c r="A2766" t="str">
        <f>"さんあい；「青少年問題を考え、行動する１００人委員会」情報誌"</f>
        <v>さんあい；「青少年問題を考え、行動する１００人委員会」情報誌</v>
      </c>
      <c r="B2766" s="1" t="str">
        <f t="shared" si="150"/>
        <v>さんあい；「青少年問題を考え、行動する１００人委員会」情報誌</v>
      </c>
      <c r="C2766" t="str">
        <f>"サンアイ＊セイショウネン　モンダイ　オ　カンガエ　コウドウスル　ヒャク　ニン　イインカイ　ジョウホウシ"</f>
        <v>サンアイ＊セイショウネン　モンダイ　オ　カンガエ　コウドウスル　ヒャク　ニン　イインカイ　ジョウホウシ</v>
      </c>
      <c r="D2766" t="str">
        <f>"青少年問題を考え、行動する１００人委員会"</f>
        <v>青少年問題を考え、行動する１００人委員会</v>
      </c>
      <c r="E2766" t="str">
        <f>"セイショウネン モンダイ オ カンガエ コウドウスル ヒャクニン イインカイ"</f>
        <v>セイショウネン モンダイ オ カンガエ コウドウスル ヒャクニン イインカイ</v>
      </c>
      <c r="F2766" t="str">
        <f>"岡山"</f>
        <v>岡山</v>
      </c>
      <c r="G2766" t="str">
        <f>"不定期刊"</f>
        <v>不定期刊</v>
      </c>
      <c r="H2766" t="str">
        <f>"2002222281884"</f>
        <v>2002222281884</v>
      </c>
      <c r="I2766" t="str">
        <f>HYPERLINK("#", "https://opac.libnet.pref.okayama.jp/licsxp-opac/WOpacMsgNewListToTifTilDetailAction.do?tilcod=2002222281884")</f>
        <v>https://opac.libnet.pref.okayama.jp/licsxp-opac/WOpacMsgNewListToTifTilDetailAction.do?tilcod=2002222281884</v>
      </c>
    </row>
    <row r="2767" spans="1:9" x14ac:dyDescent="0.4">
      <c r="A2767" t="str">
        <f>"さんかく岡山"</f>
        <v>さんかく岡山</v>
      </c>
      <c r="B2767" s="1" t="str">
        <f t="shared" si="150"/>
        <v>さんかく岡山</v>
      </c>
      <c r="C2767" t="str">
        <f>"サンカク　オカヤマ"</f>
        <v>サンカク　オカヤマ</v>
      </c>
      <c r="D2767" t="str">
        <f>"岡山市男女共同参画社会推進センター"</f>
        <v>岡山市男女共同参画社会推進センター</v>
      </c>
      <c r="E2767" t="str">
        <f>"オカヤマシダンジョキョウドウサンカクシャカイスイシンセンター"</f>
        <v>オカヤマシダンジョキョウドウサンカクシャカイスイシンセンター</v>
      </c>
      <c r="F2767" t="str">
        <f>"岡山"</f>
        <v>岡山</v>
      </c>
      <c r="G2767" t="str">
        <f>"季刊"</f>
        <v>季刊</v>
      </c>
      <c r="H2767" t="str">
        <f>"2002222285841"</f>
        <v>2002222285841</v>
      </c>
      <c r="I2767" t="str">
        <f>HYPERLINK("#", "https://opac.libnet.pref.okayama.jp/licsxp-opac/WOpacMsgNewListToTifTilDetailAction.do?tilcod=2002222285841")</f>
        <v>https://opac.libnet.pref.okayama.jp/licsxp-opac/WOpacMsgNewListToTifTilDetailAction.do?tilcod=2002222285841</v>
      </c>
    </row>
    <row r="2768" spans="1:9" x14ac:dyDescent="0.4">
      <c r="A2768" t="str">
        <f>"さんかく館；藤田公民館だより"</f>
        <v>さんかく館；藤田公民館だより</v>
      </c>
      <c r="B2768" s="1" t="str">
        <f t="shared" si="150"/>
        <v>さんかく館；藤田公民館だより</v>
      </c>
      <c r="C2768" t="str">
        <f>"サンカクカン＊フジタ コウミンカン ダヨリ"</f>
        <v>サンカクカン＊フジタ コウミンカン ダヨリ</v>
      </c>
      <c r="D2768" t="str">
        <f>"岡山市立藤田公民館"</f>
        <v>岡山市立藤田公民館</v>
      </c>
      <c r="E2768" t="str">
        <f>"オカヤマシリツ フジタ コウミンカン"</f>
        <v>オカヤマシリツ フジタ コウミンカン</v>
      </c>
      <c r="F2768" t="str">
        <f>"岡山"</f>
        <v>岡山</v>
      </c>
      <c r="G2768" t="str">
        <f>"隔月刊"</f>
        <v>隔月刊</v>
      </c>
      <c r="H2768" t="str">
        <f>"2002222341381"</f>
        <v>2002222341381</v>
      </c>
      <c r="I2768" t="str">
        <f>HYPERLINK("#", "https://opac.libnet.pref.okayama.jp/licsxp-opac/WOpacMsgNewListToTifTilDetailAction.do?tilcod=2002222341381")</f>
        <v>https://opac.libnet.pref.okayama.jp/licsxp-opac/WOpacMsgNewListToTifTilDetailAction.do?tilcod=2002222341381</v>
      </c>
    </row>
    <row r="2769" spans="1:9" x14ac:dyDescent="0.4">
      <c r="A2769" t="str">
        <f>"参議院岡山県選挙区選出議員選挙公報"</f>
        <v>参議院岡山県選挙区選出議員選挙公報</v>
      </c>
      <c r="B2769" s="1" t="str">
        <f t="shared" si="150"/>
        <v>参議院岡山県選挙区選出議員選挙公報</v>
      </c>
      <c r="C2769" t="str">
        <f>"サンギイン オカヤマケン センキョク センシュツ ギイン センキョ コウホウ"</f>
        <v>サンギイン オカヤマケン センキョク センシュツ ギイン センキョ コウホウ</v>
      </c>
      <c r="D2769" t="str">
        <f>"岡山県選挙管理委員会"</f>
        <v>岡山県選挙管理委員会</v>
      </c>
      <c r="E2769" t="str">
        <f>"オカヤマケン センキョ カンリ イインカイ"</f>
        <v>オカヤマケン センキョ カンリ イインカイ</v>
      </c>
      <c r="F2769" t="str">
        <f>"岡山"</f>
        <v>岡山</v>
      </c>
      <c r="G2769" t="str">
        <f>"不定期刊"</f>
        <v>不定期刊</v>
      </c>
      <c r="H2769" t="str">
        <f>"2002222337246"</f>
        <v>2002222337246</v>
      </c>
      <c r="I2769" t="str">
        <f>HYPERLINK("#", "https://opac.libnet.pref.okayama.jp/licsxp-opac/WOpacMsgNewListToTifTilDetailAction.do?tilcod=2002222337246")</f>
        <v>https://opac.libnet.pref.okayama.jp/licsxp-opac/WOpacMsgNewListToTifTilDetailAction.do?tilcod=2002222337246</v>
      </c>
    </row>
    <row r="2770" spans="1:9" x14ac:dyDescent="0.4">
      <c r="A2770" t="str">
        <f>"産業組合中央会岡山支会報"</f>
        <v>産業組合中央会岡山支会報</v>
      </c>
      <c r="B2770" s="1" t="str">
        <f t="shared" si="150"/>
        <v>産業組合中央会岡山支会報</v>
      </c>
      <c r="C2770" t="str">
        <f>"サンギョウ　クミアイ　チュウオウカイ　オカヤマ　シカイホウ"</f>
        <v>サンギョウ　クミアイ　チュウオウカイ　オカヤマ　シカイホウ</v>
      </c>
      <c r="D2770" t="str">
        <f>"産業組合中央会岡山支会"</f>
        <v>産業組合中央会岡山支会</v>
      </c>
      <c r="E2770" t="str">
        <f>"サンギョウクミアイチュウオウカイオカヤマシカイ"</f>
        <v>サンギョウクミアイチュウオウカイオカヤマシカイ</v>
      </c>
      <c r="F2770" t="str">
        <f>""</f>
        <v/>
      </c>
      <c r="G2770" t="str">
        <f>"頻度不明"</f>
        <v>頻度不明</v>
      </c>
      <c r="H2770" t="str">
        <f>"2002222281483"</f>
        <v>2002222281483</v>
      </c>
      <c r="I2770" t="str">
        <f>HYPERLINK("#", "https://opac.libnet.pref.okayama.jp/licsxp-opac/WOpacMsgNewListToTifTilDetailAction.do?tilcod=2002222281483")</f>
        <v>https://opac.libnet.pref.okayama.jp/licsxp-opac/WOpacMsgNewListToTifTilDetailAction.do?tilcod=2002222281483</v>
      </c>
    </row>
    <row r="2771" spans="1:9" x14ac:dyDescent="0.4">
      <c r="A2771" t="str">
        <f>"産業情報"</f>
        <v>産業情報</v>
      </c>
      <c r="B2771" s="1" t="str">
        <f t="shared" si="150"/>
        <v>産業情報</v>
      </c>
      <c r="C2771" t="str">
        <f>"サンギョウ　ジョウホウ"</f>
        <v>サンギョウ　ジョウホウ</v>
      </c>
      <c r="D2771" t="str">
        <f>"岡山県産業情報協会"</f>
        <v>岡山県産業情報協会</v>
      </c>
      <c r="E2771" t="str">
        <f>"オカヤマケンサンギョウジョウホウキョウカイ"</f>
        <v>オカヤマケンサンギョウジョウホウキョウカイ</v>
      </c>
      <c r="F2771" t="str">
        <f>""</f>
        <v/>
      </c>
      <c r="G2771" t="str">
        <f>"頻度不明"</f>
        <v>頻度不明</v>
      </c>
      <c r="H2771" t="str">
        <f>"2002222281493"</f>
        <v>2002222281493</v>
      </c>
      <c r="I2771" t="str">
        <f>HYPERLINK("#", "https://opac.libnet.pref.okayama.jp/licsxp-opac/WOpacMsgNewListToTifTilDetailAction.do?tilcod=2002222281493")</f>
        <v>https://opac.libnet.pref.okayama.jp/licsxp-opac/WOpacMsgNewListToTifTilDetailAction.do?tilcod=2002222281493</v>
      </c>
    </row>
    <row r="2772" spans="1:9" x14ac:dyDescent="0.4">
      <c r="A2772" t="str">
        <f>"さんぎょうほけんおかやま"</f>
        <v>さんぎょうほけんおかやま</v>
      </c>
      <c r="B2772" s="1" t="str">
        <f t="shared" si="150"/>
        <v>さんぎょうほけんおかやま</v>
      </c>
      <c r="C2772" t="str">
        <f>"サンギョウ　ホケン　オカヤマ"</f>
        <v>サンギョウ　ホケン　オカヤマ</v>
      </c>
      <c r="D2772" t="str">
        <f>"岡山産業保健推進センター"</f>
        <v>岡山産業保健推進センター</v>
      </c>
      <c r="E2772" t="str">
        <f>"オカヤマサンギョウホケンスイシンセンター"</f>
        <v>オカヤマサンギョウホケンスイシンセンター</v>
      </c>
      <c r="F2772" t="str">
        <f>"岡山"</f>
        <v>岡山</v>
      </c>
      <c r="G2772" t="str">
        <f>"年２回刊"</f>
        <v>年２回刊</v>
      </c>
      <c r="H2772" t="str">
        <f>"2002222301061"</f>
        <v>2002222301061</v>
      </c>
      <c r="I2772" t="str">
        <f>HYPERLINK("#", "https://opac.libnet.pref.okayama.jp/licsxp-opac/WOpacMsgNewListToTifTilDetailAction.do?tilcod=2002222301061")</f>
        <v>https://opac.libnet.pref.okayama.jp/licsxp-opac/WOpacMsgNewListToTifTilDetailAction.do?tilcod=2002222301061</v>
      </c>
    </row>
    <row r="2773" spans="1:9" x14ac:dyDescent="0.4">
      <c r="A2773" t="str">
        <f>"産業保健! 中国ブロック"</f>
        <v>産業保健! 中国ブロック</v>
      </c>
      <c r="B2773" s="1" t="str">
        <f t="shared" si="150"/>
        <v>産業保健! 中国ブロック</v>
      </c>
      <c r="C2773" t="str">
        <f>"サンギョウ ホケン チュウゴク ブロック"</f>
        <v>サンギョウ ホケン チュウゴク ブロック</v>
      </c>
      <c r="D2773" t="str">
        <f>"広島産業保健推進センター"</f>
        <v>広島産業保健推進センター</v>
      </c>
      <c r="E2773" t="str">
        <f>"ヒロシマサ ンギョウ ホケン スイシン センター"</f>
        <v>ヒロシマサ ンギョウ ホケン スイシン センター</v>
      </c>
      <c r="F2773" t="str">
        <f>"広島"</f>
        <v>広島</v>
      </c>
      <c r="G2773" t="str">
        <f>"頻度不明"</f>
        <v>頻度不明</v>
      </c>
      <c r="H2773" t="str">
        <f>"2002222320626"</f>
        <v>2002222320626</v>
      </c>
      <c r="I2773" t="str">
        <f>HYPERLINK("#", "https://opac.libnet.pref.okayama.jp/licsxp-opac/WOpacMsgNewListToTifTilDetailAction.do?tilcod=2002222320626")</f>
        <v>https://opac.libnet.pref.okayama.jp/licsxp-opac/WOpacMsgNewListToTifTilDetailAction.do?tilcod=2002222320626</v>
      </c>
    </row>
    <row r="2774" spans="1:9" x14ac:dyDescent="0.4">
      <c r="A2774" t="str">
        <f>"産業保健！広島＆岡山；広島・岡山産業保健推進センター合同情報誌"</f>
        <v>産業保健！広島＆岡山；広島・岡山産業保健推進センター合同情報誌</v>
      </c>
      <c r="B2774" s="1" t="str">
        <f t="shared" si="150"/>
        <v>産業保健！広島＆岡山；広島・岡山産業保健推進センター合同情報誌</v>
      </c>
      <c r="C2774" t="str">
        <f>"サンギョウ　ホケン　ヒロシマ　アンド　オカヤマ＊ヒロシマ　オカヤマ　サンギョウ　ホケン　スイシン　センター　ゴウドウ　ジョウホウシ"</f>
        <v>サンギョウ　ホケン　ヒロシマ　アンド　オカヤマ＊ヒロシマ　オカヤマ　サンギョウ　ホケン　スイシン　センター　ゴウドウ　ジョウホウシ</v>
      </c>
      <c r="D2774" t="str">
        <f>"岡山産業保健推進センター"</f>
        <v>岡山産業保健推進センター</v>
      </c>
      <c r="E2774" t="str">
        <f>"オカヤマサンギョウホケンスイシンセンター"</f>
        <v>オカヤマサンギョウホケンスイシンセンター</v>
      </c>
      <c r="F2774" t="str">
        <f>"岡山"</f>
        <v>岡山</v>
      </c>
      <c r="G2774" t="str">
        <f>"頻度不明"</f>
        <v>頻度不明</v>
      </c>
      <c r="H2774" t="str">
        <f>"2002222301062"</f>
        <v>2002222301062</v>
      </c>
      <c r="I2774" t="str">
        <f>HYPERLINK("#", "https://opac.libnet.pref.okayama.jp/licsxp-opac/WOpacMsgNewListToTifTilDetailAction.do?tilcod=2002222301062")</f>
        <v>https://opac.libnet.pref.okayama.jp/licsxp-opac/WOpacMsgNewListToTifTilDetailAction.do?tilcod=2002222301062</v>
      </c>
    </row>
    <row r="2775" spans="1:9" x14ac:dyDescent="0.4">
      <c r="A2775" t="str">
        <f>"三勲社協だより；ふれあいのまち"</f>
        <v>三勲社協だより；ふれあいのまち</v>
      </c>
      <c r="B2775" s="1" t="str">
        <f t="shared" si="150"/>
        <v>三勲社協だより；ふれあいのまち</v>
      </c>
      <c r="C2775" t="str">
        <f>"サンクン シャキョウ ダヨリ＊フレアイ ノ マチ"</f>
        <v>サンクン シャキョウ ダヨリ＊フレアイ ノ マチ</v>
      </c>
      <c r="D2775" t="str">
        <f>"三勲地区社会福祉協議会"</f>
        <v>三勲地区社会福祉協議会</v>
      </c>
      <c r="E2775" t="str">
        <f>"サンクン チク シャカイ フクシ キョウギカイ"</f>
        <v>サンクン チク シャカイ フクシ キョウギカイ</v>
      </c>
      <c r="F2775" t="str">
        <f>"岡山"</f>
        <v>岡山</v>
      </c>
      <c r="G2775" t="str">
        <f>"年２回刊"</f>
        <v>年２回刊</v>
      </c>
      <c r="H2775" t="str">
        <f>"2002222334746"</f>
        <v>2002222334746</v>
      </c>
      <c r="I2775" t="str">
        <f>HYPERLINK("#", "https://opac.libnet.pref.okayama.jp/licsxp-opac/WOpacMsgNewListToTifTilDetailAction.do?tilcod=2002222334746")</f>
        <v>https://opac.libnet.pref.okayama.jp/licsxp-opac/WOpacMsgNewListToTifTilDetailAction.do?tilcod=2002222334746</v>
      </c>
    </row>
    <row r="2776" spans="1:9" x14ac:dyDescent="0.4">
      <c r="A2776" t="str">
        <f>"山研ニュース"</f>
        <v>山研ニュース</v>
      </c>
      <c r="B2776" s="1" t="str">
        <f t="shared" si="150"/>
        <v>山研ニュース</v>
      </c>
      <c r="C2776" t="str">
        <f>"サンケン　ニュース"</f>
        <v>サンケン　ニュース</v>
      </c>
      <c r="D2776" t="str">
        <f>"山陰鉄道研究会"</f>
        <v>山陰鉄道研究会</v>
      </c>
      <c r="E2776" t="str">
        <f>"サンインテツドウケンキュウカイ"</f>
        <v>サンインテツドウケンキュウカイ</v>
      </c>
      <c r="F2776" t="str">
        <f>"米子"</f>
        <v>米子</v>
      </c>
      <c r="G2776" t="str">
        <f>"頻度不明"</f>
        <v>頻度不明</v>
      </c>
      <c r="H2776" t="str">
        <f>"2002222281503"</f>
        <v>2002222281503</v>
      </c>
      <c r="I2776" t="str">
        <f>HYPERLINK("#", "https://opac.libnet.pref.okayama.jp/licsxp-opac/WOpacMsgNewListToTifTilDetailAction.do?tilcod=2002222281503")</f>
        <v>https://opac.libnet.pref.okayama.jp/licsxp-opac/WOpacMsgNewListToTifTilDetailAction.do?tilcod=2002222281503</v>
      </c>
    </row>
    <row r="2777" spans="1:9" x14ac:dyDescent="0.4">
      <c r="A2777" t="str">
        <f>"珊瑚"</f>
        <v>珊瑚</v>
      </c>
      <c r="B2777" s="1" t="str">
        <f t="shared" si="150"/>
        <v>珊瑚</v>
      </c>
      <c r="C2777" t="str">
        <f>"サンゴ"</f>
        <v>サンゴ</v>
      </c>
      <c r="D2777" t="str">
        <f>"〔出版者不明〕"</f>
        <v>〔出版者不明〕</v>
      </c>
      <c r="E2777" t="str">
        <f>"シュッパンシャフメイ"</f>
        <v>シュッパンシャフメイ</v>
      </c>
      <c r="F2777" t="str">
        <f>""</f>
        <v/>
      </c>
      <c r="G2777" t="str">
        <f>"頻度不明"</f>
        <v>頻度不明</v>
      </c>
      <c r="H2777" t="str">
        <f>"2002222281513"</f>
        <v>2002222281513</v>
      </c>
      <c r="I2777" t="str">
        <f>HYPERLINK("#", "https://opac.libnet.pref.okayama.jp/licsxp-opac/WOpacMsgNewListToTifTilDetailAction.do?tilcod=2002222281513")</f>
        <v>https://opac.libnet.pref.okayama.jp/licsxp-opac/WOpacMsgNewListToTifTilDetailAction.do?tilcod=2002222281513</v>
      </c>
    </row>
    <row r="2778" spans="1:9" x14ac:dyDescent="0.4">
      <c r="A2778" t="str">
        <f>"さんご;珊瑚"</f>
        <v>さんご;珊瑚</v>
      </c>
      <c r="B2778" s="1" t="str">
        <f t="shared" si="150"/>
        <v>さんご;珊瑚</v>
      </c>
      <c r="C2778" t="str">
        <f>"サンゴ"</f>
        <v>サンゴ</v>
      </c>
      <c r="D2778" t="str">
        <f>"さんご会"</f>
        <v>さんご会</v>
      </c>
      <c r="E2778" t="str">
        <f>"サンゴカイ"</f>
        <v>サンゴカイ</v>
      </c>
      <c r="F2778" t="str">
        <f>"岡山"</f>
        <v>岡山</v>
      </c>
      <c r="G2778" t="str">
        <f>"頻度不明"</f>
        <v>頻度不明</v>
      </c>
      <c r="H2778" t="str">
        <f>"2002222306743"</f>
        <v>2002222306743</v>
      </c>
      <c r="I2778" t="str">
        <f>HYPERLINK("#", "https://opac.libnet.pref.okayama.jp/licsxp-opac/WOpacMsgNewListToTifTilDetailAction.do?tilcod=2002222306743")</f>
        <v>https://opac.libnet.pref.okayama.jp/licsxp-opac/WOpacMsgNewListToTifTilDetailAction.do?tilcod=2002222306743</v>
      </c>
    </row>
    <row r="2779" spans="1:9" x14ac:dyDescent="0.4">
      <c r="A2779" t="str">
        <f>"三光"</f>
        <v>三光</v>
      </c>
      <c r="B2779" s="1" t="str">
        <f t="shared" si="150"/>
        <v>三光</v>
      </c>
      <c r="C2779" t="str">
        <f>"サンコウ"</f>
        <v>サンコウ</v>
      </c>
      <c r="D2779" t="str">
        <f>"三光川柳会"</f>
        <v>三光川柳会</v>
      </c>
      <c r="E2779" t="str">
        <f>"サンコウセンリュウカイ"</f>
        <v>サンコウセンリュウカイ</v>
      </c>
      <c r="F2779" t="str">
        <f>""</f>
        <v/>
      </c>
      <c r="G2779" t="str">
        <f>"月刊"</f>
        <v>月刊</v>
      </c>
      <c r="H2779" t="str">
        <f>"2002222281523"</f>
        <v>2002222281523</v>
      </c>
      <c r="I2779" t="str">
        <f>HYPERLINK("#", "https://opac.libnet.pref.okayama.jp/licsxp-opac/WOpacMsgNewListToTifTilDetailAction.do?tilcod=2002222281523")</f>
        <v>https://opac.libnet.pref.okayama.jp/licsxp-opac/WOpacMsgNewListToTifTilDetailAction.do?tilcod=2002222281523</v>
      </c>
    </row>
    <row r="2780" spans="1:9" x14ac:dyDescent="0.4">
      <c r="A2780" t="str">
        <f>"三光"</f>
        <v>三光</v>
      </c>
      <c r="B2780" s="1" t="str">
        <f t="shared" si="150"/>
        <v>三光</v>
      </c>
      <c r="C2780" t="str">
        <f>"サンコウ"</f>
        <v>サンコウ</v>
      </c>
      <c r="D2780" t="str">
        <f>"岡山三光川柳会"</f>
        <v>岡山三光川柳会</v>
      </c>
      <c r="E2780" t="str">
        <f>"オカヤマ サンコウ センリュウカイ"</f>
        <v>オカヤマ サンコウ センリュウカイ</v>
      </c>
      <c r="F2780" t="str">
        <f>"[岡山]"</f>
        <v>[岡山]</v>
      </c>
      <c r="G2780" t="str">
        <f>"月刊"</f>
        <v>月刊</v>
      </c>
      <c r="H2780" t="str">
        <f>"2002222344018"</f>
        <v>2002222344018</v>
      </c>
      <c r="I2780" t="str">
        <f>HYPERLINK("#", "https://opac.libnet.pref.okayama.jp/licsxp-opac/WOpacMsgNewListToTifTilDetailAction.do?tilcod=2002222344018")</f>
        <v>https://opac.libnet.pref.okayama.jp/licsxp-opac/WOpacMsgNewListToTifTilDetailAction.do?tilcod=2002222344018</v>
      </c>
    </row>
    <row r="2781" spans="1:9" x14ac:dyDescent="0.4">
      <c r="A2781" t="str">
        <f>"蚕糸だより"</f>
        <v>蚕糸だより</v>
      </c>
      <c r="B2781" s="1" t="str">
        <f t="shared" si="150"/>
        <v>蚕糸だより</v>
      </c>
      <c r="C2781" t="str">
        <f>"サンシ　ダヨリ"</f>
        <v>サンシ　ダヨリ</v>
      </c>
      <c r="D2781" t="str">
        <f>"岡山県蚕糸振興会"</f>
        <v>岡山県蚕糸振興会</v>
      </c>
      <c r="E2781" t="str">
        <f>"オカヤマケンサンシシンコウカイ"</f>
        <v>オカヤマケンサンシシンコウカイ</v>
      </c>
      <c r="F2781" t="str">
        <f>""</f>
        <v/>
      </c>
      <c r="G2781" t="str">
        <f>"頻度不明"</f>
        <v>頻度不明</v>
      </c>
      <c r="H2781" t="str">
        <f>"2002222281533"</f>
        <v>2002222281533</v>
      </c>
      <c r="I2781" t="str">
        <f>HYPERLINK("#", "https://opac.libnet.pref.okayama.jp/licsxp-opac/WOpacMsgNewListToTifTilDetailAction.do?tilcod=2002222281533")</f>
        <v>https://opac.libnet.pref.okayama.jp/licsxp-opac/WOpacMsgNewListToTifTilDetailAction.do?tilcod=2002222281533</v>
      </c>
    </row>
    <row r="2782" spans="1:9" x14ac:dyDescent="0.4">
      <c r="A2782" t="str">
        <f>"蚕糸の光"</f>
        <v>蚕糸の光</v>
      </c>
      <c r="B2782" s="1" t="str">
        <f t="shared" si="150"/>
        <v>蚕糸の光</v>
      </c>
      <c r="C2782" t="str">
        <f>"サンシ　ノ　ヒカリ"</f>
        <v>サンシ　ノ　ヒカリ</v>
      </c>
      <c r="D2782" t="str">
        <f>"大日本蚕糸会"</f>
        <v>大日本蚕糸会</v>
      </c>
      <c r="E2782" t="str">
        <f>"ダイニホンサンシカイ"</f>
        <v>ダイニホンサンシカイ</v>
      </c>
      <c r="F2782" t="str">
        <f>""</f>
        <v/>
      </c>
      <c r="G2782" t="str">
        <f>"頻度不明"</f>
        <v>頻度不明</v>
      </c>
      <c r="H2782" t="str">
        <f>"2002222281543"</f>
        <v>2002222281543</v>
      </c>
      <c r="I2782" t="str">
        <f>HYPERLINK("#", "https://opac.libnet.pref.okayama.jp/licsxp-opac/WOpacMsgNewListToTifTilDetailAction.do?tilcod=2002222281543")</f>
        <v>https://opac.libnet.pref.okayama.jp/licsxp-opac/WOpacMsgNewListToTifTilDetailAction.do?tilcod=2002222281543</v>
      </c>
    </row>
    <row r="2783" spans="1:9" x14ac:dyDescent="0.4">
      <c r="A2783" t="str">
        <f>"さんすてスタイル"</f>
        <v>さんすてスタイル</v>
      </c>
      <c r="B2783" s="1" t="str">
        <f t="shared" si="150"/>
        <v>さんすてスタイル</v>
      </c>
      <c r="C2783" t="str">
        <f>"サンステ　スタイル"</f>
        <v>サンステ　スタイル</v>
      </c>
      <c r="D2783" t="str">
        <f>"山陽ステーション開発"</f>
        <v>山陽ステーション開発</v>
      </c>
      <c r="E2783" t="str">
        <f>"サンヨウステーションカイハツ"</f>
        <v>サンヨウステーションカイハツ</v>
      </c>
      <c r="F2783" t="str">
        <f>"岡山"</f>
        <v>岡山</v>
      </c>
      <c r="G2783" t="str">
        <f>"季刊"</f>
        <v>季刊</v>
      </c>
      <c r="H2783" t="str">
        <f>"2002222302311"</f>
        <v>2002222302311</v>
      </c>
      <c r="I2783" t="str">
        <f>HYPERLINK("#", "https://opac.libnet.pref.okayama.jp/licsxp-opac/WOpacMsgNewListToTifTilDetailAction.do?tilcod=2002222302311")</f>
        <v>https://opac.libnet.pref.okayama.jp/licsxp-opac/WOpacMsgNewListToTifTilDetailAction.do?tilcod=2002222302311</v>
      </c>
    </row>
    <row r="2784" spans="1:9" x14ac:dyDescent="0.4">
      <c r="A2784" t="str">
        <f>"ZANZO"</f>
        <v>ZANZO</v>
      </c>
      <c r="B2784" s="1" t="str">
        <f t="shared" si="150"/>
        <v>ZANZO</v>
      </c>
      <c r="C2784" t="str">
        <f>"ザンゾウ"</f>
        <v>ザンゾウ</v>
      </c>
      <c r="D2784" t="str">
        <f>"残像舎"</f>
        <v>残像舎</v>
      </c>
      <c r="E2784" t="str">
        <f>"ザンゾウシャ"</f>
        <v>ザンゾウシャ</v>
      </c>
      <c r="F2784" t="str">
        <f>"岡山"</f>
        <v>岡山</v>
      </c>
      <c r="G2784" t="str">
        <f>"頻度不明"</f>
        <v>頻度不明</v>
      </c>
      <c r="H2784" t="str">
        <f>"2002222319615"</f>
        <v>2002222319615</v>
      </c>
      <c r="I2784" t="str">
        <f>HYPERLINK("#", "https://opac.libnet.pref.okayama.jp/licsxp-opac/WOpacMsgNewListToTifTilDetailAction.do?tilcod=2002222319615")</f>
        <v>https://opac.libnet.pref.okayama.jp/licsxp-opac/WOpacMsgNewListToTifTilDetailAction.do?tilcod=2002222319615</v>
      </c>
    </row>
    <row r="2785" spans="1:9" x14ac:dyDescent="0.4">
      <c r="A2785" t="str">
        <f>"さん太写真ニュース"</f>
        <v>さん太写真ニュース</v>
      </c>
      <c r="B2785" s="1" t="str">
        <f t="shared" si="150"/>
        <v>さん太写真ニュース</v>
      </c>
      <c r="C2785" t="str">
        <f>"サンタ シャシン　ニュース"</f>
        <v>サンタ シャシン　ニュース</v>
      </c>
      <c r="D2785" t="str">
        <f>"山陽新聞社"</f>
        <v>山陽新聞社</v>
      </c>
      <c r="E2785" t="str">
        <f>"サンヨウ シンブンシャ"</f>
        <v>サンヨウ シンブンシャ</v>
      </c>
      <c r="F2785" t="str">
        <f>""</f>
        <v/>
      </c>
      <c r="G2785" t="str">
        <f>"月刊"</f>
        <v>月刊</v>
      </c>
      <c r="H2785" t="str">
        <f>"2002222307566"</f>
        <v>2002222307566</v>
      </c>
      <c r="I2785" t="str">
        <f>HYPERLINK("#", "https://opac.libnet.pref.okayama.jp/licsxp-opac/WOpacMsgNewListToTifTilDetailAction.do?tilcod=2002222307566")</f>
        <v>https://opac.libnet.pref.okayama.jp/licsxp-opac/WOpacMsgNewListToTifTilDetailAction.do?tilcod=2002222307566</v>
      </c>
    </row>
    <row r="2786" spans="1:9" x14ac:dyDescent="0.4">
      <c r="A2786" t="str">
        <f>"さん太タイムズ"</f>
        <v>さん太タイムズ</v>
      </c>
      <c r="B2786" s="1" t="str">
        <f t="shared" si="150"/>
        <v>さん太タイムズ</v>
      </c>
      <c r="C2786" t="str">
        <f>"サンタ　タイムズ"</f>
        <v>サンタ　タイムズ</v>
      </c>
      <c r="D2786" t="str">
        <f>"山陽新聞社"</f>
        <v>山陽新聞社</v>
      </c>
      <c r="E2786" t="str">
        <f>"サンヨウ シンブンシャ"</f>
        <v>サンヨウ シンブンシャ</v>
      </c>
      <c r="F2786" t="str">
        <f>""</f>
        <v/>
      </c>
      <c r="G2786" t="str">
        <f>"週刊"</f>
        <v>週刊</v>
      </c>
      <c r="H2786" t="str">
        <f>"2002222302471"</f>
        <v>2002222302471</v>
      </c>
      <c r="I2786" t="str">
        <f>HYPERLINK("#", "https://opac.libnet.pref.okayama.jp/licsxp-opac/WOpacMsgNewListToTifTilDetailAction.do?tilcod=2002222302471")</f>
        <v>https://opac.libnet.pref.okayama.jp/licsxp-opac/WOpacMsgNewListToTifTilDetailAction.do?tilcod=2002222302471</v>
      </c>
    </row>
    <row r="2787" spans="1:9" x14ac:dyDescent="0.4">
      <c r="A2787" t="str">
        <f>"〔三徳園友の会〕会報"</f>
        <v>〔三徳園友の会〕会報</v>
      </c>
      <c r="B2787" s="1" t="str">
        <f t="shared" si="150"/>
        <v>〔三徳園友の会〕会報</v>
      </c>
      <c r="C2787" t="str">
        <f>"サントクエン　トモ　ノ　カイ　カイホウ"</f>
        <v>サントクエン　トモ　ノ　カイ　カイホウ</v>
      </c>
      <c r="D2787" t="str">
        <f>"三徳園友の会"</f>
        <v>三徳園友の会</v>
      </c>
      <c r="E2787" t="str">
        <f>"サントクエントモノカイ"</f>
        <v>サントクエントモノカイ</v>
      </c>
      <c r="F2787" t="str">
        <f>""</f>
        <v/>
      </c>
      <c r="G2787" t="str">
        <f>"年刊"</f>
        <v>年刊</v>
      </c>
      <c r="H2787" t="str">
        <f>"2002222281553"</f>
        <v>2002222281553</v>
      </c>
      <c r="I2787" t="str">
        <f>HYPERLINK("#", "https://opac.libnet.pref.okayama.jp/licsxp-opac/WOpacMsgNewListToTifTilDetailAction.do?tilcod=2002222281553")</f>
        <v>https://opac.libnet.pref.okayama.jp/licsxp-opac/WOpacMsgNewListToTifTilDetailAction.do?tilcod=2002222281553</v>
      </c>
    </row>
    <row r="2788" spans="1:9" x14ac:dyDescent="0.4">
      <c r="A2788" t="str">
        <f>"山南だより；山南公民館だより"</f>
        <v>山南だより；山南公民館だより</v>
      </c>
      <c r="B2788" s="1" t="str">
        <f t="shared" si="150"/>
        <v>山南だより；山南公民館だより</v>
      </c>
      <c r="C2788" t="str">
        <f>"サンナン ダヨリ＊サンナン コウミンカン ダヨリ"</f>
        <v>サンナン ダヨリ＊サンナン コウミンカン ダヨリ</v>
      </c>
      <c r="D2788" t="str">
        <f>"岡山市立山南公民館"</f>
        <v>岡山市立山南公民館</v>
      </c>
      <c r="E2788" t="str">
        <f>"オカヤマ シリツ サンナン コウミンカン"</f>
        <v>オカヤマ シリツ サンナン コウミンカン</v>
      </c>
      <c r="F2788" t="str">
        <f>"岡山"</f>
        <v>岡山</v>
      </c>
      <c r="G2788" t="str">
        <f>"隔月刊"</f>
        <v>隔月刊</v>
      </c>
      <c r="H2788" t="str">
        <f>"2002222341492"</f>
        <v>2002222341492</v>
      </c>
      <c r="I2788" t="str">
        <f>HYPERLINK("#", "https://opac.libnet.pref.okayama.jp/licsxp-opac/WOpacMsgNewListToTifTilDetailAction.do?tilcod=2002222341492")</f>
        <v>https://opac.libnet.pref.okayama.jp/licsxp-opac/WOpacMsgNewListToTifTilDetailAction.do?tilcod=2002222341492</v>
      </c>
    </row>
    <row r="2789" spans="1:9" x14ac:dyDescent="0.4">
      <c r="A2789" t="str">
        <f>"さんび"</f>
        <v>さんび</v>
      </c>
      <c r="B2789" s="1" t="str">
        <f t="shared" si="150"/>
        <v>さんび</v>
      </c>
      <c r="C2789" t="str">
        <f>"サンビ"</f>
        <v>サンビ</v>
      </c>
      <c r="D2789" t="str">
        <f>"岡山県文化連盟"</f>
        <v>岡山県文化連盟</v>
      </c>
      <c r="E2789" t="str">
        <f>"オカヤマケンブンカレンメイ"</f>
        <v>オカヤマケンブンカレンメイ</v>
      </c>
      <c r="F2789" t="str">
        <f>"岡山"</f>
        <v>岡山</v>
      </c>
      <c r="G2789" t="str">
        <f>"季刊"</f>
        <v>季刊</v>
      </c>
      <c r="H2789" t="str">
        <f>"2002222300934"</f>
        <v>2002222300934</v>
      </c>
      <c r="I2789" t="str">
        <f>HYPERLINK("#", "https://opac.libnet.pref.okayama.jp/licsxp-opac/WOpacMsgNewListToTifTilDetailAction.do?tilcod=2002222300934")</f>
        <v>https://opac.libnet.pref.okayama.jp/licsxp-opac/WOpacMsgNewListToTifTilDetailAction.do?tilcod=2002222300934</v>
      </c>
    </row>
    <row r="2790" spans="1:9" x14ac:dyDescent="0.4">
      <c r="A2790" t="str">
        <f>"産文特報"</f>
        <v>産文特報</v>
      </c>
      <c r="B2790" s="1" t="str">
        <f t="shared" si="150"/>
        <v>産文特報</v>
      </c>
      <c r="C2790" t="str">
        <f>"サンブン　トクホウ"</f>
        <v>サンブン　トクホウ</v>
      </c>
      <c r="D2790" t="str">
        <f>"産業文化協会"</f>
        <v>産業文化協会</v>
      </c>
      <c r="E2790" t="str">
        <f>"サンギョウブンカキョウカイ"</f>
        <v>サンギョウブンカキョウカイ</v>
      </c>
      <c r="F2790" t="str">
        <f>""</f>
        <v/>
      </c>
      <c r="G2790" t="str">
        <f>"月刊"</f>
        <v>月刊</v>
      </c>
      <c r="H2790" t="str">
        <f>"2002222281563"</f>
        <v>2002222281563</v>
      </c>
      <c r="I2790" t="str">
        <f>HYPERLINK("#", "https://opac.libnet.pref.okayama.jp/licsxp-opac/WOpacMsgNewListToTifTilDetailAction.do?tilcod=2002222281563")</f>
        <v>https://opac.libnet.pref.okayama.jp/licsxp-opac/WOpacMsgNewListToTifTilDetailAction.do?tilcod=2002222281563</v>
      </c>
    </row>
    <row r="2791" spans="1:9" x14ac:dyDescent="0.4">
      <c r="A2791" t="str">
        <f>"産文内報"</f>
        <v>産文内報</v>
      </c>
      <c r="B2791" s="1" t="str">
        <f t="shared" si="150"/>
        <v>産文内報</v>
      </c>
      <c r="C2791" t="str">
        <f>"サンブン　ナイホウ"</f>
        <v>サンブン　ナイホウ</v>
      </c>
      <c r="D2791" t="str">
        <f>"岡山産業文化協会"</f>
        <v>岡山産業文化協会</v>
      </c>
      <c r="E2791" t="str">
        <f>"オカヤマサンギョウブンカキョウカイ"</f>
        <v>オカヤマサンギョウブンカキョウカイ</v>
      </c>
      <c r="F2791" t="str">
        <f>""</f>
        <v/>
      </c>
      <c r="G2791" t="str">
        <f>"隔週刊"</f>
        <v>隔週刊</v>
      </c>
      <c r="H2791" t="str">
        <f>"2002222281573"</f>
        <v>2002222281573</v>
      </c>
      <c r="I2791" t="str">
        <f>HYPERLINK("#", "https://opac.libnet.pref.okayama.jp/licsxp-opac/WOpacMsgNewListToTifTilDetailAction.do?tilcod=2002222281573")</f>
        <v>https://opac.libnet.pref.okayama.jp/licsxp-opac/WOpacMsgNewListToTifTilDetailAction.do?tilcod=2002222281573</v>
      </c>
    </row>
    <row r="2792" spans="1:9" x14ac:dyDescent="0.4">
      <c r="A2792" t="str">
        <f>"散歩道"</f>
        <v>散歩道</v>
      </c>
      <c r="B2792" s="1" t="str">
        <f t="shared" si="150"/>
        <v>散歩道</v>
      </c>
      <c r="C2792" t="str">
        <f>"サンポミチ"</f>
        <v>サンポミチ</v>
      </c>
      <c r="D2792" t="str">
        <f>"アーバンホール"</f>
        <v>アーバンホール</v>
      </c>
      <c r="E2792" t="str">
        <f>"アーバン ホール"</f>
        <v>アーバン ホール</v>
      </c>
      <c r="F2792" t="str">
        <f>"倉敷"</f>
        <v>倉敷</v>
      </c>
      <c r="G2792" t="str">
        <f>"季刊"</f>
        <v>季刊</v>
      </c>
      <c r="H2792" t="str">
        <f>"2002222320586"</f>
        <v>2002222320586</v>
      </c>
      <c r="I2792" t="str">
        <f>HYPERLINK("#", "https://opac.libnet.pref.okayama.jp/licsxp-opac/WOpacMsgNewListToTifTilDetailAction.do?tilcod=2002222320586")</f>
        <v>https://opac.libnet.pref.okayama.jp/licsxp-opac/WOpacMsgNewListToTifTilDetailAction.do?tilcod=2002222320586</v>
      </c>
    </row>
    <row r="2793" spans="1:9" x14ac:dyDescent="0.4">
      <c r="A2793" t="str">
        <f>"山脈"</f>
        <v>山脈</v>
      </c>
      <c r="B2793" s="1" t="str">
        <f t="shared" si="150"/>
        <v>山脈</v>
      </c>
      <c r="C2793" t="str">
        <f>"サンミャク"</f>
        <v>サンミャク</v>
      </c>
      <c r="D2793" t="str">
        <f>"山脈社"</f>
        <v>山脈社</v>
      </c>
      <c r="E2793" t="str">
        <f>"サンミャクシャ"</f>
        <v>サンミャクシャ</v>
      </c>
      <c r="F2793" t="str">
        <f>"西大寺"</f>
        <v>西大寺</v>
      </c>
      <c r="G2793" t="str">
        <f>"頻度不明"</f>
        <v>頻度不明</v>
      </c>
      <c r="H2793" t="str">
        <f>"2002222281583"</f>
        <v>2002222281583</v>
      </c>
      <c r="I2793" t="str">
        <f>HYPERLINK("#", "https://opac.libnet.pref.okayama.jp/licsxp-opac/WOpacMsgNewListToTifTilDetailAction.do?tilcod=2002222281583")</f>
        <v>https://opac.libnet.pref.okayama.jp/licsxp-opac/WOpacMsgNewListToTifTilDetailAction.do?tilcod=2002222281583</v>
      </c>
    </row>
    <row r="2794" spans="1:9" x14ac:dyDescent="0.4">
      <c r="A2794" t="str">
        <f>"山脈"</f>
        <v>山脈</v>
      </c>
      <c r="B2794" s="1" t="str">
        <f t="shared" si="150"/>
        <v>山脈</v>
      </c>
      <c r="C2794" t="str">
        <f>"サンミャク"</f>
        <v>サンミャク</v>
      </c>
      <c r="D2794" t="str">
        <f>"吉川地区読書活動推進協議会"</f>
        <v>吉川地区読書活動推進協議会</v>
      </c>
      <c r="E2794" t="str">
        <f>"ヨシカワチクドクショカツドウスイシンキョウギカイ"</f>
        <v>ヨシカワチクドクショカツドウスイシンキョウギカイ</v>
      </c>
      <c r="F2794" t="str">
        <f>"賀陽町（上房郡）"</f>
        <v>賀陽町（上房郡）</v>
      </c>
      <c r="G2794" t="str">
        <f>"年刊"</f>
        <v>年刊</v>
      </c>
      <c r="H2794" t="str">
        <f>"2002222281593"</f>
        <v>2002222281593</v>
      </c>
      <c r="I2794" t="str">
        <f>HYPERLINK("#", "https://opac.libnet.pref.okayama.jp/licsxp-opac/WOpacMsgNewListToTifTilDetailAction.do?tilcod=2002222281593")</f>
        <v>https://opac.libnet.pref.okayama.jp/licsxp-opac/WOpacMsgNewListToTifTilDetailAction.do?tilcod=2002222281593</v>
      </c>
    </row>
    <row r="2795" spans="1:9" x14ac:dyDescent="0.4">
      <c r="A2795" t="str">
        <f>"三友"</f>
        <v>三友</v>
      </c>
      <c r="B2795" s="1" t="str">
        <f t="shared" si="150"/>
        <v>三友</v>
      </c>
      <c r="C2795" t="str">
        <f>"サンユウ"</f>
        <v>サンユウ</v>
      </c>
      <c r="D2795" t="str">
        <f>"三友会"</f>
        <v>三友会</v>
      </c>
      <c r="E2795" t="str">
        <f>"サンユウカイ"</f>
        <v>サンユウカイ</v>
      </c>
      <c r="F2795" t="str">
        <f>""</f>
        <v/>
      </c>
      <c r="G2795" t="str">
        <f>"頻度不明"</f>
        <v>頻度不明</v>
      </c>
      <c r="H2795" t="str">
        <f>"2002222281603"</f>
        <v>2002222281603</v>
      </c>
      <c r="I2795" t="str">
        <f>HYPERLINK("#", "https://opac.libnet.pref.okayama.jp/licsxp-opac/WOpacMsgNewListToTifTilDetailAction.do?tilcod=2002222281603")</f>
        <v>https://opac.libnet.pref.okayama.jp/licsxp-opac/WOpacMsgNewListToTifTilDetailAction.do?tilcod=2002222281603</v>
      </c>
    </row>
    <row r="2796" spans="1:9" x14ac:dyDescent="0.4">
      <c r="A2796" t="str">
        <f>"山陽往来"</f>
        <v>山陽往来</v>
      </c>
      <c r="B2796" s="1" t="str">
        <f t="shared" si="150"/>
        <v>山陽往来</v>
      </c>
      <c r="C2796" t="str">
        <f>"サンヨウ　オウライ"</f>
        <v>サンヨウ　オウライ</v>
      </c>
      <c r="D2796" t="str">
        <f>"山陽往来社"</f>
        <v>山陽往来社</v>
      </c>
      <c r="E2796" t="str">
        <f>"サンヨウ オウライシャ"</f>
        <v>サンヨウ オウライシャ</v>
      </c>
      <c r="F2796" t="str">
        <f>""</f>
        <v/>
      </c>
      <c r="G2796" t="str">
        <f>"月刊"</f>
        <v>月刊</v>
      </c>
      <c r="H2796" t="str">
        <f>"2002222281613"</f>
        <v>2002222281613</v>
      </c>
      <c r="I2796" t="str">
        <f>HYPERLINK("#", "https://opac.libnet.pref.okayama.jp/licsxp-opac/WOpacMsgNewListToTifTilDetailAction.do?tilcod=2002222281613")</f>
        <v>https://opac.libnet.pref.okayama.jp/licsxp-opac/WOpacMsgNewListToTifTilDetailAction.do?tilcod=2002222281613</v>
      </c>
    </row>
    <row r="2797" spans="1:9" x14ac:dyDescent="0.4">
      <c r="A2797" t="str">
        <f>"山陽学園高等学校学校案内"</f>
        <v>山陽学園高等学校学校案内</v>
      </c>
      <c r="B2797" s="1" t="str">
        <f t="shared" si="150"/>
        <v>山陽学園高等学校学校案内</v>
      </c>
      <c r="C2797" t="str">
        <f>"サンヨウ ガクエン コウトウ ガッコウ ガッコウ アンナイ"</f>
        <v>サンヨウ ガクエン コウトウ ガッコウ ガッコウ アンナイ</v>
      </c>
      <c r="D2797" t="str">
        <f>"山陽学園高等学校"</f>
        <v>山陽学園高等学校</v>
      </c>
      <c r="E2797" t="str">
        <f>"サンヨウ ガクエン コウトウ ガッコウ"</f>
        <v>サンヨウ ガクエン コウトウ ガッコウ</v>
      </c>
      <c r="F2797" t="str">
        <f>"岡山"</f>
        <v>岡山</v>
      </c>
      <c r="G2797" t="str">
        <f>"年刊"</f>
        <v>年刊</v>
      </c>
      <c r="H2797" t="str">
        <f>"2002222340011"</f>
        <v>2002222340011</v>
      </c>
      <c r="I2797" t="str">
        <f>HYPERLINK("#", "https://opac.libnet.pref.okayama.jp/licsxp-opac/WOpacMsgNewListToTifTilDetailAction.do?tilcod=2002222340011")</f>
        <v>https://opac.libnet.pref.okayama.jp/licsxp-opac/WOpacMsgNewListToTifTilDetailAction.do?tilcod=2002222340011</v>
      </c>
    </row>
    <row r="2798" spans="1:9" x14ac:dyDescent="0.4">
      <c r="A2798" t="str">
        <f>"山陽学園新聞"</f>
        <v>山陽学園新聞</v>
      </c>
      <c r="B2798" s="1" t="str">
        <f t="shared" si="150"/>
        <v>山陽学園新聞</v>
      </c>
      <c r="C2798" t="str">
        <f>"サンヨウ　ガクエン　シンブン"</f>
        <v>サンヨウ　ガクエン　シンブン</v>
      </c>
      <c r="D2798" t="str">
        <f>"山陽学園みさお会編集部"</f>
        <v>山陽学園みさお会編集部</v>
      </c>
      <c r="E2798" t="str">
        <f>"サンヨウガクエンミサオカイヘンシュウブ"</f>
        <v>サンヨウガクエンミサオカイヘンシュウブ</v>
      </c>
      <c r="F2798" t="str">
        <f>"岡山"</f>
        <v>岡山</v>
      </c>
      <c r="G2798" t="str">
        <f>"月刊"</f>
        <v>月刊</v>
      </c>
      <c r="H2798" t="str">
        <f>"2002222302351"</f>
        <v>2002222302351</v>
      </c>
      <c r="I2798" t="str">
        <f>HYPERLINK("#", "https://opac.libnet.pref.okayama.jp/licsxp-opac/WOpacMsgNewListToTifTilDetailAction.do?tilcod=2002222302351")</f>
        <v>https://opac.libnet.pref.okayama.jp/licsxp-opac/WOpacMsgNewListToTifTilDetailAction.do?tilcod=2002222302351</v>
      </c>
    </row>
    <row r="2799" spans="1:9" x14ac:dyDescent="0.4">
      <c r="A2799" t="str">
        <f>"〔山陽学園大学・山陽学園短期大学〕学報"</f>
        <v>〔山陽学園大学・山陽学園短期大学〕学報</v>
      </c>
      <c r="B2799" s="1" t="str">
        <f t="shared" si="150"/>
        <v>〔山陽学園大学・山陽学園短期大学〕学報</v>
      </c>
      <c r="C2799" t="str">
        <f>"サンヨウ　ガクエン　ダイガク　サンヨウ　ガクエン　タンキ　ダイガク　ガクホウ"</f>
        <v>サンヨウ　ガクエン　ダイガク　サンヨウ　ガクエン　タンキ　ダイガク　ガクホウ</v>
      </c>
      <c r="D2799" t="str">
        <f>"山陽学園大学・山陽学園短期大学"</f>
        <v>山陽学園大学・山陽学園短期大学</v>
      </c>
      <c r="E2799" t="str">
        <f>"サンヨウ ガクエン ダイガク サンヨウ ガクエン タンキ ダイガク"</f>
        <v>サンヨウ ガクエン ダイガク サンヨウ ガクエン タンキ ダイガク</v>
      </c>
      <c r="F2799" t="str">
        <f>"岡山"</f>
        <v>岡山</v>
      </c>
      <c r="G2799" t="str">
        <f>"頻度不明"</f>
        <v>頻度不明</v>
      </c>
      <c r="H2799" t="str">
        <f>"2002222302364"</f>
        <v>2002222302364</v>
      </c>
      <c r="I2799" t="str">
        <f>HYPERLINK("#", "https://opac.libnet.pref.okayama.jp/licsxp-opac/WOpacMsgNewListToTifTilDetailAction.do?tilcod=2002222302364")</f>
        <v>https://opac.libnet.pref.okayama.jp/licsxp-opac/WOpacMsgNewListToTifTilDetailAction.do?tilcod=2002222302364</v>
      </c>
    </row>
    <row r="2800" spans="1:9" x14ac:dyDescent="0.4">
      <c r="A2800" t="str">
        <f>"山陽学園短期大学紀要"</f>
        <v>山陽学園短期大学紀要</v>
      </c>
      <c r="B2800" s="1" t="str">
        <f t="shared" si="150"/>
        <v>山陽学園短期大学紀要</v>
      </c>
      <c r="C2800" t="str">
        <f>"サンヨウ　ガクエン　タンキ　ダイガク　キヨウ"</f>
        <v>サンヨウ　ガクエン　タンキ　ダイガク　キヨウ</v>
      </c>
      <c r="D2800" t="str">
        <f>"山陽学園短期大学"</f>
        <v>山陽学園短期大学</v>
      </c>
      <c r="E2800" t="str">
        <f>"サンヨウ ガクエン タンキ ダイガク"</f>
        <v>サンヨウ ガクエン タンキ ダイガク</v>
      </c>
      <c r="F2800" t="str">
        <f>"岡山"</f>
        <v>岡山</v>
      </c>
      <c r="G2800" t="str">
        <f>"年刊"</f>
        <v>年刊</v>
      </c>
      <c r="H2800" t="str">
        <f>"2002222281981"</f>
        <v>2002222281981</v>
      </c>
      <c r="I2800" t="str">
        <f>HYPERLINK("#", "https://opac.libnet.pref.okayama.jp/licsxp-opac/WOpacMsgNewListToTifTilDetailAction.do?tilcod=2002222281981")</f>
        <v>https://opac.libnet.pref.okayama.jp/licsxp-opac/WOpacMsgNewListToTifTilDetailAction.do?tilcod=2002222281981</v>
      </c>
    </row>
    <row r="2801" spans="1:9" x14ac:dyDescent="0.4">
      <c r="A2801" t="str">
        <f>"山陽学園短期大学研究論集"</f>
        <v>山陽学園短期大学研究論集</v>
      </c>
      <c r="B2801" s="1" t="str">
        <f t="shared" si="150"/>
        <v>山陽学園短期大学研究論集</v>
      </c>
      <c r="C2801" t="str">
        <f>"サンヨウ　ガクエン　タンキ　ダイガク　ケンキュウ　ロンシュウ"</f>
        <v>サンヨウ　ガクエン　タンキ　ダイガク　ケンキュウ　ロンシュウ</v>
      </c>
      <c r="D2801" t="str">
        <f>"山陽学園短期大学"</f>
        <v>山陽学園短期大学</v>
      </c>
      <c r="E2801" t="str">
        <f>"サンヨウ ガクエン タンキ ダイガク"</f>
        <v>サンヨウ ガクエン タンキ ダイガク</v>
      </c>
      <c r="F2801" t="str">
        <f>""</f>
        <v/>
      </c>
      <c r="G2801" t="str">
        <f>"年刊"</f>
        <v>年刊</v>
      </c>
      <c r="H2801" t="str">
        <f>"2002222288603"</f>
        <v>2002222288603</v>
      </c>
      <c r="I2801" t="str">
        <f>HYPERLINK("#", "https://opac.libnet.pref.okayama.jp/licsxp-opac/WOpacMsgNewListToTifTilDetailAction.do?tilcod=2002222288603")</f>
        <v>https://opac.libnet.pref.okayama.jp/licsxp-opac/WOpacMsgNewListToTifTilDetailAction.do?tilcod=2002222288603</v>
      </c>
    </row>
    <row r="2802" spans="1:9" x14ac:dyDescent="0.4">
      <c r="A2802" t="str">
        <f>"山陽学園中学校学校案内"</f>
        <v>山陽学園中学校学校案内</v>
      </c>
      <c r="B2802" s="1" t="str">
        <f t="shared" si="150"/>
        <v>山陽学園中学校学校案内</v>
      </c>
      <c r="C2802" t="str">
        <f>"サンヨウ ガクエン チュウガッコウ ガッコウ アンナイ"</f>
        <v>サンヨウ ガクエン チュウガッコウ ガッコウ アンナイ</v>
      </c>
      <c r="D2802" t="str">
        <f>"山陽学園中学校"</f>
        <v>山陽学園中学校</v>
      </c>
      <c r="E2802" t="str">
        <f>"サンヨウ ガクエン チュウガッコウ"</f>
        <v>サンヨウ ガクエン チュウガッコウ</v>
      </c>
      <c r="F2802" t="str">
        <f t="shared" ref="F2802:F2807" si="151">"岡山"</f>
        <v>岡山</v>
      </c>
      <c r="G2802" t="str">
        <f>"年刊"</f>
        <v>年刊</v>
      </c>
      <c r="H2802" t="str">
        <f>"2002222340010"</f>
        <v>2002222340010</v>
      </c>
      <c r="I2802" t="str">
        <f>HYPERLINK("#", "https://opac.libnet.pref.okayama.jp/licsxp-opac/WOpacMsgNewListToTifTilDetailAction.do?tilcod=2002222340010")</f>
        <v>https://opac.libnet.pref.okayama.jp/licsxp-opac/WOpacMsgNewListToTifTilDetailAction.do?tilcod=2002222340010</v>
      </c>
    </row>
    <row r="2803" spans="1:9" x14ac:dyDescent="0.4">
      <c r="A2803" t="str">
        <f>"山陽学園中学校・高等学校学校要覧"</f>
        <v>山陽学園中学校・高等学校学校要覧</v>
      </c>
      <c r="B2803" s="1" t="str">
        <f t="shared" si="150"/>
        <v>山陽学園中学校・高等学校学校要覧</v>
      </c>
      <c r="C2803" t="str">
        <f>"サンヨウ ガクエン チュウガッコウ コウトウガッコウ ガッコウ ヨウラン"</f>
        <v>サンヨウ ガクエン チュウガッコウ コウトウガッコウ ガッコウ ヨウラン</v>
      </c>
      <c r="D2803" t="str">
        <f>"山陽学園中学校・高等学校"</f>
        <v>山陽学園中学校・高等学校</v>
      </c>
      <c r="E2803" t="str">
        <f>"サンヨウ ガクエン チュウガッコウ コウトウガッコウ"</f>
        <v>サンヨウ ガクエン チュウガッコウ コウトウガッコウ</v>
      </c>
      <c r="F2803" t="str">
        <f t="shared" si="151"/>
        <v>岡山</v>
      </c>
      <c r="G2803" t="str">
        <f>"年刊"</f>
        <v>年刊</v>
      </c>
      <c r="H2803" t="str">
        <f>"2002222336026"</f>
        <v>2002222336026</v>
      </c>
      <c r="I2803" t="str">
        <f>HYPERLINK("#", "https://opac.libnet.pref.okayama.jp/licsxp-opac/WOpacMsgNewListToTifTilDetailAction.do?tilcod=2002222336026")</f>
        <v>https://opac.libnet.pref.okayama.jp/licsxp-opac/WOpacMsgNewListToTifTilDetailAction.do?tilcod=2002222336026</v>
      </c>
    </row>
    <row r="2804" spans="1:9" x14ac:dyDescent="0.4">
      <c r="A2804" t="str">
        <f>"山陽学園図書館新聞"</f>
        <v>山陽学園図書館新聞</v>
      </c>
      <c r="B2804" s="1" t="str">
        <f t="shared" si="150"/>
        <v>山陽学園図書館新聞</v>
      </c>
      <c r="C2804" t="str">
        <f>"サンヨウ　ガクエン　トショカン　シンブン"</f>
        <v>サンヨウ　ガクエン　トショカン　シンブン</v>
      </c>
      <c r="D2804" t="str">
        <f>"山陽学園図書委員会"</f>
        <v>山陽学園図書委員会</v>
      </c>
      <c r="E2804" t="str">
        <f>"サンヨウ ガクエン トショ イインカイ"</f>
        <v>サンヨウ ガクエン トショ イインカイ</v>
      </c>
      <c r="F2804" t="str">
        <f t="shared" si="151"/>
        <v>岡山</v>
      </c>
      <c r="G2804" t="str">
        <f>"年２回刊"</f>
        <v>年２回刊</v>
      </c>
      <c r="H2804" t="str">
        <f>"2002222301483"</f>
        <v>2002222301483</v>
      </c>
      <c r="I2804" t="str">
        <f>HYPERLINK("#", "https://opac.libnet.pref.okayama.jp/licsxp-opac/WOpacMsgNewListToTifTilDetailAction.do?tilcod=2002222301483")</f>
        <v>https://opac.libnet.pref.okayama.jp/licsxp-opac/WOpacMsgNewListToTifTilDetailAction.do?tilcod=2002222301483</v>
      </c>
    </row>
    <row r="2805" spans="1:9" x14ac:dyDescent="0.4">
      <c r="A2805" t="str">
        <f>"SANYO GAZETTE"</f>
        <v>SANYO GAZETTE</v>
      </c>
      <c r="B2805" s="1" t="str">
        <f t="shared" si="150"/>
        <v>SANYO GAZETTE</v>
      </c>
      <c r="C2805" t="str">
        <f>"サンヨウ ガゼット"</f>
        <v>サンヨウ ガゼット</v>
      </c>
      <c r="D2805" t="str">
        <f>"山陽学園大学・山陽学園短期大学"</f>
        <v>山陽学園大学・山陽学園短期大学</v>
      </c>
      <c r="E2805" t="str">
        <f>"サンヨウ ガクエン ダイガク サンヨウ ガクエン タンキ ダイガク"</f>
        <v>サンヨウ ガクエン ダイガク サンヨウ ガクエン タンキ ダイガク</v>
      </c>
      <c r="F2805" t="str">
        <f t="shared" si="151"/>
        <v>岡山</v>
      </c>
      <c r="G2805" t="str">
        <f>"不定期刊"</f>
        <v>不定期刊</v>
      </c>
      <c r="H2805" t="str">
        <f>"2002222324966"</f>
        <v>2002222324966</v>
      </c>
      <c r="I2805" t="str">
        <f>HYPERLINK("#", "https://opac.libnet.pref.okayama.jp/licsxp-opac/WOpacMsgNewListToTifTilDetailAction.do?tilcod=2002222324966")</f>
        <v>https://opac.libnet.pref.okayama.jp/licsxp-opac/WOpacMsgNewListToTifTilDetailAction.do?tilcod=2002222324966</v>
      </c>
    </row>
    <row r="2806" spans="1:9" x14ac:dyDescent="0.4">
      <c r="A2806" t="str">
        <f>"山陽家庭重宝"</f>
        <v>山陽家庭重宝</v>
      </c>
      <c r="B2806" s="1" t="str">
        <f t="shared" si="150"/>
        <v>山陽家庭重宝</v>
      </c>
      <c r="C2806" t="str">
        <f>"サンヨウ カテイ チョウホウ"</f>
        <v>サンヨウ カテイ チョウホウ</v>
      </c>
      <c r="D2806" t="str">
        <f>"山陽新報社"</f>
        <v>山陽新報社</v>
      </c>
      <c r="E2806" t="str">
        <f>"サンヨウ シンポウシャ"</f>
        <v>サンヨウ シンポウシャ</v>
      </c>
      <c r="F2806" t="str">
        <f t="shared" si="151"/>
        <v>岡山</v>
      </c>
      <c r="G2806" t="str">
        <f>"月刊"</f>
        <v>月刊</v>
      </c>
      <c r="H2806" t="str">
        <f>"2002222302011"</f>
        <v>2002222302011</v>
      </c>
      <c r="I2806" t="str">
        <f>HYPERLINK("#", "https://opac.libnet.pref.okayama.jp/licsxp-opac/WOpacMsgNewListToTifTilDetailAction.do?tilcod=2002222302011")</f>
        <v>https://opac.libnet.pref.okayama.jp/licsxp-opac/WOpacMsgNewListToTifTilDetailAction.do?tilcod=2002222302011</v>
      </c>
    </row>
    <row r="2807" spans="1:9" x14ac:dyDescent="0.4">
      <c r="A2807" t="str">
        <f>"山陽観光新聞"</f>
        <v>山陽観光新聞</v>
      </c>
      <c r="B2807" s="1" t="str">
        <f t="shared" si="150"/>
        <v>山陽観光新聞</v>
      </c>
      <c r="C2807" t="str">
        <f>"サンヨウ　カンコウ　シンブン"</f>
        <v>サンヨウ　カンコウ　シンブン</v>
      </c>
      <c r="D2807" t="str">
        <f>"山陽観光社"</f>
        <v>山陽観光社</v>
      </c>
      <c r="E2807" t="str">
        <f>"サンヨウカンコウシャ"</f>
        <v>サンヨウカンコウシャ</v>
      </c>
      <c r="F2807" t="str">
        <f t="shared" si="151"/>
        <v>岡山</v>
      </c>
      <c r="G2807" t="str">
        <f>"旬刊"</f>
        <v>旬刊</v>
      </c>
      <c r="H2807" t="str">
        <f>"2002222300883"</f>
        <v>2002222300883</v>
      </c>
      <c r="I2807" t="str">
        <f>HYPERLINK("#", "https://opac.libnet.pref.okayama.jp/licsxp-opac/WOpacMsgNewListToTifTilDetailAction.do?tilcod=2002222300883")</f>
        <v>https://opac.libnet.pref.okayama.jp/licsxp-opac/WOpacMsgNewListToTifTilDetailAction.do?tilcod=2002222300883</v>
      </c>
    </row>
    <row r="2808" spans="1:9" x14ac:dyDescent="0.4">
      <c r="A2808" t="str">
        <f>"山陽技術雑誌"</f>
        <v>山陽技術雑誌</v>
      </c>
      <c r="B2808" s="1" t="str">
        <f t="shared" si="150"/>
        <v>山陽技術雑誌</v>
      </c>
      <c r="C2808" t="str">
        <f>"サンヨウ　ギジュツ　ザッシ"</f>
        <v>サンヨウ　ギジュツ　ザッシ</v>
      </c>
      <c r="D2808" t="str">
        <f>"山陽技術振興会"</f>
        <v>山陽技術振興会</v>
      </c>
      <c r="E2808" t="str">
        <f>"サンヨウギジュツシンコウカイ"</f>
        <v>サンヨウギジュツシンコウカイ</v>
      </c>
      <c r="F2808" t="str">
        <f>"倉敷"</f>
        <v>倉敷</v>
      </c>
      <c r="G2808" t="str">
        <f>"不定期刊"</f>
        <v>不定期刊</v>
      </c>
      <c r="H2808" t="str">
        <f>"2002222280771"</f>
        <v>2002222280771</v>
      </c>
      <c r="I2808" t="str">
        <f>HYPERLINK("#", "https://opac.libnet.pref.okayama.jp/licsxp-opac/WOpacMsgNewListToTifTilDetailAction.do?tilcod=2002222280771")</f>
        <v>https://opac.libnet.pref.okayama.jp/licsxp-opac/WOpacMsgNewListToTifTilDetailAction.do?tilcod=2002222280771</v>
      </c>
    </row>
    <row r="2809" spans="1:9" x14ac:dyDescent="0.4">
      <c r="A2809" t="str">
        <f>"山陽技術振興会会員名簿"</f>
        <v>山陽技術振興会会員名簿</v>
      </c>
      <c r="B2809" s="1" t="str">
        <f t="shared" si="150"/>
        <v>山陽技術振興会会員名簿</v>
      </c>
      <c r="C2809" t="str">
        <f>"サンヨウ　ギジュツ　シンコウカイ　カイイン　メイボ"</f>
        <v>サンヨウ　ギジュツ　シンコウカイ　カイイン　メイボ</v>
      </c>
      <c r="D2809" t="str">
        <f>"山陽技術振興会"</f>
        <v>山陽技術振興会</v>
      </c>
      <c r="E2809" t="str">
        <f>"サンヨウギジュツシンコウカイ"</f>
        <v>サンヨウギジュツシンコウカイ</v>
      </c>
      <c r="F2809" t="str">
        <f>"倉敷"</f>
        <v>倉敷</v>
      </c>
      <c r="G2809" t="str">
        <f>"不定期刊"</f>
        <v>不定期刊</v>
      </c>
      <c r="H2809" t="str">
        <f>"2002222281623"</f>
        <v>2002222281623</v>
      </c>
      <c r="I2809" t="str">
        <f>HYPERLINK("#", "https://opac.libnet.pref.okayama.jp/licsxp-opac/WOpacMsgNewListToTifTilDetailAction.do?tilcod=2002222281623")</f>
        <v>https://opac.libnet.pref.okayama.jp/licsxp-opac/WOpacMsgNewListToTifTilDetailAction.do?tilcod=2002222281623</v>
      </c>
    </row>
    <row r="2810" spans="1:9" x14ac:dyDescent="0.4">
      <c r="A2810" t="str">
        <f>"山陽建設通信"</f>
        <v>山陽建設通信</v>
      </c>
      <c r="B2810" s="1" t="str">
        <f t="shared" si="150"/>
        <v>山陽建設通信</v>
      </c>
      <c r="C2810" t="str">
        <f>"サンヨウ　ケンセツ　ツウシン"</f>
        <v>サンヨウ　ケンセツ　ツウシン</v>
      </c>
      <c r="D2810" t="str">
        <f>"山陽建設通信社"</f>
        <v>山陽建設通信社</v>
      </c>
      <c r="E2810" t="str">
        <f>"サンヨウ ケンセツ ツウシンシャ"</f>
        <v>サンヨウ ケンセツ ツウシンシャ</v>
      </c>
      <c r="F2810" t="str">
        <f>"岡山"</f>
        <v>岡山</v>
      </c>
      <c r="G2810" t="str">
        <f>"日刊"</f>
        <v>日刊</v>
      </c>
      <c r="H2810" t="str">
        <f>"2002222302139"</f>
        <v>2002222302139</v>
      </c>
      <c r="I2810" t="str">
        <f>HYPERLINK("#", "https://opac.libnet.pref.okayama.jp/licsxp-opac/WOpacMsgNewListToTifTilDetailAction.do?tilcod=2002222302139")</f>
        <v>https://opac.libnet.pref.okayama.jp/licsxp-opac/WOpacMsgNewListToTifTilDetailAction.do?tilcod=2002222302139</v>
      </c>
    </row>
    <row r="2811" spans="1:9" x14ac:dyDescent="0.4">
      <c r="A2811" t="str">
        <f>"山陽公論"</f>
        <v>山陽公論</v>
      </c>
      <c r="B2811" s="1" t="str">
        <f t="shared" si="150"/>
        <v>山陽公論</v>
      </c>
      <c r="C2811" t="str">
        <f>"サンヨウ　コウロン"</f>
        <v>サンヨウ　コウロン</v>
      </c>
      <c r="D2811" t="str">
        <f>"山陽公論新聞社"</f>
        <v>山陽公論新聞社</v>
      </c>
      <c r="E2811" t="str">
        <f>"サンヨウコウロンシンブンシャ"</f>
        <v>サンヨウコウロンシンブンシャ</v>
      </c>
      <c r="F2811" t="str">
        <f>"岡山"</f>
        <v>岡山</v>
      </c>
      <c r="G2811" t="str">
        <f>"旬刊"</f>
        <v>旬刊</v>
      </c>
      <c r="H2811" t="str">
        <f>"2002222300884"</f>
        <v>2002222300884</v>
      </c>
      <c r="I2811" t="str">
        <f>HYPERLINK("#", "https://opac.libnet.pref.okayama.jp/licsxp-opac/WOpacMsgNewListToTifTilDetailAction.do?tilcod=2002222300884")</f>
        <v>https://opac.libnet.pref.okayama.jp/licsxp-opac/WOpacMsgNewListToTifTilDetailAction.do?tilcod=2002222300884</v>
      </c>
    </row>
    <row r="2812" spans="1:9" x14ac:dyDescent="0.4">
      <c r="A2812" t="str">
        <f>"山陽子ども新聞"</f>
        <v>山陽子ども新聞</v>
      </c>
      <c r="B2812" s="1" t="str">
        <f t="shared" si="150"/>
        <v>山陽子ども新聞</v>
      </c>
      <c r="C2812" t="str">
        <f>"サンヨウ　コドモ　シンブン"</f>
        <v>サンヨウ　コドモ　シンブン</v>
      </c>
      <c r="D2812" t="str">
        <f>"山陽新聞社"</f>
        <v>山陽新聞社</v>
      </c>
      <c r="E2812" t="str">
        <f>"サンヨウシンブンシャ"</f>
        <v>サンヨウシンブンシャ</v>
      </c>
      <c r="F2812" t="str">
        <f>"岡山"</f>
        <v>岡山</v>
      </c>
      <c r="G2812" t="str">
        <f>"不定期刊"</f>
        <v>不定期刊</v>
      </c>
      <c r="H2812" t="str">
        <f>"2002222300885"</f>
        <v>2002222300885</v>
      </c>
      <c r="I2812" t="str">
        <f>HYPERLINK("#", "https://opac.libnet.pref.okayama.jp/licsxp-opac/WOpacMsgNewListToTifTilDetailAction.do?tilcod=2002222300885")</f>
        <v>https://opac.libnet.pref.okayama.jp/licsxp-opac/WOpacMsgNewListToTifTilDetailAction.do?tilcod=2002222300885</v>
      </c>
    </row>
    <row r="2813" spans="1:9" x14ac:dyDescent="0.4">
      <c r="A2813" t="str">
        <f>"山陽コンサートホール"</f>
        <v>山陽コンサートホール</v>
      </c>
      <c r="B2813" s="1" t="str">
        <f t="shared" si="150"/>
        <v>山陽コンサートホール</v>
      </c>
      <c r="C2813" t="str">
        <f>"サンヨウ　コンサート　ホール"</f>
        <v>サンヨウ　コンサート　ホール</v>
      </c>
      <c r="D2813" t="str">
        <f>"山陽コンサートホール事務局"</f>
        <v>山陽コンサートホール事務局</v>
      </c>
      <c r="E2813" t="str">
        <f>"サンヨウコンサートホールジムキョク"</f>
        <v>サンヨウコンサートホールジムキョク</v>
      </c>
      <c r="F2813" t="str">
        <f>"岡山"</f>
        <v>岡山</v>
      </c>
      <c r="G2813" t="str">
        <f>"不定期刊"</f>
        <v>不定期刊</v>
      </c>
      <c r="H2813" t="str">
        <f>"2002222323906"</f>
        <v>2002222323906</v>
      </c>
      <c r="I2813" t="str">
        <f>HYPERLINK("#", "https://opac.libnet.pref.okayama.jp/licsxp-opac/WOpacMsgNewListToTifTilDetailAction.do?tilcod=2002222323906")</f>
        <v>https://opac.libnet.pref.okayama.jp/licsxp-opac/WOpacMsgNewListToTifTilDetailAction.do?tilcod=2002222323906</v>
      </c>
    </row>
    <row r="2814" spans="1:9" x14ac:dyDescent="0.4">
      <c r="A2814" t="str">
        <f>"山陽時事"</f>
        <v>山陽時事</v>
      </c>
      <c r="B2814" s="1" t="str">
        <f t="shared" si="150"/>
        <v>山陽時事</v>
      </c>
      <c r="C2814" t="str">
        <f>"サンヨウ　ジジ"</f>
        <v>サンヨウ　ジジ</v>
      </c>
      <c r="D2814" t="str">
        <f>"山陽時事新聞社"</f>
        <v>山陽時事新聞社</v>
      </c>
      <c r="E2814" t="str">
        <f>"サンヨウジジシンブンシャ"</f>
        <v>サンヨウジジシンブンシャ</v>
      </c>
      <c r="F2814" t="str">
        <f>"岡山"</f>
        <v>岡山</v>
      </c>
      <c r="G2814" t="str">
        <f>"月刊"</f>
        <v>月刊</v>
      </c>
      <c r="H2814" t="str">
        <f>"2002222300905"</f>
        <v>2002222300905</v>
      </c>
      <c r="I2814" t="str">
        <f>HYPERLINK("#", "https://opac.libnet.pref.okayama.jp/licsxp-opac/WOpacMsgNewListToTifTilDetailAction.do?tilcod=2002222300905")</f>
        <v>https://opac.libnet.pref.okayama.jp/licsxp-opac/WOpacMsgNewListToTifTilDetailAction.do?tilcod=2002222300905</v>
      </c>
    </row>
    <row r="2815" spans="1:9" x14ac:dyDescent="0.4">
      <c r="A2815" t="str">
        <f>"山陽時事"</f>
        <v>山陽時事</v>
      </c>
      <c r="B2815" s="1" t="str">
        <f t="shared" si="150"/>
        <v>山陽時事</v>
      </c>
      <c r="C2815" t="str">
        <f>"サンヨウ　ジジ"</f>
        <v>サンヨウ　ジジ</v>
      </c>
      <c r="D2815" t="str">
        <f>"山陽時事週報社"</f>
        <v>山陽時事週報社</v>
      </c>
      <c r="E2815" t="str">
        <f>"サンヨウ ジジ シュウホウシャ"</f>
        <v>サンヨウ ジジ シュウホウシャ</v>
      </c>
      <c r="F2815" t="str">
        <f>""</f>
        <v/>
      </c>
      <c r="G2815" t="str">
        <f>"月刊"</f>
        <v>月刊</v>
      </c>
      <c r="H2815" t="str">
        <f>"2002222281633"</f>
        <v>2002222281633</v>
      </c>
      <c r="I2815" t="str">
        <f>HYPERLINK("#", "https://opac.libnet.pref.okayama.jp/licsxp-opac/WOpacMsgNewListToTifTilDetailAction.do?tilcod=2002222281633")</f>
        <v>https://opac.libnet.pref.okayama.jp/licsxp-opac/WOpacMsgNewListToTifTilDetailAction.do?tilcod=2002222281633</v>
      </c>
    </row>
    <row r="2816" spans="1:9" x14ac:dyDescent="0.4">
      <c r="A2816" t="str">
        <f>"山陽時事新聞　"</f>
        <v>山陽時事新聞　</v>
      </c>
      <c r="B2816" s="1" t="str">
        <f t="shared" si="150"/>
        <v>山陽時事新聞　</v>
      </c>
      <c r="C2816" t="str">
        <f>"サンヨウ　ジジ　シンブン　"</f>
        <v>サンヨウ　ジジ　シンブン　</v>
      </c>
      <c r="D2816" t="str">
        <f>"山陽時事新聞社"</f>
        <v>山陽時事新聞社</v>
      </c>
      <c r="E2816" t="str">
        <f>"サンヨウジジシンブンシャ"</f>
        <v>サンヨウジジシンブンシャ</v>
      </c>
      <c r="F2816" t="str">
        <f>"岡山"</f>
        <v>岡山</v>
      </c>
      <c r="G2816" t="str">
        <f>"週刊"</f>
        <v>週刊</v>
      </c>
      <c r="H2816" t="str">
        <f>"2002222300906"</f>
        <v>2002222300906</v>
      </c>
      <c r="I2816" t="str">
        <f>HYPERLINK("#", "https://opac.libnet.pref.okayama.jp/licsxp-opac/WOpacMsgNewListToTifTilDetailAction.do?tilcod=2002222300906")</f>
        <v>https://opac.libnet.pref.okayama.jp/licsxp-opac/WOpacMsgNewListToTifTilDetailAction.do?tilcod=2002222300906</v>
      </c>
    </row>
    <row r="2817" spans="1:9" x14ac:dyDescent="0.4">
      <c r="A2817" t="str">
        <f>"山陽時評　内報版"</f>
        <v>山陽時評　内報版</v>
      </c>
      <c r="B2817" s="1" t="str">
        <f t="shared" si="150"/>
        <v>山陽時評　内報版</v>
      </c>
      <c r="C2817" t="str">
        <f>"サンヨウ　ジヒョウ　ナイホウバン"</f>
        <v>サンヨウ　ジヒョウ　ナイホウバン</v>
      </c>
      <c r="D2817" t="str">
        <f>"山陽時評社"</f>
        <v>山陽時評社</v>
      </c>
      <c r="E2817" t="str">
        <f>"サンヨウジヒョウシャ"</f>
        <v>サンヨウジヒョウシャ</v>
      </c>
      <c r="F2817" t="str">
        <f>"岡山"</f>
        <v>岡山</v>
      </c>
      <c r="G2817" t="str">
        <f>"週刊"</f>
        <v>週刊</v>
      </c>
      <c r="H2817" t="str">
        <f>"2002222300907"</f>
        <v>2002222300907</v>
      </c>
      <c r="I2817" t="str">
        <f>HYPERLINK("#", "https://opac.libnet.pref.okayama.jp/licsxp-opac/WOpacMsgNewListToTifTilDetailAction.do?tilcod=2002222300907")</f>
        <v>https://opac.libnet.pref.okayama.jp/licsxp-opac/WOpacMsgNewListToTifTilDetailAction.do?tilcod=2002222300907</v>
      </c>
    </row>
    <row r="2818" spans="1:9" x14ac:dyDescent="0.4">
      <c r="A2818" t="str">
        <f>"山陽ジャーナル"</f>
        <v>山陽ジャーナル</v>
      </c>
      <c r="B2818" s="1" t="str">
        <f t="shared" si="150"/>
        <v>山陽ジャーナル</v>
      </c>
      <c r="C2818" t="str">
        <f>"サンヨウ　ジャーナル"</f>
        <v>サンヨウ　ジャーナル</v>
      </c>
      <c r="D2818" t="str">
        <f>"山陽ジャーナル社"</f>
        <v>山陽ジャーナル社</v>
      </c>
      <c r="E2818" t="str">
        <f>"サンヨウジャーナルシャ"</f>
        <v>サンヨウジャーナルシャ</v>
      </c>
      <c r="F2818" t="str">
        <f>"岡山"</f>
        <v>岡山</v>
      </c>
      <c r="G2818" t="str">
        <f>"不定期刊"</f>
        <v>不定期刊</v>
      </c>
      <c r="H2818" t="str">
        <f>"2002222292621"</f>
        <v>2002222292621</v>
      </c>
      <c r="I2818" t="str">
        <f>HYPERLINK("#", "https://opac.libnet.pref.okayama.jp/licsxp-opac/WOpacMsgNewListToTifTilDetailAction.do?tilcod=2002222292621")</f>
        <v>https://opac.libnet.pref.okayama.jp/licsxp-opac/WOpacMsgNewListToTifTilDetailAction.do?tilcod=2002222292621</v>
      </c>
    </row>
    <row r="2819" spans="1:9" x14ac:dyDescent="0.4">
      <c r="A2819" t="str">
        <f>"山陽小学生新聞"</f>
        <v>山陽小学生新聞</v>
      </c>
      <c r="B2819" s="1" t="str">
        <f t="shared" si="150"/>
        <v>山陽小学生新聞</v>
      </c>
      <c r="C2819" t="str">
        <f>"サンヨウ ショウガクセイ シンブン"</f>
        <v>サンヨウ ショウガクセイ シンブン</v>
      </c>
      <c r="D2819" t="str">
        <f>"山陽新聞社"</f>
        <v>山陽新聞社</v>
      </c>
      <c r="E2819" t="str">
        <f>"サンヨウ シンブンシャ"</f>
        <v>サンヨウ シンブンシャ</v>
      </c>
      <c r="F2819" t="str">
        <f>"岡山"</f>
        <v>岡山</v>
      </c>
      <c r="G2819" t="str">
        <f>"日刊"</f>
        <v>日刊</v>
      </c>
      <c r="H2819" t="str">
        <f>"2002222335628"</f>
        <v>2002222335628</v>
      </c>
      <c r="I2819" t="str">
        <f>HYPERLINK("#", "https://opac.libnet.pref.okayama.jp/licsxp-opac/WOpacMsgNewListToTifTilDetailAction.do?tilcod=2002222335628")</f>
        <v>https://opac.libnet.pref.okayama.jp/licsxp-opac/WOpacMsgNewListToTifTilDetailAction.do?tilcod=2002222335628</v>
      </c>
    </row>
    <row r="2820" spans="1:9" x14ac:dyDescent="0.4">
      <c r="A2820" t="str">
        <f>"山陽書芸"</f>
        <v>山陽書芸</v>
      </c>
      <c r="B2820" s="1" t="str">
        <f t="shared" ref="B2820:B2883" si="152">HYPERLINK("#", A2820)</f>
        <v>山陽書芸</v>
      </c>
      <c r="C2820" t="str">
        <f>"サンヨウ　ショゲイ"</f>
        <v>サンヨウ　ショゲイ</v>
      </c>
      <c r="D2820" t="str">
        <f>"青樹会"</f>
        <v>青樹会</v>
      </c>
      <c r="E2820" t="str">
        <f>"セイジュカイ"</f>
        <v>セイジュカイ</v>
      </c>
      <c r="F2820" t="str">
        <f>""</f>
        <v/>
      </c>
      <c r="G2820" t="str">
        <f>"頻度不明"</f>
        <v>頻度不明</v>
      </c>
      <c r="H2820" t="str">
        <f>"2002222281643"</f>
        <v>2002222281643</v>
      </c>
      <c r="I2820" t="str">
        <f>HYPERLINK("#", "https://opac.libnet.pref.okayama.jp/licsxp-opac/WOpacMsgNewListToTifTilDetailAction.do?tilcod=2002222281643")</f>
        <v>https://opac.libnet.pref.okayama.jp/licsxp-opac/WOpacMsgNewListToTifTilDetailAction.do?tilcod=2002222281643</v>
      </c>
    </row>
    <row r="2821" spans="1:9" x14ac:dyDescent="0.4">
      <c r="A2821" t="str">
        <f>"山陽女子高等学校学校案内"</f>
        <v>山陽女子高等学校学校案内</v>
      </c>
      <c r="B2821" s="1" t="str">
        <f t="shared" si="152"/>
        <v>山陽女子高等学校学校案内</v>
      </c>
      <c r="C2821" t="str">
        <f>"サンヨウ　ジョシ　コウトウ　ガッコウ　ガッコウ　アンナイ"</f>
        <v>サンヨウ　ジョシ　コウトウ　ガッコウ　ガッコウ　アンナイ</v>
      </c>
      <c r="D2821" t="str">
        <f>"山陽女子中学校・高等学校"</f>
        <v>山陽女子中学校・高等学校</v>
      </c>
      <c r="E2821" t="str">
        <f>"サンヨウ ジョシ チュウガッコウ コウトウ ガッコウ"</f>
        <v>サンヨウ ジョシ チュウガッコウ コウトウ ガッコウ</v>
      </c>
      <c r="F2821" t="str">
        <f t="shared" ref="F2821:F2837" si="153">"岡山"</f>
        <v>岡山</v>
      </c>
      <c r="G2821" t="str">
        <f>"年刊"</f>
        <v>年刊</v>
      </c>
      <c r="H2821" t="str">
        <f>"2002222315887"</f>
        <v>2002222315887</v>
      </c>
      <c r="I2821" t="str">
        <f>HYPERLINK("#", "https://opac.libnet.pref.okayama.jp/licsxp-opac/WOpacMsgNewListToTifTilDetailAction.do?tilcod=2002222315887")</f>
        <v>https://opac.libnet.pref.okayama.jp/licsxp-opac/WOpacMsgNewListToTifTilDetailAction.do?tilcod=2002222315887</v>
      </c>
    </row>
    <row r="2822" spans="1:9" x14ac:dyDescent="0.4">
      <c r="A2822" t="str">
        <f>"[山陽女子中学校・高等学校JRC機関誌] しらゆり"</f>
        <v>[山陽女子中学校・高等学校JRC機関誌] しらゆり</v>
      </c>
      <c r="B2822" s="1" t="str">
        <f t="shared" si="152"/>
        <v>[山陽女子中学校・高等学校JRC機関誌] しらゆり</v>
      </c>
      <c r="C2822" t="str">
        <f>"サンヨウ ジョシ チュウ ガッコウ コウトウ ガッコウ ジェイ アール シー キカンシ シラユリ"</f>
        <v>サンヨウ ジョシ チュウ ガッコウ コウトウ ガッコウ ジェイ アール シー キカンシ シラユリ</v>
      </c>
      <c r="D2822" t="str">
        <f>"山陽学園JRC（青少年赤十字団）"</f>
        <v>山陽学園JRC（青少年赤十字団）</v>
      </c>
      <c r="E2822" t="str">
        <f>"サンヨウ ガクエン ジェイアールシー セイショウネン セキジュウジダン"</f>
        <v>サンヨウ ガクエン ジェイアールシー セイショウネン セキジュウジダン</v>
      </c>
      <c r="F2822" t="str">
        <f t="shared" si="153"/>
        <v>岡山</v>
      </c>
      <c r="G2822" t="str">
        <f>"年２回刊"</f>
        <v>年２回刊</v>
      </c>
      <c r="H2822" t="str">
        <f>"2002222328451"</f>
        <v>2002222328451</v>
      </c>
      <c r="I2822" t="str">
        <f>HYPERLINK("#", "https://opac.libnet.pref.okayama.jp/licsxp-opac/WOpacMsgNewListToTifTilDetailAction.do?tilcod=2002222328451")</f>
        <v>https://opac.libnet.pref.okayama.jp/licsxp-opac/WOpacMsgNewListToTifTilDetailAction.do?tilcod=2002222328451</v>
      </c>
    </row>
    <row r="2823" spans="1:9" x14ac:dyDescent="0.4">
      <c r="A2823" t="str">
        <f>"〔山陽女子中学校・高等学校〕校報さんよう"</f>
        <v>〔山陽女子中学校・高等学校〕校報さんよう</v>
      </c>
      <c r="B2823" s="1" t="str">
        <f t="shared" si="152"/>
        <v>〔山陽女子中学校・高等学校〕校報さんよう</v>
      </c>
      <c r="C2823" t="str">
        <f>"サンヨウ　ジョシ　チュウ　ガッコウ　コウトウ　ガッコウ＊コウホウ　サンヨウ"</f>
        <v>サンヨウ　ジョシ　チュウ　ガッコウ　コウトウ　ガッコウ＊コウホウ　サンヨウ</v>
      </c>
      <c r="D2823" t="str">
        <f>"山陽女子中学校・高等学校"</f>
        <v>山陽女子中学校・高等学校</v>
      </c>
      <c r="E2823" t="str">
        <f>"サンヨウ ジョシ チュウガッコウ コウトウ ガッコウ"</f>
        <v>サンヨウ ジョシ チュウガッコウ コウトウ ガッコウ</v>
      </c>
      <c r="F2823" t="str">
        <f t="shared" si="153"/>
        <v>岡山</v>
      </c>
      <c r="G2823" t="str">
        <f>"年３回刊"</f>
        <v>年３回刊</v>
      </c>
      <c r="H2823" t="str">
        <f>"2002222301845"</f>
        <v>2002222301845</v>
      </c>
      <c r="I2823" t="str">
        <f>HYPERLINK("#", "https://opac.libnet.pref.okayama.jp/licsxp-opac/WOpacMsgNewListToTifTilDetailAction.do?tilcod=2002222301845")</f>
        <v>https://opac.libnet.pref.okayama.jp/licsxp-opac/WOpacMsgNewListToTifTilDetailAction.do?tilcod=2002222301845</v>
      </c>
    </row>
    <row r="2824" spans="1:9" x14ac:dyDescent="0.4">
      <c r="A2824" t="str">
        <f>"山陽女子中学校学校案内"</f>
        <v>山陽女子中学校学校案内</v>
      </c>
      <c r="B2824" s="1" t="str">
        <f t="shared" si="152"/>
        <v>山陽女子中学校学校案内</v>
      </c>
      <c r="C2824" t="str">
        <f>"サンヨウ　ジョシ　チュウガッコウ　ガッコウ　アンナイ"</f>
        <v>サンヨウ　ジョシ　チュウガッコウ　ガッコウ　アンナイ</v>
      </c>
      <c r="D2824" t="str">
        <f>"山陽女子中学校"</f>
        <v>山陽女子中学校</v>
      </c>
      <c r="E2824" t="str">
        <f>"サンヨウ ジョシ チュウガッコウ"</f>
        <v>サンヨウ ジョシ チュウガッコウ</v>
      </c>
      <c r="F2824" t="str">
        <f t="shared" si="153"/>
        <v>岡山</v>
      </c>
      <c r="G2824" t="str">
        <f>"年刊"</f>
        <v>年刊</v>
      </c>
      <c r="H2824" t="str">
        <f>"2002222315886"</f>
        <v>2002222315886</v>
      </c>
      <c r="I2824" t="str">
        <f>HYPERLINK("#", "https://opac.libnet.pref.okayama.jp/licsxp-opac/WOpacMsgNewListToTifTilDetailAction.do?tilcod=2002222315886")</f>
        <v>https://opac.libnet.pref.okayama.jp/licsxp-opac/WOpacMsgNewListToTifTilDetailAction.do?tilcod=2002222315886</v>
      </c>
    </row>
    <row r="2825" spans="1:9" x14ac:dyDescent="0.4">
      <c r="A2825" t="str">
        <f>"山陽女子中学校高等学校学校案内"</f>
        <v>山陽女子中学校高等学校学校案内</v>
      </c>
      <c r="B2825" s="1" t="str">
        <f t="shared" si="152"/>
        <v>山陽女子中学校高等学校学校案内</v>
      </c>
      <c r="C2825" t="str">
        <f>"サンヨウ　ジョシ　チュウガッコウ　コウトウ　ガッコウ　ガッコウ　アンナイ"</f>
        <v>サンヨウ　ジョシ　チュウガッコウ　コウトウ　ガッコウ　ガッコウ　アンナイ</v>
      </c>
      <c r="D2825" t="str">
        <f>"山陽女子中学校・高等学校"</f>
        <v>山陽女子中学校・高等学校</v>
      </c>
      <c r="E2825" t="str">
        <f>"サンヨウ ジョシ チュウガッコウ コウトウ ガッコウ"</f>
        <v>サンヨウ ジョシ チュウガッコウ コウトウ ガッコウ</v>
      </c>
      <c r="F2825" t="str">
        <f t="shared" si="153"/>
        <v>岡山</v>
      </c>
      <c r="G2825" t="str">
        <f>"年刊"</f>
        <v>年刊</v>
      </c>
      <c r="H2825" t="str">
        <f>"2002222301254"</f>
        <v>2002222301254</v>
      </c>
      <c r="I2825" t="str">
        <f>HYPERLINK("#", "https://opac.libnet.pref.okayama.jp/licsxp-opac/WOpacMsgNewListToTifTilDetailAction.do?tilcod=2002222301254")</f>
        <v>https://opac.libnet.pref.okayama.jp/licsxp-opac/WOpacMsgNewListToTifTilDetailAction.do?tilcod=2002222301254</v>
      </c>
    </row>
    <row r="2826" spans="1:9" x14ac:dyDescent="0.4">
      <c r="A2826" t="str">
        <f>"山陽女子中学校高等学校学校要覧"</f>
        <v>山陽女子中学校高等学校学校要覧</v>
      </c>
      <c r="B2826" s="1" t="str">
        <f t="shared" si="152"/>
        <v>山陽女子中学校高等学校学校要覧</v>
      </c>
      <c r="C2826" t="str">
        <f>"サンヨウ　ジョシ　チュウガッコウ　コウトウ　ガッコウ　ガッコウ　ヨウラン"</f>
        <v>サンヨウ　ジョシ　チュウガッコウ　コウトウ　ガッコウ　ガッコウ　ヨウラン</v>
      </c>
      <c r="D2826" t="str">
        <f>"山陽女子中学校・高等学校"</f>
        <v>山陽女子中学校・高等学校</v>
      </c>
      <c r="E2826" t="str">
        <f>"サンヨウ ジョシ チュウガッコウ コウトウ ガッコウ"</f>
        <v>サンヨウ ジョシ チュウガッコウ コウトウ ガッコウ</v>
      </c>
      <c r="F2826" t="str">
        <f t="shared" si="153"/>
        <v>岡山</v>
      </c>
      <c r="G2826" t="str">
        <f>"年刊"</f>
        <v>年刊</v>
      </c>
      <c r="H2826" t="str">
        <f>"2002222300572"</f>
        <v>2002222300572</v>
      </c>
      <c r="I2826" t="str">
        <f>HYPERLINK("#", "https://opac.libnet.pref.okayama.jp/licsxp-opac/WOpacMsgNewListToTifTilDetailAction.do?tilcod=2002222300572")</f>
        <v>https://opac.libnet.pref.okayama.jp/licsxp-opac/WOpacMsgNewListToTifTilDetailAction.do?tilcod=2002222300572</v>
      </c>
    </row>
    <row r="2827" spans="1:9" x14ac:dyDescent="0.4">
      <c r="A2827" t="str">
        <f>"〔山陽女子中学校・高等学校〕校誌みさお"</f>
        <v>〔山陽女子中学校・高等学校〕校誌みさお</v>
      </c>
      <c r="B2827" s="1" t="str">
        <f t="shared" si="152"/>
        <v>〔山陽女子中学校・高等学校〕校誌みさお</v>
      </c>
      <c r="C2827" t="str">
        <f>"サンヨウ　ジョシ　チュウガッコウ　コウトウ　ガッコウ＊コウシ　ミサオ"</f>
        <v>サンヨウ　ジョシ　チュウガッコウ　コウトウ　ガッコウ＊コウシ　ミサオ</v>
      </c>
      <c r="D2827" t="str">
        <f>"山陽女子中学校・高等学校"</f>
        <v>山陽女子中学校・高等学校</v>
      </c>
      <c r="E2827" t="str">
        <f>"サンヨウ ジョシ チュウガッコウ コウトウ ガッコウ"</f>
        <v>サンヨウ ジョシ チュウガッコウ コウトウ ガッコウ</v>
      </c>
      <c r="F2827" t="str">
        <f t="shared" si="153"/>
        <v>岡山</v>
      </c>
      <c r="G2827" t="str">
        <f>"年刊"</f>
        <v>年刊</v>
      </c>
      <c r="H2827" t="str">
        <f>"2002222300444"</f>
        <v>2002222300444</v>
      </c>
      <c r="I2827" t="str">
        <f>HYPERLINK("#", "https://opac.libnet.pref.okayama.jp/licsxp-opac/WOpacMsgNewListToTifTilDetailAction.do?tilcod=2002222300444")</f>
        <v>https://opac.libnet.pref.okayama.jp/licsxp-opac/WOpacMsgNewListToTifTilDetailAction.do?tilcod=2002222300444</v>
      </c>
    </row>
    <row r="2828" spans="1:9" x14ac:dyDescent="0.4">
      <c r="A2828" t="str">
        <f>"〔山陽女子中学校・高等学校〕図書委員会ニュース"</f>
        <v>〔山陽女子中学校・高等学校〕図書委員会ニュース</v>
      </c>
      <c r="B2828" s="1" t="str">
        <f t="shared" si="152"/>
        <v>〔山陽女子中学校・高等学校〕図書委員会ニュース</v>
      </c>
      <c r="C2828" t="str">
        <f>"サンヨウ　ジョシ　チュウガッコウ　コウトウ　ガッコウ＊トショ　イインカイ　ニュース"</f>
        <v>サンヨウ　ジョシ　チュウガッコウ　コウトウ　ガッコウ＊トショ　イインカイ　ニュース</v>
      </c>
      <c r="D2828" t="str">
        <f>"山陽学園図書委員会"</f>
        <v>山陽学園図書委員会</v>
      </c>
      <c r="E2828" t="str">
        <f>"サンヨウ ガクエン トショ イインカイ"</f>
        <v>サンヨウ ガクエン トショ イインカイ</v>
      </c>
      <c r="F2828" t="str">
        <f t="shared" si="153"/>
        <v>岡山</v>
      </c>
      <c r="G2828" t="str">
        <f>"頻度不明"</f>
        <v>頻度不明</v>
      </c>
      <c r="H2828" t="str">
        <f>"2002222302074"</f>
        <v>2002222302074</v>
      </c>
      <c r="I2828" t="str">
        <f>HYPERLINK("#", "https://opac.libnet.pref.okayama.jp/licsxp-opac/WOpacMsgNewListToTifTilDetailAction.do?tilcod=2002222302074")</f>
        <v>https://opac.libnet.pref.okayama.jp/licsxp-opac/WOpacMsgNewListToTifTilDetailAction.do?tilcod=2002222302074</v>
      </c>
    </row>
    <row r="2829" spans="1:9" x14ac:dyDescent="0.4">
      <c r="A2829" t="str">
        <f>"〔山陽女子中学校・山陽女子高等学校〕学園通信"</f>
        <v>〔山陽女子中学校・山陽女子高等学校〕学園通信</v>
      </c>
      <c r="B2829" s="1" t="str">
        <f t="shared" si="152"/>
        <v>〔山陽女子中学校・山陽女子高等学校〕学園通信</v>
      </c>
      <c r="C2829" t="str">
        <f>"サンヨウ　ジョシ　チュウガッコウ　サンヨウ　ジョシ　コウトウ　ガッコウ＊ガクエン　ツウシン"</f>
        <v>サンヨウ　ジョシ　チュウガッコウ　サンヨウ　ジョシ　コウトウ　ガッコウ＊ガクエン　ツウシン</v>
      </c>
      <c r="D2829" t="str">
        <f>"山陽女子中・高等学校"</f>
        <v>山陽女子中・高等学校</v>
      </c>
      <c r="E2829" t="str">
        <f>"サンヨウジョシチュウコウトウガッコウ"</f>
        <v>サンヨウジョシチュウコウトウガッコウ</v>
      </c>
      <c r="F2829" t="str">
        <f t="shared" si="153"/>
        <v>岡山</v>
      </c>
      <c r="G2829" t="str">
        <f>"頻度不明"</f>
        <v>頻度不明</v>
      </c>
      <c r="H2829" t="str">
        <f>"2002222281184"</f>
        <v>2002222281184</v>
      </c>
      <c r="I2829" t="str">
        <f>HYPERLINK("#", "https://opac.libnet.pref.okayama.jp/licsxp-opac/WOpacMsgNewListToTifTilDetailAction.do?tilcod=2002222281184")</f>
        <v>https://opac.libnet.pref.okayama.jp/licsxp-opac/WOpacMsgNewListToTifTilDetailAction.do?tilcod=2002222281184</v>
      </c>
    </row>
    <row r="2830" spans="1:9" x14ac:dyDescent="0.4">
      <c r="A2830" t="str">
        <f>"山陽書壇"</f>
        <v>山陽書壇</v>
      </c>
      <c r="B2830" s="1" t="str">
        <f t="shared" si="152"/>
        <v>山陽書壇</v>
      </c>
      <c r="C2830" t="str">
        <f>"サンヨウ ショダン"</f>
        <v>サンヨウ ショダン</v>
      </c>
      <c r="D2830" t="str">
        <f>"山陽書壇院"</f>
        <v>山陽書壇院</v>
      </c>
      <c r="E2830" t="str">
        <f>"サンヨウ ショダンイン"</f>
        <v>サンヨウ ショダンイン</v>
      </c>
      <c r="F2830" t="str">
        <f t="shared" si="153"/>
        <v>岡山</v>
      </c>
      <c r="G2830" t="str">
        <f>"頻度不明"</f>
        <v>頻度不明</v>
      </c>
      <c r="H2830" t="str">
        <f>"2002222330151"</f>
        <v>2002222330151</v>
      </c>
      <c r="I2830" t="str">
        <f>HYPERLINK("#", "https://opac.libnet.pref.okayama.jp/licsxp-opac/WOpacMsgNewListToTifTilDetailAction.do?tilcod=2002222330151")</f>
        <v>https://opac.libnet.pref.okayama.jp/licsxp-opac/WOpacMsgNewListToTifTilDetailAction.do?tilcod=2002222330151</v>
      </c>
    </row>
    <row r="2831" spans="1:9" x14ac:dyDescent="0.4">
      <c r="A2831" t="str">
        <f>"山陽新聞 号外"</f>
        <v>山陽新聞 号外</v>
      </c>
      <c r="B2831" s="1" t="str">
        <f t="shared" si="152"/>
        <v>山陽新聞 号外</v>
      </c>
      <c r="C2831" t="str">
        <f>"サンヨウ シンブン ゴウガイ　"</f>
        <v>サンヨウ シンブン ゴウガイ　</v>
      </c>
      <c r="D2831" t="str">
        <f>"山陽新聞社"</f>
        <v>山陽新聞社</v>
      </c>
      <c r="E2831" t="str">
        <f>"サンヨウ シンブンシャ"</f>
        <v>サンヨウ シンブンシャ</v>
      </c>
      <c r="F2831" t="str">
        <f t="shared" si="153"/>
        <v>岡山</v>
      </c>
      <c r="G2831" t="str">
        <f>"不定期刊"</f>
        <v>不定期刊</v>
      </c>
      <c r="H2831" t="str">
        <f>"2002222340430"</f>
        <v>2002222340430</v>
      </c>
      <c r="I2831" t="str">
        <f>HYPERLINK("#", "https://opac.libnet.pref.okayama.jp/licsxp-opac/WOpacMsgNewListToTifTilDetailAction.do?tilcod=2002222340430")</f>
        <v>https://opac.libnet.pref.okayama.jp/licsxp-opac/WOpacMsgNewListToTifTilDetailAction.do?tilcod=2002222340430</v>
      </c>
    </row>
    <row r="2832" spans="1:9" x14ac:dyDescent="0.4">
      <c r="A2832" t="str">
        <f>"山陽新聞マイタウン岡山　岡北版"</f>
        <v>山陽新聞マイタウン岡山　岡北版</v>
      </c>
      <c r="B2832" s="1" t="str">
        <f t="shared" si="152"/>
        <v>山陽新聞マイタウン岡山　岡北版</v>
      </c>
      <c r="C2832" t="str">
        <f>"サンヨウ　シンブン　マイタウン　オカヤマ　コウホクバン"</f>
        <v>サンヨウ　シンブン　マイタウン　オカヤマ　コウホクバン</v>
      </c>
      <c r="D2832" t="str">
        <f>"山陽新聞販売"</f>
        <v>山陽新聞販売</v>
      </c>
      <c r="E2832" t="str">
        <f>"サンヨウ シンブン ハンバイ"</f>
        <v>サンヨウ シンブン ハンバイ</v>
      </c>
      <c r="F2832" t="str">
        <f t="shared" si="153"/>
        <v>岡山</v>
      </c>
      <c r="G2832" t="str">
        <f>"月刊"</f>
        <v>月刊</v>
      </c>
      <c r="H2832" t="str">
        <f>"2002222300895"</f>
        <v>2002222300895</v>
      </c>
      <c r="I2832" t="str">
        <f>HYPERLINK("#", "https://opac.libnet.pref.okayama.jp/licsxp-opac/WOpacMsgNewListToTifTilDetailAction.do?tilcod=2002222300895")</f>
        <v>https://opac.libnet.pref.okayama.jp/licsxp-opac/WOpacMsgNewListToTifTilDetailAction.do?tilcod=2002222300895</v>
      </c>
    </row>
    <row r="2833" spans="1:9" x14ac:dyDescent="0.4">
      <c r="A2833" t="str">
        <f>"山陽新聞リビングガイド；Ｌｉｖｉｎｇ　Ｇｕｉｄｅ（リビングガイド）"</f>
        <v>山陽新聞リビングガイド；Ｌｉｖｉｎｇ　Ｇｕｉｄｅ（リビングガイド）</v>
      </c>
      <c r="B2833" s="1" t="str">
        <f t="shared" si="152"/>
        <v>山陽新聞リビングガイド；Ｌｉｖｉｎｇ　Ｇｕｉｄｅ（リビングガイド）</v>
      </c>
      <c r="C2833" t="str">
        <f>"サンヨウ　シンブン　リビング　ガイド；リビング　ガイド"</f>
        <v>サンヨウ　シンブン　リビング　ガイド；リビング　ガイド</v>
      </c>
      <c r="D2833" t="str">
        <f>"山陽新聞社販売局"</f>
        <v>山陽新聞社販売局</v>
      </c>
      <c r="E2833" t="str">
        <f>"サンヨウ シンブンシャ ハンバイキョク"</f>
        <v>サンヨウ シンブンシャ ハンバイキョク</v>
      </c>
      <c r="F2833" t="str">
        <f t="shared" si="153"/>
        <v>岡山</v>
      </c>
      <c r="G2833" t="str">
        <f>"その他"</f>
        <v>その他</v>
      </c>
      <c r="H2833" t="str">
        <f>"2002222300873"</f>
        <v>2002222300873</v>
      </c>
      <c r="I2833" t="str">
        <f>HYPERLINK("#", "https://opac.libnet.pref.okayama.jp/licsxp-opac/WOpacMsgNewListToTifTilDetailAction.do?tilcod=2002222300873")</f>
        <v>https://opac.libnet.pref.okayama.jp/licsxp-opac/WOpacMsgNewListToTifTilDetailAction.do?tilcod=2002222300873</v>
      </c>
    </row>
    <row r="2834" spans="1:9" x14ac:dyDescent="0.4">
      <c r="A2834" t="str">
        <f>"山陽新報 [原紙]"</f>
        <v>山陽新報 [原紙]</v>
      </c>
      <c r="B2834" s="1" t="str">
        <f t="shared" si="152"/>
        <v>山陽新報 [原紙]</v>
      </c>
      <c r="C2834" t="str">
        <f>"サンヨウ シンポウ ゲンシ"</f>
        <v>サンヨウ シンポウ ゲンシ</v>
      </c>
      <c r="D2834" t="str">
        <f>"山陽新報社"</f>
        <v>山陽新報社</v>
      </c>
      <c r="E2834" t="str">
        <f>"サンヨウ シンポウシャ"</f>
        <v>サンヨウ シンポウシャ</v>
      </c>
      <c r="F2834" t="str">
        <f t="shared" si="153"/>
        <v>岡山</v>
      </c>
      <c r="G2834" t="str">
        <f>"日刊"</f>
        <v>日刊</v>
      </c>
      <c r="H2834" t="str">
        <f>"2002222301070"</f>
        <v>2002222301070</v>
      </c>
      <c r="I2834" t="str">
        <f>HYPERLINK("#", "https://opac.libnet.pref.okayama.jp/licsxp-opac/WOpacMsgNewListToTifTilDetailAction.do?tilcod=2002222301070")</f>
        <v>https://opac.libnet.pref.okayama.jp/licsxp-opac/WOpacMsgNewListToTifTilDetailAction.do?tilcod=2002222301070</v>
      </c>
    </row>
    <row r="2835" spans="1:9" x14ac:dyDescent="0.4">
      <c r="A2835" t="str">
        <f>"山陽新報 号外"</f>
        <v>山陽新報 号外</v>
      </c>
      <c r="B2835" s="1" t="str">
        <f t="shared" si="152"/>
        <v>山陽新報 号外</v>
      </c>
      <c r="C2835" t="str">
        <f>"サンヨウ シンポウ ゴウガイ　"</f>
        <v>サンヨウ シンポウ ゴウガイ　</v>
      </c>
      <c r="D2835" t="str">
        <f>"山陽新報社"</f>
        <v>山陽新報社</v>
      </c>
      <c r="E2835" t="str">
        <f>"サンヨウ シンポウシャ"</f>
        <v>サンヨウ シンポウシャ</v>
      </c>
      <c r="F2835" t="str">
        <f t="shared" si="153"/>
        <v>岡山</v>
      </c>
      <c r="G2835" t="str">
        <f>"不定期刊"</f>
        <v>不定期刊</v>
      </c>
      <c r="H2835" t="str">
        <f>"2002222301072"</f>
        <v>2002222301072</v>
      </c>
      <c r="I2835" t="str">
        <f>HYPERLINK("#", "https://opac.libnet.pref.okayama.jp/licsxp-opac/WOpacMsgNewListToTifTilDetailAction.do?tilcod=2002222301072")</f>
        <v>https://opac.libnet.pref.okayama.jp/licsxp-opac/WOpacMsgNewListToTifTilDetailAction.do?tilcod=2002222301072</v>
      </c>
    </row>
    <row r="2836" spans="1:9" x14ac:dyDescent="0.4">
      <c r="A2836" t="str">
        <f>"[山陽新報 中国民報 一月一日 附録]"</f>
        <v>[山陽新報 中国民報 一月一日 附録]</v>
      </c>
      <c r="B2836" s="1" t="str">
        <f t="shared" si="152"/>
        <v>[山陽新報 中国民報 一月一日 附録]</v>
      </c>
      <c r="C2836" t="str">
        <f>"サンヨウ シンポウ チュウゴク ミンポウ イチガツ ツイタチ フロク"</f>
        <v>サンヨウ シンポウ チュウゴク ミンポウ イチガツ ツイタチ フロク</v>
      </c>
      <c r="D2836" t="str">
        <f>"山陽新報社"</f>
        <v>山陽新報社</v>
      </c>
      <c r="E2836" t="str">
        <f>"サンヨウ シンポウシャ"</f>
        <v>サンヨウ シンポウシャ</v>
      </c>
      <c r="F2836" t="str">
        <f t="shared" si="153"/>
        <v>岡山</v>
      </c>
      <c r="G2836" t="str">
        <f>"不定期刊"</f>
        <v>不定期刊</v>
      </c>
      <c r="H2836" t="str">
        <f>"2002222301405"</f>
        <v>2002222301405</v>
      </c>
      <c r="I2836" t="str">
        <f>HYPERLINK("#", "https://opac.libnet.pref.okayama.jp/licsxp-opac/WOpacMsgNewListToTifTilDetailAction.do?tilcod=2002222301405")</f>
        <v>https://opac.libnet.pref.okayama.jp/licsxp-opac/WOpacMsgNewListToTifTilDetailAction.do?tilcod=2002222301405</v>
      </c>
    </row>
    <row r="2837" spans="1:9" x14ac:dyDescent="0.4">
      <c r="A2837" t="str">
        <f>"山陽新報 附録"</f>
        <v>山陽新報 附録</v>
      </c>
      <c r="B2837" s="1" t="str">
        <f t="shared" si="152"/>
        <v>山陽新報 附録</v>
      </c>
      <c r="C2837" t="str">
        <f>"サンヨウ シンポウ フロク"</f>
        <v>サンヨウ シンポウ フロク</v>
      </c>
      <c r="D2837" t="str">
        <f>"山陽新報社"</f>
        <v>山陽新報社</v>
      </c>
      <c r="E2837" t="str">
        <f>"サンヨウ シンポウシャ"</f>
        <v>サンヨウ シンポウシャ</v>
      </c>
      <c r="F2837" t="str">
        <f t="shared" si="153"/>
        <v>岡山</v>
      </c>
      <c r="G2837" t="str">
        <f>"不定期刊"</f>
        <v>不定期刊</v>
      </c>
      <c r="H2837" t="str">
        <f>"2002222301071"</f>
        <v>2002222301071</v>
      </c>
      <c r="I2837" t="str">
        <f>HYPERLINK("#", "https://opac.libnet.pref.okayama.jp/licsxp-opac/WOpacMsgNewListToTifTilDetailAction.do?tilcod=2002222301071")</f>
        <v>https://opac.libnet.pref.okayama.jp/licsxp-opac/WOpacMsgNewListToTifTilDetailAction.do?tilcod=2002222301071</v>
      </c>
    </row>
    <row r="2838" spans="1:9" x14ac:dyDescent="0.4">
      <c r="A2838" t="str">
        <f>"山陽スピリッツニュース"</f>
        <v>山陽スピリッツニュース</v>
      </c>
      <c r="B2838" s="1" t="str">
        <f t="shared" si="152"/>
        <v>山陽スピリッツニュース</v>
      </c>
      <c r="C2838" t="str">
        <f>"サンヨウ スピリッツ ニュース"</f>
        <v>サンヨウ スピリッツ ニュース</v>
      </c>
      <c r="D2838" t="str">
        <f>"山陽学園"</f>
        <v>山陽学園</v>
      </c>
      <c r="E2838" t="str">
        <f>"サンヨウ ガクエン"</f>
        <v>サンヨウ ガクエン</v>
      </c>
      <c r="F2838" t="str">
        <f>"[岡山]"</f>
        <v>[岡山]</v>
      </c>
      <c r="G2838" t="str">
        <f>"頻度不明"</f>
        <v>頻度不明</v>
      </c>
      <c r="H2838" t="str">
        <f>"2002222325288"</f>
        <v>2002222325288</v>
      </c>
      <c r="I2838" t="str">
        <f>HYPERLINK("#", "https://opac.libnet.pref.okayama.jp/licsxp-opac/WOpacMsgNewListToTifTilDetailAction.do?tilcod=2002222325288")</f>
        <v>https://opac.libnet.pref.okayama.jp/licsxp-opac/WOpacMsgNewListToTifTilDetailAction.do?tilcod=2002222325288</v>
      </c>
    </row>
    <row r="2839" spans="1:9" x14ac:dyDescent="0.4">
      <c r="A2839" t="str">
        <f>"山陽政経文化特報"</f>
        <v>山陽政経文化特報</v>
      </c>
      <c r="B2839" s="1" t="str">
        <f t="shared" si="152"/>
        <v>山陽政経文化特報</v>
      </c>
      <c r="C2839" t="str">
        <f>"サンヨウ　セイケイ　ブンカ　トクホウ"</f>
        <v>サンヨウ　セイケイ　ブンカ　トクホウ</v>
      </c>
      <c r="D2839" t="str">
        <f>"山陽時事問題懇談会"</f>
        <v>山陽時事問題懇談会</v>
      </c>
      <c r="E2839" t="str">
        <f>"サンヨウジジモンダイコンダンカイ"</f>
        <v>サンヨウジジモンダイコンダンカイ</v>
      </c>
      <c r="F2839" t="str">
        <f>"〔岡山〕"</f>
        <v>〔岡山〕</v>
      </c>
      <c r="G2839" t="str">
        <f>"週刊"</f>
        <v>週刊</v>
      </c>
      <c r="H2839" t="str">
        <f>"2002222300908"</f>
        <v>2002222300908</v>
      </c>
      <c r="I2839" t="str">
        <f>HYPERLINK("#", "https://opac.libnet.pref.okayama.jp/licsxp-opac/WOpacMsgNewListToTifTilDetailAction.do?tilcod=2002222300908")</f>
        <v>https://opac.libnet.pref.okayama.jp/licsxp-opac/WOpacMsgNewListToTifTilDetailAction.do?tilcod=2002222300908</v>
      </c>
    </row>
    <row r="2840" spans="1:9" x14ac:dyDescent="0.4">
      <c r="A2840" t="str">
        <f>"山陽タイムス"</f>
        <v>山陽タイムス</v>
      </c>
      <c r="B2840" s="1" t="str">
        <f t="shared" si="152"/>
        <v>山陽タイムス</v>
      </c>
      <c r="C2840" t="str">
        <f>"サンヨウ　タイムス"</f>
        <v>サンヨウ　タイムス</v>
      </c>
      <c r="D2840" t="str">
        <f>"山陽タイムス社"</f>
        <v>山陽タイムス社</v>
      </c>
      <c r="E2840" t="str">
        <f>"サンヨウタイムスシャ"</f>
        <v>サンヨウタイムスシャ</v>
      </c>
      <c r="F2840" t="str">
        <f>"岡山"</f>
        <v>岡山</v>
      </c>
      <c r="G2840" t="str">
        <f>"不定期刊"</f>
        <v>不定期刊</v>
      </c>
      <c r="H2840" t="str">
        <f>"2002222300909"</f>
        <v>2002222300909</v>
      </c>
      <c r="I2840" t="str">
        <f>HYPERLINK("#", "https://opac.libnet.pref.okayama.jp/licsxp-opac/WOpacMsgNewListToTifTilDetailAction.do?tilcod=2002222300909")</f>
        <v>https://opac.libnet.pref.okayama.jp/licsxp-opac/WOpacMsgNewListToTifTilDetailAction.do?tilcod=2002222300909</v>
      </c>
    </row>
    <row r="2841" spans="1:9" x14ac:dyDescent="0.4">
      <c r="A2841" t="str">
        <f>"山陽タイムズ"</f>
        <v>山陽タイムズ</v>
      </c>
      <c r="B2841" s="1" t="str">
        <f t="shared" si="152"/>
        <v>山陽タイムズ</v>
      </c>
      <c r="C2841" t="str">
        <f>"サンヨウ　タイムズ"</f>
        <v>サンヨウ　タイムズ</v>
      </c>
      <c r="D2841" t="str">
        <f>"瀬戸内情報通信社"</f>
        <v>瀬戸内情報通信社</v>
      </c>
      <c r="E2841" t="str">
        <f>"セトウチジョウホウツウシンシャ"</f>
        <v>セトウチジョウホウツウシンシャ</v>
      </c>
      <c r="F2841" t="str">
        <f>"岡山"</f>
        <v>岡山</v>
      </c>
      <c r="G2841" t="str">
        <f>"旬刊"</f>
        <v>旬刊</v>
      </c>
      <c r="H2841" t="str">
        <f>"2002222300910"</f>
        <v>2002222300910</v>
      </c>
      <c r="I2841" t="str">
        <f>HYPERLINK("#", "https://opac.libnet.pref.okayama.jp/licsxp-opac/WOpacMsgNewListToTifTilDetailAction.do?tilcod=2002222300910")</f>
        <v>https://opac.libnet.pref.okayama.jp/licsxp-opac/WOpacMsgNewListToTifTilDetailAction.do?tilcod=2002222300910</v>
      </c>
    </row>
    <row r="2842" spans="1:9" x14ac:dyDescent="0.4">
      <c r="A2842" t="str">
        <f>"山陽日日"</f>
        <v>山陽日日</v>
      </c>
      <c r="B2842" s="1" t="str">
        <f t="shared" si="152"/>
        <v>山陽日日</v>
      </c>
      <c r="C2842" t="str">
        <f>"サンヨウ　ニチニチ"</f>
        <v>サンヨウ　ニチニチ</v>
      </c>
      <c r="D2842" t="str">
        <f>"山陽日日新聞社"</f>
        <v>山陽日日新聞社</v>
      </c>
      <c r="E2842" t="str">
        <f>"サンヨウニチニチシンブンシャ"</f>
        <v>サンヨウニチニチシンブンシャ</v>
      </c>
      <c r="F2842" t="str">
        <f>"岡山"</f>
        <v>岡山</v>
      </c>
      <c r="G2842" t="str">
        <f>"月刊"</f>
        <v>月刊</v>
      </c>
      <c r="H2842" t="str">
        <f>"2002222300911"</f>
        <v>2002222300911</v>
      </c>
      <c r="I2842" t="str">
        <f>HYPERLINK("#", "https://opac.libnet.pref.okayama.jp/licsxp-opac/WOpacMsgNewListToTifTilDetailAction.do?tilcod=2002222300911")</f>
        <v>https://opac.libnet.pref.okayama.jp/licsxp-opac/WOpacMsgNewListToTifTilDetailAction.do?tilcod=2002222300911</v>
      </c>
    </row>
    <row r="2843" spans="1:9" x14ac:dyDescent="0.4">
      <c r="A2843" t="str">
        <f>"山陽日報"</f>
        <v>山陽日報</v>
      </c>
      <c r="B2843" s="1" t="str">
        <f t="shared" si="152"/>
        <v>山陽日報</v>
      </c>
      <c r="C2843" t="str">
        <f>"サンヨウ ニッポウ"</f>
        <v>サンヨウ ニッポウ</v>
      </c>
      <c r="D2843" t="str">
        <f>"山陽新報社"</f>
        <v>山陽新報社</v>
      </c>
      <c r="E2843" t="str">
        <f>"サンヨウ シンポウシャ"</f>
        <v>サンヨウ シンポウシャ</v>
      </c>
      <c r="F2843" t="str">
        <f>"岡山"</f>
        <v>岡山</v>
      </c>
      <c r="G2843" t="str">
        <f>"日刊"</f>
        <v>日刊</v>
      </c>
      <c r="H2843" t="str">
        <f>"2002222301079"</f>
        <v>2002222301079</v>
      </c>
      <c r="I2843" t="str">
        <f>HYPERLINK("#", "https://opac.libnet.pref.okayama.jp/licsxp-opac/WOpacMsgNewListToTifTilDetailAction.do?tilcod=2002222301079")</f>
        <v>https://opac.libnet.pref.okayama.jp/licsxp-opac/WOpacMsgNewListToTifTilDetailAction.do?tilcod=2002222301079</v>
      </c>
    </row>
    <row r="2844" spans="1:9" x14ac:dyDescent="0.4">
      <c r="A2844" t="str">
        <f>"山陽の農業"</f>
        <v>山陽の農業</v>
      </c>
      <c r="B2844" s="1" t="str">
        <f t="shared" si="152"/>
        <v>山陽の農業</v>
      </c>
      <c r="C2844" t="str">
        <f>"サンヨウ ノ ノウギョウ"</f>
        <v>サンヨウ ノ ノウギョウ</v>
      </c>
      <c r="D2844" t="str">
        <f>"山陽薬品"</f>
        <v>山陽薬品</v>
      </c>
      <c r="E2844" t="str">
        <f>"サンヨウヤクヒン"</f>
        <v>サンヨウヤクヒン</v>
      </c>
      <c r="F2844" t="str">
        <f>"岡山"</f>
        <v>岡山</v>
      </c>
      <c r="G2844" t="str">
        <f>"年３回刊"</f>
        <v>年３回刊</v>
      </c>
      <c r="H2844" t="str">
        <f>"2002222281673"</f>
        <v>2002222281673</v>
      </c>
      <c r="I2844" t="str">
        <f>HYPERLINK("#", "https://opac.libnet.pref.okayama.jp/licsxp-opac/WOpacMsgNewListToTifTilDetailAction.do?tilcod=2002222281673")</f>
        <v>https://opac.libnet.pref.okayama.jp/licsxp-opac/WOpacMsgNewListToTifTilDetailAction.do?tilcod=2002222281673</v>
      </c>
    </row>
    <row r="2845" spans="1:9" x14ac:dyDescent="0.4">
      <c r="A2845" t="str">
        <f>"山陽農事新報"</f>
        <v>山陽農事新報</v>
      </c>
      <c r="B2845" s="1" t="str">
        <f t="shared" si="152"/>
        <v>山陽農事新報</v>
      </c>
      <c r="C2845" t="str">
        <f>"サンヨウ　ノウジ　シンポウ"</f>
        <v>サンヨウ　ノウジ　シンポウ</v>
      </c>
      <c r="D2845" t="str">
        <f>"山陽農事新報社"</f>
        <v>山陽農事新報社</v>
      </c>
      <c r="E2845" t="str">
        <f>"サンヨウノウジシンポウシャ"</f>
        <v>サンヨウノウジシンポウシャ</v>
      </c>
      <c r="F2845" t="str">
        <f>""</f>
        <v/>
      </c>
      <c r="G2845" t="str">
        <f>"頻度不明"</f>
        <v>頻度不明</v>
      </c>
      <c r="H2845" t="str">
        <f>"2002222281663"</f>
        <v>2002222281663</v>
      </c>
      <c r="I2845" t="str">
        <f>HYPERLINK("#", "https://opac.libnet.pref.okayama.jp/licsxp-opac/WOpacMsgNewListToTifTilDetailAction.do?tilcod=2002222281663")</f>
        <v>https://opac.libnet.pref.okayama.jp/licsxp-opac/WOpacMsgNewListToTifTilDetailAction.do?tilcod=2002222281663</v>
      </c>
    </row>
    <row r="2846" spans="1:9" x14ac:dyDescent="0.4">
      <c r="A2846" t="str">
        <f>"山陽婦人新聞"</f>
        <v>山陽婦人新聞</v>
      </c>
      <c r="B2846" s="1" t="str">
        <f t="shared" si="152"/>
        <v>山陽婦人新聞</v>
      </c>
      <c r="C2846" t="str">
        <f>"サンヨウ　フジン　シンブン"</f>
        <v>サンヨウ　フジン　シンブン</v>
      </c>
      <c r="D2846" t="str">
        <f>"山陽婦人新聞社"</f>
        <v>山陽婦人新聞社</v>
      </c>
      <c r="E2846" t="str">
        <f>"サンヨウフジンシンシャ"</f>
        <v>サンヨウフジンシンシャ</v>
      </c>
      <c r="F2846" t="str">
        <f>"岡山"</f>
        <v>岡山</v>
      </c>
      <c r="G2846" t="str">
        <f>"旬刊"</f>
        <v>旬刊</v>
      </c>
      <c r="H2846" t="str">
        <f>"2002222300912"</f>
        <v>2002222300912</v>
      </c>
      <c r="I2846" t="str">
        <f>HYPERLINK("#", "https://opac.libnet.pref.okayama.jp/licsxp-opac/WOpacMsgNewListToTifTilDetailAction.do?tilcod=2002222300912")</f>
        <v>https://opac.libnet.pref.okayama.jp/licsxp-opac/WOpacMsgNewListToTifTilDetailAction.do?tilcod=2002222300912</v>
      </c>
    </row>
    <row r="2847" spans="1:9" x14ac:dyDescent="0.4">
      <c r="A2847" t="str">
        <f>"山陽文化芸術協会だより"</f>
        <v>山陽文化芸術協会だより</v>
      </c>
      <c r="B2847" s="1" t="str">
        <f t="shared" si="152"/>
        <v>山陽文化芸術協会だより</v>
      </c>
      <c r="C2847" t="str">
        <f>"サンヨウ　ブンカ　ゲイジュツ　キョウカイ　ダヨリ"</f>
        <v>サンヨウ　ブンカ　ゲイジュツ　キョウカイ　ダヨリ</v>
      </c>
      <c r="D2847" t="str">
        <f>"山陽文化芸術協会"</f>
        <v>山陽文化芸術協会</v>
      </c>
      <c r="E2847" t="str">
        <f>"サンヨウブンカゲイジュツキョウカイ"</f>
        <v>サンヨウブンカゲイジュツキョウカイ</v>
      </c>
      <c r="F2847" t="str">
        <f>"赤磐"</f>
        <v>赤磐</v>
      </c>
      <c r="G2847" t="str">
        <f>"頻度不明"</f>
        <v>頻度不明</v>
      </c>
      <c r="H2847" t="str">
        <f>"2002222300458"</f>
        <v>2002222300458</v>
      </c>
      <c r="I2847" t="str">
        <f>HYPERLINK("#", "https://opac.libnet.pref.okayama.jp/licsxp-opac/WOpacMsgNewListToTifTilDetailAction.do?tilcod=2002222300458")</f>
        <v>https://opac.libnet.pref.okayama.jp/licsxp-opac/WOpacMsgNewListToTifTilDetailAction.do?tilcod=2002222300458</v>
      </c>
    </row>
    <row r="2848" spans="1:9" x14ac:dyDescent="0.4">
      <c r="A2848" t="str">
        <f>"山陽文学"</f>
        <v>山陽文学</v>
      </c>
      <c r="B2848" s="1" t="str">
        <f t="shared" si="152"/>
        <v>山陽文学</v>
      </c>
      <c r="C2848" t="str">
        <f>"サンヨウ　ブンガク"</f>
        <v>サンヨウ　ブンガク</v>
      </c>
      <c r="D2848" t="str">
        <f>"山陽文学社"</f>
        <v>山陽文学社</v>
      </c>
      <c r="E2848" t="str">
        <f>"サンヨウブンガクシャ"</f>
        <v>サンヨウブンガクシャ</v>
      </c>
      <c r="F2848" t="str">
        <f>""</f>
        <v/>
      </c>
      <c r="G2848" t="str">
        <f>"不定期刊"</f>
        <v>不定期刊</v>
      </c>
      <c r="H2848" t="str">
        <f>"2002222281683"</f>
        <v>2002222281683</v>
      </c>
      <c r="I2848" t="str">
        <f>HYPERLINK("#", "https://opac.libnet.pref.okayama.jp/licsxp-opac/WOpacMsgNewListToTifTilDetailAction.do?tilcod=2002222281683")</f>
        <v>https://opac.libnet.pref.okayama.jp/licsxp-opac/WOpacMsgNewListToTifTilDetailAction.do?tilcod=2002222281683</v>
      </c>
    </row>
    <row r="2849" spans="1:9" x14ac:dyDescent="0.4">
      <c r="A2849" t="str">
        <f>"山陽放送学術文化財団ニュース"</f>
        <v>山陽放送学術文化財団ニュース</v>
      </c>
      <c r="B2849" s="1" t="str">
        <f t="shared" si="152"/>
        <v>山陽放送学術文化財団ニュース</v>
      </c>
      <c r="C2849" t="str">
        <f>"サンヨウ　ホウソウ　ガクジュツ　ブンカ　ザイダン　ニュース"</f>
        <v>サンヨウ　ホウソウ　ガクジュツ　ブンカ　ザイダン　ニュース</v>
      </c>
      <c r="D2849" t="str">
        <f>"山陽放送学術文化財団"</f>
        <v>山陽放送学術文化財団</v>
      </c>
      <c r="E2849" t="str">
        <f>"サンヨウ ホウソウ ガクジュツ ブンカ ザイダン"</f>
        <v>サンヨウ ホウソウ ガクジュツ ブンカ ザイダン</v>
      </c>
      <c r="F2849" t="str">
        <f>"岡山"</f>
        <v>岡山</v>
      </c>
      <c r="G2849" t="str">
        <f>"年刊"</f>
        <v>年刊</v>
      </c>
      <c r="H2849" t="str">
        <f>"2002222292601"</f>
        <v>2002222292601</v>
      </c>
      <c r="I2849" t="str">
        <f>HYPERLINK("#", "https://opac.libnet.pref.okayama.jp/licsxp-opac/WOpacMsgNewListToTifTilDetailAction.do?tilcod=2002222292601")</f>
        <v>https://opac.libnet.pref.okayama.jp/licsxp-opac/WOpacMsgNewListToTifTilDetailAction.do?tilcod=2002222292601</v>
      </c>
    </row>
    <row r="2850" spans="1:9" x14ac:dyDescent="0.4">
      <c r="A2850" t="str">
        <f>"山陽放送学術文化財団リポート"</f>
        <v>山陽放送学術文化財団リポート</v>
      </c>
      <c r="B2850" s="1" t="str">
        <f t="shared" si="152"/>
        <v>山陽放送学術文化財団リポート</v>
      </c>
      <c r="C2850" t="str">
        <f>"サンヨウ　ホウソウ　ガクジュツ　ブンカ　ザイダン　リポート"</f>
        <v>サンヨウ　ホウソウ　ガクジュツ　ブンカ　ザイダン　リポート</v>
      </c>
      <c r="D2850" t="str">
        <f>"山陽放送学術文化財団"</f>
        <v>山陽放送学術文化財団</v>
      </c>
      <c r="E2850" t="str">
        <f>"サンヨウ ホウソウ ガクジュツ ブンカ ザイダン"</f>
        <v>サンヨウ ホウソウ ガクジュツ ブンカ ザイダン</v>
      </c>
      <c r="F2850" t="str">
        <f>"岡山"</f>
        <v>岡山</v>
      </c>
      <c r="G2850" t="str">
        <f>"年刊"</f>
        <v>年刊</v>
      </c>
      <c r="H2850" t="str">
        <f>"2002222292611"</f>
        <v>2002222292611</v>
      </c>
      <c r="I2850" t="str">
        <f>HYPERLINK("#", "https://opac.libnet.pref.okayama.jp/licsxp-opac/WOpacMsgNewListToTifTilDetailAction.do?tilcod=2002222292611")</f>
        <v>https://opac.libnet.pref.okayama.jp/licsxp-opac/WOpacMsgNewListToTifTilDetailAction.do?tilcod=2002222292611</v>
      </c>
    </row>
    <row r="2851" spans="1:9" x14ac:dyDescent="0.4">
      <c r="A2851" t="str">
        <f>"山陽ポケットシリーズ；暮らしの情報誌"</f>
        <v>山陽ポケットシリーズ；暮らしの情報誌</v>
      </c>
      <c r="B2851" s="1" t="str">
        <f t="shared" si="152"/>
        <v>山陽ポケットシリーズ；暮らしの情報誌</v>
      </c>
      <c r="C2851" t="str">
        <f>"サンヨウ　ポケット　シリーズ＊クラシ　ノ　ジョウホウシ"</f>
        <v>サンヨウ　ポケット　シリーズ＊クラシ　ノ　ジョウホウシ</v>
      </c>
      <c r="D2851" t="str">
        <f>"山陽新聞社販売局"</f>
        <v>山陽新聞社販売局</v>
      </c>
      <c r="E2851" t="str">
        <f>"サンヨウ シンブンシャ ハンバイキョク"</f>
        <v>サンヨウ シンブンシャ ハンバイキョク</v>
      </c>
      <c r="F2851" t="str">
        <f>"岡山"</f>
        <v>岡山</v>
      </c>
      <c r="G2851" t="str">
        <f>"その他"</f>
        <v>その他</v>
      </c>
      <c r="H2851" t="str">
        <f>"2002222280714"</f>
        <v>2002222280714</v>
      </c>
      <c r="I2851" t="str">
        <f>HYPERLINK("#", "https://opac.libnet.pref.okayama.jp/licsxp-opac/WOpacMsgNewListToTifTilDetailAction.do?tilcod=2002222280714")</f>
        <v>https://opac.libnet.pref.okayama.jp/licsxp-opac/WOpacMsgNewListToTifTilDetailAction.do?tilcod=2002222280714</v>
      </c>
    </row>
    <row r="2852" spans="1:9" x14ac:dyDescent="0.4">
      <c r="A2852" t="str">
        <f>"山陽民芸"</f>
        <v>山陽民芸</v>
      </c>
      <c r="B2852" s="1" t="str">
        <f t="shared" si="152"/>
        <v>山陽民芸</v>
      </c>
      <c r="C2852" t="str">
        <f>"サンヨウ ミンゲイ"</f>
        <v>サンヨウ ミンゲイ</v>
      </c>
      <c r="D2852" t="str">
        <f>"岡山県民芸協会"</f>
        <v>岡山県民芸協会</v>
      </c>
      <c r="E2852" t="str">
        <f>"オカヤマケン ミンゲイ キョウカイ"</f>
        <v>オカヤマケン ミンゲイ キョウカイ</v>
      </c>
      <c r="F2852" t="str">
        <f>""</f>
        <v/>
      </c>
      <c r="G2852" t="str">
        <f>"年２回刊"</f>
        <v>年２回刊</v>
      </c>
      <c r="H2852" t="str">
        <f>"2002222281693"</f>
        <v>2002222281693</v>
      </c>
      <c r="I2852" t="str">
        <f>HYPERLINK("#", "https://opac.libnet.pref.okayama.jp/licsxp-opac/WOpacMsgNewListToTifTilDetailAction.do?tilcod=2002222281693")</f>
        <v>https://opac.libnet.pref.okayama.jp/licsxp-opac/WOpacMsgNewListToTifTilDetailAction.do?tilcod=2002222281693</v>
      </c>
    </row>
    <row r="2853" spans="1:9" x14ac:dyDescent="0.4">
      <c r="A2853" t="str">
        <f>"山陽木材新聞"</f>
        <v>山陽木材新聞</v>
      </c>
      <c r="B2853" s="1" t="str">
        <f t="shared" si="152"/>
        <v>山陽木材新聞</v>
      </c>
      <c r="C2853" t="str">
        <f>"サンヨウ　モクザイ　シンブン"</f>
        <v>サンヨウ　モクザイ　シンブン</v>
      </c>
      <c r="D2853" t="str">
        <f>"山陽木材新聞社"</f>
        <v>山陽木材新聞社</v>
      </c>
      <c r="E2853" t="str">
        <f>"サンヨウモクザイシンブンシャ"</f>
        <v>サンヨウモクザイシンブンシャ</v>
      </c>
      <c r="F2853" t="str">
        <f>"岡山"</f>
        <v>岡山</v>
      </c>
      <c r="G2853" t="str">
        <f>"月２回刊"</f>
        <v>月２回刊</v>
      </c>
      <c r="H2853" t="str">
        <f>"2002222302354"</f>
        <v>2002222302354</v>
      </c>
      <c r="I2853" t="str">
        <f>HYPERLINK("#", "https://opac.libnet.pref.okayama.jp/licsxp-opac/WOpacMsgNewListToTifTilDetailAction.do?tilcod=2002222302354")</f>
        <v>https://opac.libnet.pref.okayama.jp/licsxp-opac/WOpacMsgNewListToTifTilDetailAction.do?tilcod=2002222302354</v>
      </c>
    </row>
    <row r="2854" spans="1:9" x14ac:dyDescent="0.4">
      <c r="A2854" t="str">
        <f>"山陽レポート"</f>
        <v>山陽レポート</v>
      </c>
      <c r="B2854" s="1" t="str">
        <f t="shared" si="152"/>
        <v>山陽レポート</v>
      </c>
      <c r="C2854" t="str">
        <f>"サンヨウ　レポート"</f>
        <v>サンヨウ　レポート</v>
      </c>
      <c r="D2854" t="str">
        <f>"山陽新聞社"</f>
        <v>山陽新聞社</v>
      </c>
      <c r="E2854" t="str">
        <f>"サンヨウシンブンシャ"</f>
        <v>サンヨウシンブンシャ</v>
      </c>
      <c r="F2854" t="str">
        <f>"岡山"</f>
        <v>岡山</v>
      </c>
      <c r="G2854" t="str">
        <f>"不定期刊"</f>
        <v>不定期刊</v>
      </c>
      <c r="H2854" t="str">
        <f>"2002222281703"</f>
        <v>2002222281703</v>
      </c>
      <c r="I2854" t="str">
        <f>HYPERLINK("#", "https://opac.libnet.pref.okayama.jp/licsxp-opac/WOpacMsgNewListToTifTilDetailAction.do?tilcod=2002222281703")</f>
        <v>https://opac.libnet.pref.okayama.jp/licsxp-opac/WOpacMsgNewListToTifTilDetailAction.do?tilcod=2002222281703</v>
      </c>
    </row>
    <row r="2855" spans="1:9" x14ac:dyDescent="0.4">
      <c r="A2855" t="str">
        <f>"山陽論叢"</f>
        <v>山陽論叢</v>
      </c>
      <c r="B2855" s="1" t="str">
        <f t="shared" si="152"/>
        <v>山陽論叢</v>
      </c>
      <c r="C2855" t="str">
        <f>"サンヨウ　ロンソウ"</f>
        <v>サンヨウ　ロンソウ</v>
      </c>
      <c r="D2855" t="str">
        <f>"山陽学園大学"</f>
        <v>山陽学園大学</v>
      </c>
      <c r="E2855" t="str">
        <f>"サンヨウ ガクエン ダイガク"</f>
        <v>サンヨウ ガクエン ダイガク</v>
      </c>
      <c r="F2855" t="str">
        <f>"岡山"</f>
        <v>岡山</v>
      </c>
      <c r="G2855" t="str">
        <f>"年刊"</f>
        <v>年刊</v>
      </c>
      <c r="H2855" t="str">
        <f>"2002222281971"</f>
        <v>2002222281971</v>
      </c>
      <c r="I2855" t="str">
        <f>HYPERLINK("#", "https://opac.libnet.pref.okayama.jp/licsxp-opac/WOpacMsgNewListToTifTilDetailAction.do?tilcod=2002222281971")</f>
        <v>https://opac.libnet.pref.okayama.jp/licsxp-opac/WOpacMsgNewListToTifTilDetailAction.do?tilcod=2002222281971</v>
      </c>
    </row>
    <row r="2856" spans="1:9" x14ac:dyDescent="0.4">
      <c r="A2856" t="str">
        <f>"山陽和算研究会会誌"</f>
        <v>山陽和算研究会会誌</v>
      </c>
      <c r="B2856" s="1" t="str">
        <f t="shared" si="152"/>
        <v>山陽和算研究会会誌</v>
      </c>
      <c r="C2856" t="str">
        <f>"サンヨウ　ワサン　ケンキュウカイ　カイシ"</f>
        <v>サンヨウ　ワサン　ケンキュウカイ　カイシ</v>
      </c>
      <c r="D2856" t="str">
        <f>"山陽和算研究会"</f>
        <v>山陽和算研究会</v>
      </c>
      <c r="E2856" t="str">
        <f>"サンヨウワサンケンキュウカイ"</f>
        <v>サンヨウワサンケンキュウカイ</v>
      </c>
      <c r="F2856" t="str">
        <f>"福山"</f>
        <v>福山</v>
      </c>
      <c r="G2856" t="str">
        <f>"年３回刊"</f>
        <v>年３回刊</v>
      </c>
      <c r="H2856" t="str">
        <f>"2002222292631"</f>
        <v>2002222292631</v>
      </c>
      <c r="I2856" t="str">
        <f>HYPERLINK("#", "https://opac.libnet.pref.okayama.jp/licsxp-opac/WOpacMsgNewListToTifTilDetailAction.do?tilcod=2002222292631")</f>
        <v>https://opac.libnet.pref.okayama.jp/licsxp-opac/WOpacMsgNewListToTifTilDetailAction.do?tilcod=2002222292631</v>
      </c>
    </row>
    <row r="2857" spans="1:9" x14ac:dyDescent="0.4">
      <c r="A2857" t="str">
        <f>"〔山陽和算研究会〕研究報告"</f>
        <v>〔山陽和算研究会〕研究報告</v>
      </c>
      <c r="B2857" s="1" t="str">
        <f t="shared" si="152"/>
        <v>〔山陽和算研究会〕研究報告</v>
      </c>
      <c r="C2857" t="str">
        <f>"サンヨウ　ワサン　ケンキュウカイ　ケンンキュウ　ホウコク"</f>
        <v>サンヨウ　ワサン　ケンキュウカイ　ケンンキュウ　ホウコク</v>
      </c>
      <c r="D2857" t="str">
        <f>"山陽和算研究会"</f>
        <v>山陽和算研究会</v>
      </c>
      <c r="E2857" t="str">
        <f>"サンヨウワサンケンキュウカイ"</f>
        <v>サンヨウワサンケンキュウカイ</v>
      </c>
      <c r="F2857" t="str">
        <f>"福山"</f>
        <v>福山</v>
      </c>
      <c r="G2857" t="str">
        <f>"頻度不明"</f>
        <v>頻度不明</v>
      </c>
      <c r="H2857" t="str">
        <f>"2002222280351"</f>
        <v>2002222280351</v>
      </c>
      <c r="I2857" t="str">
        <f>HYPERLINK("#", "https://opac.libnet.pref.okayama.jp/licsxp-opac/WOpacMsgNewListToTifTilDetailAction.do?tilcod=2002222280351")</f>
        <v>https://opac.libnet.pref.okayama.jp/licsxp-opac/WOpacMsgNewListToTifTilDetailAction.do?tilcod=2002222280351</v>
      </c>
    </row>
    <row r="2858" spans="1:9" x14ac:dyDescent="0.4">
      <c r="A2858" t="str">
        <f>"さんよう；岡山県山陽町議会だより"</f>
        <v>さんよう；岡山県山陽町議会だより</v>
      </c>
      <c r="B2858" s="1" t="str">
        <f t="shared" si="152"/>
        <v>さんよう；岡山県山陽町議会だより</v>
      </c>
      <c r="C2858" t="str">
        <f>"サンヨウ＊オカヤマケン　サンヨウチョウ　ギカイ　ダヨリ"</f>
        <v>サンヨウ＊オカヤマケン　サンヨウチョウ　ギカイ　ダヨリ</v>
      </c>
      <c r="D2858" t="str">
        <f>"山陽町議会広報編集委員会"</f>
        <v>山陽町議会広報編集委員会</v>
      </c>
      <c r="E2858" t="str">
        <f>"サンヨウチョウギカイコウホウヘンシュウイインカイ"</f>
        <v>サンヨウチョウギカイコウホウヘンシュウイインカイ</v>
      </c>
      <c r="F2858" t="str">
        <f>"山陽町（赤磐郡）"</f>
        <v>山陽町（赤磐郡）</v>
      </c>
      <c r="G2858" t="str">
        <f>"頻度不明"</f>
        <v>頻度不明</v>
      </c>
      <c r="H2858" t="str">
        <f>"2002222300187"</f>
        <v>2002222300187</v>
      </c>
      <c r="I2858" t="str">
        <f>HYPERLINK("#", "https://opac.libnet.pref.okayama.jp/licsxp-opac/WOpacMsgNewListToTifTilDetailAction.do?tilcod=2002222300187")</f>
        <v>https://opac.libnet.pref.okayama.jp/licsxp-opac/WOpacMsgNewListToTifTilDetailAction.do?tilcod=2002222300187</v>
      </c>
    </row>
    <row r="2859" spans="1:9" x14ac:dyDescent="0.4">
      <c r="A2859" t="str">
        <f>"山陽小ＰＴＡ新聞"</f>
        <v>山陽小ＰＴＡ新聞</v>
      </c>
      <c r="B2859" s="1" t="str">
        <f t="shared" si="152"/>
        <v>山陽小ＰＴＡ新聞</v>
      </c>
      <c r="C2859" t="str">
        <f>"サンヨウショウ　ピーティーエー　シンブン"</f>
        <v>サンヨウショウ　ピーティーエー　シンブン</v>
      </c>
      <c r="D2859" t="str">
        <f>"山陽小学校ＰＴＡ報道部"</f>
        <v>山陽小学校ＰＴＡ報道部</v>
      </c>
      <c r="E2859" t="str">
        <f>"サンヨウショウガッコウピーティーエーホウドウブ"</f>
        <v>サンヨウショウガッコウピーティーエーホウドウブ</v>
      </c>
      <c r="F2859" t="str">
        <f>"山陽町（赤磐郡）"</f>
        <v>山陽町（赤磐郡）</v>
      </c>
      <c r="G2859" t="str">
        <f>"月刊"</f>
        <v>月刊</v>
      </c>
      <c r="H2859" t="str">
        <f>"2002222301296"</f>
        <v>2002222301296</v>
      </c>
      <c r="I2859" t="str">
        <f>HYPERLINK("#", "https://opac.libnet.pref.okayama.jp/licsxp-opac/WOpacMsgNewListToTifTilDetailAction.do?tilcod=2002222301296")</f>
        <v>https://opac.libnet.pref.okayama.jp/licsxp-opac/WOpacMsgNewListToTifTilDetailAction.do?tilcod=2002222301296</v>
      </c>
    </row>
    <row r="2860" spans="1:9" x14ac:dyDescent="0.4">
      <c r="A2860" t="str">
        <f>"山陽新聞TVウイークリー"</f>
        <v>山陽新聞TVウイークリー</v>
      </c>
      <c r="B2860" s="1" t="str">
        <f t="shared" si="152"/>
        <v>山陽新聞TVウイークリー</v>
      </c>
      <c r="C2860" t="str">
        <f>"サンヨウシンブン ティーヴィー ウイークリー"</f>
        <v>サンヨウシンブン ティーヴィー ウイークリー</v>
      </c>
      <c r="D2860" t="str">
        <f>"山陽新聞事業社"</f>
        <v>山陽新聞事業社</v>
      </c>
      <c r="E2860" t="str">
        <f>"サンヨウ シンブン ジギョウシャ"</f>
        <v>サンヨウ シンブン ジギョウシャ</v>
      </c>
      <c r="F2860" t="str">
        <f>"岡山"</f>
        <v>岡山</v>
      </c>
      <c r="G2860" t="str">
        <f>"週刊"</f>
        <v>週刊</v>
      </c>
      <c r="H2860" t="str">
        <f>"2002222329227"</f>
        <v>2002222329227</v>
      </c>
      <c r="I2860" t="str">
        <f>HYPERLINK("#", "https://opac.libnet.pref.okayama.jp/licsxp-opac/WOpacMsgNewListToTifTilDetailAction.do?tilcod=2002222329227")</f>
        <v>https://opac.libnet.pref.okayama.jp/licsxp-opac/WOpacMsgNewListToTifTilDetailAction.do?tilcod=2002222329227</v>
      </c>
    </row>
    <row r="2861" spans="1:9" x14ac:dyDescent="0.4">
      <c r="A2861" t="str">
        <f>"〔山陽町公民館〕こうみんかんだより"</f>
        <v>〔山陽町公民館〕こうみんかんだより</v>
      </c>
      <c r="B2861" s="1" t="str">
        <f t="shared" si="152"/>
        <v>〔山陽町公民館〕こうみんかんだより</v>
      </c>
      <c r="C2861" t="str">
        <f>"サンヨウチョウ　コウミンカン　コウミンカン　ダヨリ"</f>
        <v>サンヨウチョウ　コウミンカン　コウミンカン　ダヨリ</v>
      </c>
      <c r="D2861" t="str">
        <f>"山陽町公民館"</f>
        <v>山陽町公民館</v>
      </c>
      <c r="E2861" t="str">
        <f>"サンヨウチョウコウミンカン"</f>
        <v>サンヨウチョウコウミンカン</v>
      </c>
      <c r="F2861" t="str">
        <f>"山陽町（赤磐郡）"</f>
        <v>山陽町（赤磐郡）</v>
      </c>
      <c r="G2861" t="str">
        <f>"頻度不明"</f>
        <v>頻度不明</v>
      </c>
      <c r="H2861" t="str">
        <f>"2002222281281"</f>
        <v>2002222281281</v>
      </c>
      <c r="I2861" t="str">
        <f>HYPERLINK("#", "https://opac.libnet.pref.okayama.jp/licsxp-opac/WOpacMsgNewListToTifTilDetailAction.do?tilcod=2002222281281")</f>
        <v>https://opac.libnet.pref.okayama.jp/licsxp-opac/WOpacMsgNewListToTifTilDetailAction.do?tilcod=2002222281281</v>
      </c>
    </row>
    <row r="2862" spans="1:9" x14ac:dyDescent="0.4">
      <c r="A2862" t="str">
        <f>"山陽町文化協力だより"</f>
        <v>山陽町文化協力だより</v>
      </c>
      <c r="B2862" s="1" t="str">
        <f t="shared" si="152"/>
        <v>山陽町文化協力だより</v>
      </c>
      <c r="C2862" t="str">
        <f>"サンヨウチョウ　ブンカ　キョウリョク　ダヨリ"</f>
        <v>サンヨウチョウ　ブンカ　キョウリョク　ダヨリ</v>
      </c>
      <c r="D2862" t="str">
        <f>"山陽町文化協会"</f>
        <v>山陽町文化協会</v>
      </c>
      <c r="E2862" t="str">
        <f>"サンヨウチョウ ブンカ キョウカイ"</f>
        <v>サンヨウチョウ ブンカ キョウカイ</v>
      </c>
      <c r="F2862" t="str">
        <f>"山陽町（赤磐郡）"</f>
        <v>山陽町（赤磐郡）</v>
      </c>
      <c r="G2862" t="str">
        <f>"頻度不明"</f>
        <v>頻度不明</v>
      </c>
      <c r="H2862" t="str">
        <f>"2002222281604"</f>
        <v>2002222281604</v>
      </c>
      <c r="I2862" t="str">
        <f>HYPERLINK("#", "https://opac.libnet.pref.okayama.jp/licsxp-opac/WOpacMsgNewListToTifTilDetailAction.do?tilcod=2002222281604")</f>
        <v>https://opac.libnet.pref.okayama.jp/licsxp-opac/WOpacMsgNewListToTifTilDetailAction.do?tilcod=2002222281604</v>
      </c>
    </row>
    <row r="2863" spans="1:9" x14ac:dyDescent="0.4">
      <c r="A2863" t="str">
        <f>"山陽町文化芸術協会だより"</f>
        <v>山陽町文化芸術協会だより</v>
      </c>
      <c r="B2863" s="1" t="str">
        <f t="shared" si="152"/>
        <v>山陽町文化芸術協会だより</v>
      </c>
      <c r="C2863" t="str">
        <f>"サンヨウチョウ　ブンカ　ゲイジュツ　キョウカイ　ダヨリ"</f>
        <v>サンヨウチョウ　ブンカ　ゲイジュツ　キョウカイ　ダヨリ</v>
      </c>
      <c r="D2863" t="str">
        <f>"山陽町文化芸術協会"</f>
        <v>山陽町文化芸術協会</v>
      </c>
      <c r="E2863" t="str">
        <f>"サンヨウチョウブンカゲイジュツキョウカイ"</f>
        <v>サンヨウチョウブンカゲイジュツキョウカイ</v>
      </c>
      <c r="F2863" t="str">
        <f>"山陽町（赤磐郡）"</f>
        <v>山陽町（赤磐郡）</v>
      </c>
      <c r="G2863" t="str">
        <f>"頻度不明"</f>
        <v>頻度不明</v>
      </c>
      <c r="H2863" t="str">
        <f>"2002222281614"</f>
        <v>2002222281614</v>
      </c>
      <c r="I2863" t="str">
        <f>HYPERLINK("#", "https://opac.libnet.pref.okayama.jp/licsxp-opac/WOpacMsgNewListToTifTilDetailAction.do?tilcod=2002222281614")</f>
        <v>https://opac.libnet.pref.okayama.jp/licsxp-opac/WOpacMsgNewListToTifTilDetailAction.do?tilcod=2002222281614</v>
      </c>
    </row>
    <row r="2864" spans="1:9" x14ac:dyDescent="0.4">
      <c r="A2864" t="str">
        <f>"山林"</f>
        <v>山林</v>
      </c>
      <c r="B2864" s="1" t="str">
        <f t="shared" si="152"/>
        <v>山林</v>
      </c>
      <c r="C2864" t="str">
        <f>"サンリン"</f>
        <v>サンリン</v>
      </c>
      <c r="D2864" t="str">
        <f>"橄欖美作支部"</f>
        <v>橄欖美作支部</v>
      </c>
      <c r="E2864" t="str">
        <f>"カンランミマサカシブ"</f>
        <v>カンランミマサカシブ</v>
      </c>
      <c r="F2864" t="str">
        <f>""</f>
        <v/>
      </c>
      <c r="G2864" t="str">
        <f>"頻度不明"</f>
        <v>頻度不明</v>
      </c>
      <c r="H2864" t="str">
        <f>"2002222281723"</f>
        <v>2002222281723</v>
      </c>
      <c r="I2864" t="str">
        <f>HYPERLINK("#", "https://opac.libnet.pref.okayama.jp/licsxp-opac/WOpacMsgNewListToTifTilDetailAction.do?tilcod=2002222281723")</f>
        <v>https://opac.libnet.pref.okayama.jp/licsxp-opac/WOpacMsgNewListToTifTilDetailAction.do?tilcod=2002222281723</v>
      </c>
    </row>
    <row r="2865" spans="1:9" x14ac:dyDescent="0.4">
      <c r="A2865" t="str">
        <f>"山麓のこだま"</f>
        <v>山麓のこだま</v>
      </c>
      <c r="B2865" s="1" t="str">
        <f t="shared" si="152"/>
        <v>山麓のこだま</v>
      </c>
      <c r="C2865" t="str">
        <f>"サンロク　ノ　コダマ"</f>
        <v>サンロク　ノ　コダマ</v>
      </c>
      <c r="D2865" t="str">
        <f>"岡山県真庭郡中和村津黒高原"</f>
        <v>岡山県真庭郡中和村津黒高原</v>
      </c>
      <c r="E2865" t="str">
        <f>"オカヤマケンマニワグンチュウカソンツグロコウゲン"</f>
        <v>オカヤマケンマニワグンチュウカソンツグロコウゲン</v>
      </c>
      <c r="F2865" t="str">
        <f>"中和村（真庭郡）"</f>
        <v>中和村（真庭郡）</v>
      </c>
      <c r="G2865" t="str">
        <f>"年刊"</f>
        <v>年刊</v>
      </c>
      <c r="H2865" t="str">
        <f>"2002222281733"</f>
        <v>2002222281733</v>
      </c>
      <c r="I2865" t="str">
        <f>HYPERLINK("#", "https://opac.libnet.pref.okayama.jp/licsxp-opac/WOpacMsgNewListToTifTilDetailAction.do?tilcod=2002222281733")</f>
        <v>https://opac.libnet.pref.okayama.jp/licsxp-opac/WOpacMsgNewListToTifTilDetailAction.do?tilcod=2002222281733</v>
      </c>
    </row>
    <row r="2866" spans="1:9" x14ac:dyDescent="0.4">
      <c r="A2866" t="str">
        <f>"しあわせ；医療・福祉・教育・文化情報誌"</f>
        <v>しあわせ；医療・福祉・教育・文化情報誌</v>
      </c>
      <c r="B2866" s="1" t="str">
        <f t="shared" si="152"/>
        <v>しあわせ；医療・福祉・教育・文化情報誌</v>
      </c>
      <c r="C2866" t="str">
        <f>"シアワセ＊イリョウ フクシ キョウイク ブンカ ジョウホウシ"</f>
        <v>シアワセ＊イリョウ フクシ キョウイク ブンカ ジョウホウシ</v>
      </c>
      <c r="D2866" t="str">
        <f>"セイキ"</f>
        <v>セイキ</v>
      </c>
      <c r="E2866" t="str">
        <f>"セイキ"</f>
        <v>セイキ</v>
      </c>
      <c r="F2866" t="str">
        <f>"岡山"</f>
        <v>岡山</v>
      </c>
      <c r="G2866" t="str">
        <f>"不定期刊"</f>
        <v>不定期刊</v>
      </c>
      <c r="H2866" t="str">
        <f>"2002222316707"</f>
        <v>2002222316707</v>
      </c>
      <c r="I2866" t="str">
        <f>HYPERLINK("#", "https://opac.libnet.pref.okayama.jp/licsxp-opac/WOpacMsgNewListToTifTilDetailAction.do?tilcod=2002222316707")</f>
        <v>https://opac.libnet.pref.okayama.jp/licsxp-opac/WOpacMsgNewListToTifTilDetailAction.do?tilcod=2002222316707</v>
      </c>
    </row>
    <row r="2867" spans="1:9" x14ac:dyDescent="0.4">
      <c r="A2867" t="str">
        <f>"Sea &amp; Sea"</f>
        <v>Sea &amp; Sea</v>
      </c>
      <c r="B2867" s="1" t="str">
        <f t="shared" si="152"/>
        <v>Sea &amp; Sea</v>
      </c>
      <c r="C2867" t="str">
        <f>"シー アンド シー"</f>
        <v>シー アンド シー</v>
      </c>
      <c r="D2867" t="str">
        <f>"S&amp;S協議会"</f>
        <v>S&amp;S協議会</v>
      </c>
      <c r="E2867" t="str">
        <f>"シー アンド シー キョウギカイ"</f>
        <v>シー アンド シー キョウギカイ</v>
      </c>
      <c r="F2867" t="str">
        <f>"倉敷"</f>
        <v>倉敷</v>
      </c>
      <c r="G2867" t="str">
        <f>"月刊"</f>
        <v>月刊</v>
      </c>
      <c r="H2867" t="str">
        <f>"2002222335008"</f>
        <v>2002222335008</v>
      </c>
      <c r="I2867" t="str">
        <f>HYPERLINK("#", "https://opac.libnet.pref.okayama.jp/licsxp-opac/WOpacMsgNewListToTifTilDetailAction.do?tilcod=2002222335008")</f>
        <v>https://opac.libnet.pref.okayama.jp/licsxp-opac/WOpacMsgNewListToTifTilDetailAction.do?tilcod=2002222335008</v>
      </c>
    </row>
    <row r="2868" spans="1:9" x14ac:dyDescent="0.4">
      <c r="A2868" t="str">
        <f>"椎の木；足守藩侍屋敷だより"</f>
        <v>椎の木；足守藩侍屋敷だより</v>
      </c>
      <c r="B2868" s="1" t="str">
        <f t="shared" si="152"/>
        <v>椎の木；足守藩侍屋敷だより</v>
      </c>
      <c r="C2868" t="str">
        <f>"シイ　ノ　キ＊アシモリハン　サムライヤシキ　ダヨリ"</f>
        <v>シイ　ノ　キ＊アシモリハン　サムライヤシキ　ダヨリ</v>
      </c>
      <c r="D2868" t="str">
        <f>"旧足守藩侍屋敷遺構"</f>
        <v>旧足守藩侍屋敷遺構</v>
      </c>
      <c r="E2868" t="str">
        <f>"キュウアシモリハンサムライヤシキイコウ"</f>
        <v>キュウアシモリハンサムライヤシキイコウ</v>
      </c>
      <c r="F2868" t="str">
        <f t="shared" ref="F2868:F2874" si="154">"岡山"</f>
        <v>岡山</v>
      </c>
      <c r="G2868" t="str">
        <f>"月刊"</f>
        <v>月刊</v>
      </c>
      <c r="H2868" t="str">
        <f>"2002222302130"</f>
        <v>2002222302130</v>
      </c>
      <c r="I2868" t="str">
        <f>HYPERLINK("#", "https://opac.libnet.pref.okayama.jp/licsxp-opac/WOpacMsgNewListToTifTilDetailAction.do?tilcod=2002222302130")</f>
        <v>https://opac.libnet.pref.okayama.jp/licsxp-opac/WOpacMsgNewListToTifTilDetailAction.do?tilcod=2002222302130</v>
      </c>
    </row>
    <row r="2869" spans="1:9" x14ac:dyDescent="0.4">
      <c r="A2869" t="str">
        <f>"ＣＩｎｅｗｓ"</f>
        <v>ＣＩｎｅｗｓ</v>
      </c>
      <c r="B2869" s="1" t="str">
        <f t="shared" si="152"/>
        <v>ＣＩｎｅｗｓ</v>
      </c>
      <c r="C2869" t="str">
        <f>"シーアイ　ニュース"</f>
        <v>シーアイ　ニュース</v>
      </c>
      <c r="D2869" t="str">
        <f>"岡山県ＣＩ推進本部"</f>
        <v>岡山県ＣＩ推進本部</v>
      </c>
      <c r="E2869" t="str">
        <f>"オカヤマケンシーアイスイシンホンブ"</f>
        <v>オカヤマケンシーアイスイシンホンブ</v>
      </c>
      <c r="F2869" t="str">
        <f t="shared" si="154"/>
        <v>岡山</v>
      </c>
      <c r="G2869" t="str">
        <f>"不定期刊"</f>
        <v>不定期刊</v>
      </c>
      <c r="H2869" t="str">
        <f>"2002222291411"</f>
        <v>2002222291411</v>
      </c>
      <c r="I2869" t="str">
        <f>HYPERLINK("#", "https://opac.libnet.pref.okayama.jp/licsxp-opac/WOpacMsgNewListToTifTilDetailAction.do?tilcod=2002222291411")</f>
        <v>https://opac.libnet.pref.okayama.jp/licsxp-opac/WOpacMsgNewListToTifTilDetailAction.do?tilcod=2002222291411</v>
      </c>
    </row>
    <row r="2870" spans="1:9" x14ac:dyDescent="0.4">
      <c r="A2870" t="str">
        <f>"ＧＪ（ジージェー）；Ｇｏｌｆ　Ｊｏｈｏ（ゴルフジョウホウ）"</f>
        <v>ＧＪ（ジージェー）；Ｇｏｌｆ　Ｊｏｈｏ（ゴルフジョウホウ）</v>
      </c>
      <c r="B2870" s="1" t="str">
        <f t="shared" si="152"/>
        <v>ＧＪ（ジージェー）；Ｇｏｌｆ　Ｊｏｈｏ（ゴルフジョウホウ）</v>
      </c>
      <c r="C2870" t="str">
        <f>"ジージェー＊ゴルフ　ジョウホウ"</f>
        <v>ジージェー＊ゴルフ　ジョウホウ</v>
      </c>
      <c r="D2870" t="str">
        <f>"アイエスピー出版"</f>
        <v>アイエスピー出版</v>
      </c>
      <c r="E2870" t="str">
        <f>"アイエスピーシュッパン"</f>
        <v>アイエスピーシュッパン</v>
      </c>
      <c r="F2870" t="str">
        <f t="shared" si="154"/>
        <v>岡山</v>
      </c>
      <c r="G2870" t="str">
        <f>"隔月刊"</f>
        <v>隔月刊</v>
      </c>
      <c r="H2870" t="str">
        <f>"2002222302086"</f>
        <v>2002222302086</v>
      </c>
      <c r="I2870" t="str">
        <f>HYPERLINK("#", "https://opac.libnet.pref.okayama.jp/licsxp-opac/WOpacMsgNewListToTifTilDetailAction.do?tilcod=2002222302086")</f>
        <v>https://opac.libnet.pref.okayama.jp/licsxp-opac/WOpacMsgNewListToTifTilDetailAction.do?tilcod=2002222302086</v>
      </c>
    </row>
    <row r="2871" spans="1:9" x14ac:dyDescent="0.4">
      <c r="A2871" t="str">
        <f>"ＳＨＥＥＴＳ　ＯＦ　ＭＵＳＩＣ（シーツオブミュージック）"</f>
        <v>ＳＨＥＥＴＳ　ＯＦ　ＭＵＳＩＣ（シーツオブミュージック）</v>
      </c>
      <c r="B2871" s="1" t="str">
        <f t="shared" si="152"/>
        <v>ＳＨＥＥＴＳ　ＯＦ　ＭＵＳＩＣ（シーツオブミュージック）</v>
      </c>
      <c r="C2871" t="str">
        <f>"シーツ　オブ　ミュージック"</f>
        <v>シーツ　オブ　ミュージック</v>
      </c>
      <c r="D2871" t="str">
        <f>"表町生活向上委員会"</f>
        <v>表町生活向上委員会</v>
      </c>
      <c r="E2871" t="str">
        <f>"オモテチョウセイカツコウジョウイインカイ"</f>
        <v>オモテチョウセイカツコウジョウイインカイ</v>
      </c>
      <c r="F2871" t="str">
        <f t="shared" si="154"/>
        <v>岡山</v>
      </c>
      <c r="G2871" t="str">
        <f>"隔月刊"</f>
        <v>隔月刊</v>
      </c>
      <c r="H2871" t="str">
        <f>"2002222281564"</f>
        <v>2002222281564</v>
      </c>
      <c r="I2871" t="str">
        <f>HYPERLINK("#", "https://opac.libnet.pref.okayama.jp/licsxp-opac/WOpacMsgNewListToTifTilDetailAction.do?tilcod=2002222281564")</f>
        <v>https://opac.libnet.pref.okayama.jp/licsxp-opac/WOpacMsgNewListToTifTilDetailAction.do?tilcod=2002222281564</v>
      </c>
    </row>
    <row r="2872" spans="1:9" x14ac:dyDescent="0.4">
      <c r="A2872" t="str">
        <f>"ＪＨＣＡ　ＯＫＡＹＡＭＡ"</f>
        <v>ＪＨＣＡ　ＯＫＡＹＡＭＡ</v>
      </c>
      <c r="B2872" s="1" t="str">
        <f t="shared" si="152"/>
        <v>ＪＨＣＡ　ＯＫＡＹＡＭＡ</v>
      </c>
      <c r="C2872" t="str">
        <f>"ジェイ　エイチ　シー　エー　オカヤマ"</f>
        <v>ジェイ　エイチ　シー　エー　オカヤマ</v>
      </c>
      <c r="D2872" t="str">
        <f>"日本ヘアカラー協会岡山支部"</f>
        <v>日本ヘアカラー協会岡山支部</v>
      </c>
      <c r="E2872" t="str">
        <f>"ニホンヘアカラーキョウカイオカヤマシブ"</f>
        <v>ニホンヘアカラーキョウカイオカヤマシブ</v>
      </c>
      <c r="F2872" t="str">
        <f t="shared" si="154"/>
        <v>岡山</v>
      </c>
      <c r="G2872" t="str">
        <f>"頻度不明"</f>
        <v>頻度不明</v>
      </c>
      <c r="H2872" t="str">
        <f>"2002222302420"</f>
        <v>2002222302420</v>
      </c>
      <c r="I2872" t="str">
        <f>HYPERLINK("#", "https://opac.libnet.pref.okayama.jp/licsxp-opac/WOpacMsgNewListToTifTilDetailAction.do?tilcod=2002222302420")</f>
        <v>https://opac.libnet.pref.okayama.jp/licsxp-opac/WOpacMsgNewListToTifTilDetailAction.do?tilcod=2002222302420</v>
      </c>
    </row>
    <row r="2873" spans="1:9" x14ac:dyDescent="0.4">
      <c r="A2873" t="str">
        <f>"ＪＡ　ＯＫＡＹＡＭＡ　ＩＣＨＩＮＯＭＩＹＡ　ＮＥＷＳ（ジェイエーオカヤマイチノミヤニュース）：岡山一宮農協広報誌：ＪＡ岡山一宮だより"</f>
        <v>ＪＡ　ＯＫＡＹＡＭＡ　ＩＣＨＩＮＯＭＩＹＡ　ＮＥＷＳ（ジェイエーオカヤマイチノミヤニュース）：岡山一宮農協広報誌：ＪＡ岡山一宮だより</v>
      </c>
      <c r="B2873" s="1" t="str">
        <f t="shared" si="152"/>
        <v>ＪＡ　ＯＫＡＹＡＭＡ　ＩＣＨＩＮＯＭＩＹＡ　ＮＥＷＳ（ジェイエーオカヤマイチノミヤニュース）：岡山一宮農協広報誌：ＪＡ岡山一宮だより</v>
      </c>
      <c r="C2873" t="str">
        <f>"ジェイエー　オカヤマ　イチノミヤ　ニュース＊オカヤマ　イチノミヤ　ノウキョウ　コウホウシ＊ジェイエー　オカヤマ　イチノミヤ　ダヨリ"</f>
        <v>ジェイエー　オカヤマ　イチノミヤ　ニュース＊オカヤマ　イチノミヤ　ノウキョウ　コウホウシ＊ジェイエー　オカヤマ　イチノミヤ　ダヨリ</v>
      </c>
      <c r="D2873" t="str">
        <f>"ＪＡ岡山一宮"</f>
        <v>ＪＡ岡山一宮</v>
      </c>
      <c r="E2873" t="str">
        <f>"ジェイエーオカヤマイチノミヤ"</f>
        <v>ジェイエーオカヤマイチノミヤ</v>
      </c>
      <c r="F2873" t="str">
        <f t="shared" si="154"/>
        <v>岡山</v>
      </c>
      <c r="G2873" t="str">
        <f>"月刊"</f>
        <v>月刊</v>
      </c>
      <c r="H2873" t="str">
        <f>"2002222280404"</f>
        <v>2002222280404</v>
      </c>
      <c r="I2873" t="str">
        <f>HYPERLINK("#", "https://opac.libnet.pref.okayama.jp/licsxp-opac/WOpacMsgNewListToTifTilDetailAction.do?tilcod=2002222280404")</f>
        <v>https://opac.libnet.pref.okayama.jp/licsxp-opac/WOpacMsgNewListToTifTilDetailAction.do?tilcod=2002222280404</v>
      </c>
    </row>
    <row r="2874" spans="1:9" x14ac:dyDescent="0.4">
      <c r="A2874" t="str">
        <f>"JA岡山東"</f>
        <v>JA岡山東</v>
      </c>
      <c r="B2874" s="1" t="str">
        <f t="shared" si="152"/>
        <v>JA岡山東</v>
      </c>
      <c r="C2874" t="str">
        <f>"ジェイエー オカヤマ ヒガシ"</f>
        <v>ジェイエー オカヤマ ヒガシ</v>
      </c>
      <c r="D2874" t="str">
        <f>"岡山東農業協同組合"</f>
        <v>岡山東農業協同組合</v>
      </c>
      <c r="E2874" t="str">
        <f>"オカヤマ ヒガシ ノウギョウ キョウドウ クミアイ"</f>
        <v>オカヤマ ヒガシ ノウギョウ キョウドウ クミアイ</v>
      </c>
      <c r="F2874" t="str">
        <f t="shared" si="154"/>
        <v>岡山</v>
      </c>
      <c r="G2874" t="str">
        <f>"月刊"</f>
        <v>月刊</v>
      </c>
      <c r="H2874" t="str">
        <f>"2002222334527"</f>
        <v>2002222334527</v>
      </c>
      <c r="I2874" t="str">
        <f>HYPERLINK("#", "https://opac.libnet.pref.okayama.jp/licsxp-opac/WOpacMsgNewListToTifTilDetailAction.do?tilcod=2002222334527")</f>
        <v>https://opac.libnet.pref.okayama.jp/licsxp-opac/WOpacMsgNewListToTifTilDetailAction.do?tilcod=2002222334527</v>
      </c>
    </row>
    <row r="2875" spans="1:9" x14ac:dyDescent="0.4">
      <c r="A2875" t="str">
        <f>"JIBP-PF児島湖群集生産研究経過報告"</f>
        <v>JIBP-PF児島湖群集生産研究経過報告</v>
      </c>
      <c r="B2875" s="1" t="str">
        <f t="shared" si="152"/>
        <v>JIBP-PF児島湖群集生産研究経過報告</v>
      </c>
      <c r="C2875" t="str">
        <f>"ジェーアイビーピー ピーエフ コジマコ グンシュウ セイサン ケンキュウ ケイカ ホウコク"</f>
        <v>ジェーアイビーピー ピーエフ コジマコ グンシュウ セイサン ケンキュウ ケイカ ホウコク</v>
      </c>
      <c r="D2875" t="str">
        <f>"JPF児島湖研究グループ"</f>
        <v>JPF児島湖研究グループ</v>
      </c>
      <c r="E2875" t="str">
        <f>"ジェーピーエフ コジマコ ケンキュウ グループ"</f>
        <v>ジェーピーエフ コジマコ ケンキュウ グループ</v>
      </c>
      <c r="F2875" t="str">
        <f>"松山"</f>
        <v>松山</v>
      </c>
      <c r="G2875" t="str">
        <f>"年刊"</f>
        <v>年刊</v>
      </c>
      <c r="H2875" t="str">
        <f>"2002222322706"</f>
        <v>2002222322706</v>
      </c>
      <c r="I2875" t="str">
        <f>HYPERLINK("#", "https://opac.libnet.pref.okayama.jp/licsxp-opac/WOpacMsgNewListToTifTilDetailAction.do?tilcod=2002222322706")</f>
        <v>https://opac.libnet.pref.okayama.jp/licsxp-opac/WOpacMsgNewListToTifTilDetailAction.do?tilcod=2002222322706</v>
      </c>
    </row>
    <row r="2876" spans="1:9" x14ac:dyDescent="0.4">
      <c r="A2876" t="str">
        <f>"JA岡山；JA岡山だより"</f>
        <v>JA岡山；JA岡山だより</v>
      </c>
      <c r="B2876" s="1" t="str">
        <f t="shared" si="152"/>
        <v>JA岡山；JA岡山だより</v>
      </c>
      <c r="C2876" t="str">
        <f>"ジェーエー オカヤマ ジェーエー オカヤマ ダヨリ"</f>
        <v>ジェーエー オカヤマ ジェーエー オカヤマ ダヨリ</v>
      </c>
      <c r="D2876" t="str">
        <f>"JA岡山"</f>
        <v>JA岡山</v>
      </c>
      <c r="E2876" t="str">
        <f>"ジェーエー オカヤマ"</f>
        <v>ジェーエー オカヤマ</v>
      </c>
      <c r="F2876" t="str">
        <f>"岡山"</f>
        <v>岡山</v>
      </c>
      <c r="G2876" t="str">
        <f>"頻度不明"</f>
        <v>頻度不明</v>
      </c>
      <c r="H2876" t="str">
        <f>"2002222307608"</f>
        <v>2002222307608</v>
      </c>
      <c r="I2876" t="str">
        <f>HYPERLINK("#", "https://opac.libnet.pref.okayama.jp/licsxp-opac/WOpacMsgNewListToTifTilDetailAction.do?tilcod=2002222307608")</f>
        <v>https://opac.libnet.pref.okayama.jp/licsxp-opac/WOpacMsgNewListToTifTilDetailAction.do?tilcod=2002222307608</v>
      </c>
    </row>
    <row r="2877" spans="1:9" x14ac:dyDescent="0.4">
      <c r="A2877" t="str">
        <f>"ＪＡ速報岡山ふれあい"</f>
        <v>ＪＡ速報岡山ふれあい</v>
      </c>
      <c r="B2877" s="1" t="str">
        <f t="shared" si="152"/>
        <v>ＪＡ速報岡山ふれあい</v>
      </c>
      <c r="C2877" t="str">
        <f>"ジェーエー　ソクホウ　オカヤマ　フレアイ"</f>
        <v>ジェーエー　ソクホウ　オカヤマ　フレアイ</v>
      </c>
      <c r="D2877" t="str">
        <f>"岡山県農業協同組合中央会"</f>
        <v>岡山県農業協同組合中央会</v>
      </c>
      <c r="E2877" t="str">
        <f>"オカヤマケン ノウギョウ キョウドウ クミアイ チュウオウカイ"</f>
        <v>オカヤマケン ノウギョウ キョウドウ クミアイ チュウオウカイ</v>
      </c>
      <c r="F2877" t="str">
        <f>"岡山"</f>
        <v>岡山</v>
      </c>
      <c r="G2877" t="str">
        <f>"月２回刊"</f>
        <v>月２回刊</v>
      </c>
      <c r="H2877" t="str">
        <f>"2002222292801"</f>
        <v>2002222292801</v>
      </c>
      <c r="I2877" t="str">
        <f>HYPERLINK("#", "https://opac.libnet.pref.okayama.jp/licsxp-opac/WOpacMsgNewListToTifTilDetailAction.do?tilcod=2002222292801")</f>
        <v>https://opac.libnet.pref.okayama.jp/licsxp-opac/WOpacMsgNewListToTifTilDetailAction.do?tilcod=2002222292801</v>
      </c>
    </row>
    <row r="2878" spans="1:9" x14ac:dyDescent="0.4">
      <c r="A2878" t="str">
        <f>"ＪＡネットおかやま"</f>
        <v>ＪＡネットおかやま</v>
      </c>
      <c r="B2878" s="1" t="str">
        <f t="shared" si="152"/>
        <v>ＪＡネットおかやま</v>
      </c>
      <c r="C2878" t="str">
        <f>"ジェーエー　ネット　オカヤマ"</f>
        <v>ジェーエー　ネット　オカヤマ</v>
      </c>
      <c r="D2878" t="str">
        <f>"岡山県農業協同組合中央会"</f>
        <v>岡山県農業協同組合中央会</v>
      </c>
      <c r="E2878" t="str">
        <f>"オカヤマケン ノウギョウ キョウドウ クミアイ チュウオウカイ"</f>
        <v>オカヤマケン ノウギョウ キョウドウ クミアイ チュウオウカイ</v>
      </c>
      <c r="F2878" t="str">
        <f>"岡山"</f>
        <v>岡山</v>
      </c>
      <c r="G2878" t="str">
        <f>"月刊"</f>
        <v>月刊</v>
      </c>
      <c r="H2878" t="str">
        <f>"2002222294001"</f>
        <v>2002222294001</v>
      </c>
      <c r="I2878" t="str">
        <f>HYPERLINK("#", "https://opac.libnet.pref.okayama.jp/licsxp-opac/WOpacMsgNewListToTifTilDetailAction.do?tilcod=2002222294001")</f>
        <v>https://opac.libnet.pref.okayama.jp/licsxp-opac/WOpacMsgNewListToTifTilDetailAction.do?tilcod=2002222294001</v>
      </c>
    </row>
    <row r="2879" spans="1:9" x14ac:dyDescent="0.4">
      <c r="A2879" t="str">
        <f>"ＪＣ　ＰＲＥＳＳ（ジェーシープレス）；暖流"</f>
        <v>ＪＣ　ＰＲＥＳＳ（ジェーシープレス）；暖流</v>
      </c>
      <c r="B2879" s="1" t="str">
        <f t="shared" si="152"/>
        <v>ＪＣ　ＰＲＥＳＳ（ジェーシープレス）；暖流</v>
      </c>
      <c r="C2879" t="str">
        <f>"ジェーシー　プレス＊ダンリュウ"</f>
        <v>ジェーシー　プレス＊ダンリュウ</v>
      </c>
      <c r="D2879" t="str">
        <f>"岡山青年会議所"</f>
        <v>岡山青年会議所</v>
      </c>
      <c r="E2879" t="str">
        <f>"オカヤマ セイネン カイギショ"</f>
        <v>オカヤマ セイネン カイギショ</v>
      </c>
      <c r="F2879" t="str">
        <f>"岡山"</f>
        <v>岡山</v>
      </c>
      <c r="G2879" t="str">
        <f>"頻度不明"</f>
        <v>頻度不明</v>
      </c>
      <c r="H2879" t="str">
        <f>"2002222300234"</f>
        <v>2002222300234</v>
      </c>
      <c r="I2879" t="str">
        <f>HYPERLINK("#", "https://opac.libnet.pref.okayama.jp/licsxp-opac/WOpacMsgNewListToTifTilDetailAction.do?tilcod=2002222300234")</f>
        <v>https://opac.libnet.pref.okayama.jp/licsxp-opac/WOpacMsgNewListToTifTilDetailAction.do?tilcod=2002222300234</v>
      </c>
    </row>
    <row r="2880" spans="1:9" x14ac:dyDescent="0.4">
      <c r="A2880" t="str">
        <f>"しおかぜ"</f>
        <v>しおかぜ</v>
      </c>
      <c r="B2880" s="1" t="str">
        <f t="shared" si="152"/>
        <v>しおかぜ</v>
      </c>
      <c r="C2880" t="str">
        <f>"シオカゼ"</f>
        <v>シオカゼ</v>
      </c>
      <c r="D2880" t="str">
        <f>"岡山赤十字病院玉野分院"</f>
        <v>岡山赤十字病院玉野分院</v>
      </c>
      <c r="E2880" t="str">
        <f>"オカヤマセキジュウジビョウインタマノブンイン"</f>
        <v>オカヤマセキジュウジビョウインタマノブンイン</v>
      </c>
      <c r="F2880" t="str">
        <f>"玉野"</f>
        <v>玉野</v>
      </c>
      <c r="G2880" t="str">
        <f>"年２回刊"</f>
        <v>年２回刊</v>
      </c>
      <c r="H2880" t="str">
        <f>"2002222301868"</f>
        <v>2002222301868</v>
      </c>
      <c r="I2880" t="str">
        <f>HYPERLINK("#", "https://opac.libnet.pref.okayama.jp/licsxp-opac/WOpacMsgNewListToTifTilDetailAction.do?tilcod=2002222301868")</f>
        <v>https://opac.libnet.pref.okayama.jp/licsxp-opac/WOpacMsgNewListToTifTilDetailAction.do?tilcod=2002222301868</v>
      </c>
    </row>
    <row r="2881" spans="1:9" x14ac:dyDescent="0.4">
      <c r="A2881" t="str">
        <f>"しほかぜ"</f>
        <v>しほかぜ</v>
      </c>
      <c r="B2881" s="1" t="str">
        <f t="shared" si="152"/>
        <v>しほかぜ</v>
      </c>
      <c r="C2881" t="str">
        <f>"シオカゼ"</f>
        <v>シオカゼ</v>
      </c>
      <c r="D2881" t="str">
        <f>"味野尋常高等小学校"</f>
        <v>味野尋常高等小学校</v>
      </c>
      <c r="E2881" t="str">
        <f>"アジノジンジョウコウトウショウガッコウ"</f>
        <v>アジノジンジョウコウトウショウガッコウ</v>
      </c>
      <c r="F2881" t="str">
        <f>"味野町(児島郡)"</f>
        <v>味野町(児島郡)</v>
      </c>
      <c r="G2881" t="str">
        <f>"頻度不明"</f>
        <v>頻度不明</v>
      </c>
      <c r="H2881" t="str">
        <f>"2002222322647"</f>
        <v>2002222322647</v>
      </c>
      <c r="I2881" t="str">
        <f>HYPERLINK("#", "https://opac.libnet.pref.okayama.jp/licsxp-opac/WOpacMsgNewListToTifTilDetailAction.do?tilcod=2002222322647")</f>
        <v>https://opac.libnet.pref.okayama.jp/licsxp-opac/WOpacMsgNewListToTifTilDetailAction.do?tilcod=2002222322647</v>
      </c>
    </row>
    <row r="2882" spans="1:9" x14ac:dyDescent="0.4">
      <c r="A2882" t="str">
        <f>"潮風通信"</f>
        <v>潮風通信</v>
      </c>
      <c r="B2882" s="1" t="str">
        <f t="shared" si="152"/>
        <v>潮風通信</v>
      </c>
      <c r="C2882" t="str">
        <f>"シオカゼ　ツウシン"</f>
        <v>シオカゼ　ツウシン</v>
      </c>
      <c r="D2882" t="str">
        <f>"岡山赤十字病院玉野分院"</f>
        <v>岡山赤十字病院玉野分院</v>
      </c>
      <c r="E2882" t="str">
        <f>"オカヤマセキジュウジビョウインタマノブンイン"</f>
        <v>オカヤマセキジュウジビョウインタマノブンイン</v>
      </c>
      <c r="F2882" t="str">
        <f>"玉野"</f>
        <v>玉野</v>
      </c>
      <c r="G2882" t="str">
        <f>"季刊"</f>
        <v>季刊</v>
      </c>
      <c r="H2882" t="str">
        <f>"2002222302400"</f>
        <v>2002222302400</v>
      </c>
      <c r="I2882" t="str">
        <f>HYPERLINK("#", "https://opac.libnet.pref.okayama.jp/licsxp-opac/WOpacMsgNewListToTifTilDetailAction.do?tilcod=2002222302400")</f>
        <v>https://opac.libnet.pref.okayama.jp/licsxp-opac/WOpacMsgNewListToTifTilDetailAction.do?tilcod=2002222302400</v>
      </c>
    </row>
    <row r="2883" spans="1:9" x14ac:dyDescent="0.4">
      <c r="A2883" t="str">
        <f>"志ほかぜ（文集）"</f>
        <v>志ほかぜ（文集）</v>
      </c>
      <c r="B2883" s="1" t="str">
        <f t="shared" si="152"/>
        <v>志ほかぜ（文集）</v>
      </c>
      <c r="C2883" t="str">
        <f>"シオカゼ　ブンシュウ"</f>
        <v>シオカゼ　ブンシュウ</v>
      </c>
      <c r="D2883" t="str">
        <f>"味野尋常高等小学校"</f>
        <v>味野尋常高等小学校</v>
      </c>
      <c r="E2883" t="str">
        <f>"アジノジンジョウコウトウショウガッコウ"</f>
        <v>アジノジンジョウコウトウショウガッコウ</v>
      </c>
      <c r="F2883" t="str">
        <f>""</f>
        <v/>
      </c>
      <c r="G2883" t="str">
        <f>"頻度不明"</f>
        <v>頻度不明</v>
      </c>
      <c r="H2883" t="str">
        <f>"2002222287003"</f>
        <v>2002222287003</v>
      </c>
      <c r="I2883" t="str">
        <f>HYPERLINK("#", "https://opac.libnet.pref.okayama.jp/licsxp-opac/WOpacMsgNewListToTifTilDetailAction.do?tilcod=2002222287003")</f>
        <v>https://opac.libnet.pref.okayama.jp/licsxp-opac/WOpacMsgNewListToTifTilDetailAction.do?tilcod=2002222287003</v>
      </c>
    </row>
    <row r="2884" spans="1:9" x14ac:dyDescent="0.4">
      <c r="A2884" t="str">
        <f>"しおかぜ；光南台公民館だより"</f>
        <v>しおかぜ；光南台公民館だより</v>
      </c>
      <c r="B2884" s="1" t="str">
        <f t="shared" ref="B2884:B2947" si="155">HYPERLINK("#", A2884)</f>
        <v>しおかぜ；光南台公民館だより</v>
      </c>
      <c r="C2884" t="str">
        <f>"シオカゼ＊コウナンダイ コウミンカン ダヨリ"</f>
        <v>シオカゼ＊コウナンダイ コウミンカン ダヨリ</v>
      </c>
      <c r="D2884" t="str">
        <f>"岡山市立光南台公民館"</f>
        <v>岡山市立光南台公民館</v>
      </c>
      <c r="E2884" t="str">
        <f>"オカヤマシリツ コウナンダイ コウミンカン"</f>
        <v>オカヤマシリツ コウナンダイ コウミンカン</v>
      </c>
      <c r="F2884" t="str">
        <f>"岡山"</f>
        <v>岡山</v>
      </c>
      <c r="G2884" t="str">
        <f>"月刊"</f>
        <v>月刊</v>
      </c>
      <c r="H2884" t="str">
        <f>"2002222341233"</f>
        <v>2002222341233</v>
      </c>
      <c r="I2884" t="str">
        <f>HYPERLINK("#", "https://opac.libnet.pref.okayama.jp/licsxp-opac/WOpacMsgNewListToTifTilDetailAction.do?tilcod=2002222341233")</f>
        <v>https://opac.libnet.pref.okayama.jp/licsxp-opac/WOpacMsgNewListToTifTilDetailAction.do?tilcod=2002222341233</v>
      </c>
    </row>
    <row r="2885" spans="1:9" x14ac:dyDescent="0.4">
      <c r="A2885" t="str">
        <f>"志保佐為(複製)"</f>
        <v>志保佐為(複製)</v>
      </c>
      <c r="B2885" s="1" t="str">
        <f t="shared" si="155"/>
        <v>志保佐為(複製)</v>
      </c>
      <c r="C2885" t="str">
        <f>"シオサイ"</f>
        <v>シオサイ</v>
      </c>
      <c r="D2885" t="str">
        <f>"操風短歌会"</f>
        <v>操風短歌会</v>
      </c>
      <c r="E2885" t="str">
        <f>"ソウフウ タンカカイ"</f>
        <v>ソウフウ タンカカイ</v>
      </c>
      <c r="F2885" t="str">
        <f>""</f>
        <v/>
      </c>
      <c r="G2885" t="str">
        <f>"頻度不明"</f>
        <v>頻度不明</v>
      </c>
      <c r="H2885" t="str">
        <f>"2002222287013"</f>
        <v>2002222287013</v>
      </c>
      <c r="I2885" t="str">
        <f>HYPERLINK("#", "https://opac.libnet.pref.okayama.jp/licsxp-opac/WOpacMsgNewListToTifTilDetailAction.do?tilcod=2002222287013")</f>
        <v>https://opac.libnet.pref.okayama.jp/licsxp-opac/WOpacMsgNewListToTifTilDetailAction.do?tilcod=2002222287013</v>
      </c>
    </row>
    <row r="2886" spans="1:9" x14ac:dyDescent="0.4">
      <c r="A2886" t="str">
        <f>"栞（しおり）"</f>
        <v>栞（しおり）</v>
      </c>
      <c r="B2886" s="1" t="str">
        <f t="shared" si="155"/>
        <v>栞（しおり）</v>
      </c>
      <c r="C2886" t="str">
        <f>"シオリ"</f>
        <v>シオリ</v>
      </c>
      <c r="D2886" t="str">
        <f>"岡山市立岡山工業高等学校図書課"</f>
        <v>岡山市立岡山工業高等学校図書課</v>
      </c>
      <c r="E2886" t="str">
        <f>"オカヤマシリツオカヤマコウギョウコウトウガッコウトショカ"</f>
        <v>オカヤマシリツオカヤマコウギョウコウトウガッコウトショカ</v>
      </c>
      <c r="F2886" t="str">
        <f>"岡山"</f>
        <v>岡山</v>
      </c>
      <c r="G2886" t="str">
        <f>"年刊"</f>
        <v>年刊</v>
      </c>
      <c r="H2886" t="str">
        <f>"2002222281721"</f>
        <v>2002222281721</v>
      </c>
      <c r="I2886" t="str">
        <f>HYPERLINK("#", "https://opac.libnet.pref.okayama.jp/licsxp-opac/WOpacMsgNewListToTifTilDetailAction.do?tilcod=2002222281721")</f>
        <v>https://opac.libnet.pref.okayama.jp/licsxp-opac/WOpacMsgNewListToTifTilDetailAction.do?tilcod=2002222281721</v>
      </c>
    </row>
    <row r="2887" spans="1:9" x14ac:dyDescent="0.4">
      <c r="A2887" t="str">
        <f>"史学報知"</f>
        <v>史学報知</v>
      </c>
      <c r="B2887" s="1" t="str">
        <f t="shared" si="155"/>
        <v>史学報知</v>
      </c>
      <c r="C2887" t="str">
        <f>"シガク ホウチ"</f>
        <v>シガク ホウチ</v>
      </c>
      <c r="D2887" t="str">
        <f>"倉敷天城高等学校史学部"</f>
        <v>倉敷天城高等学校史学部</v>
      </c>
      <c r="E2887" t="str">
        <f>"クラシキアマキコウトウガッコウシガクブ"</f>
        <v>クラシキアマキコウトウガッコウシガクブ</v>
      </c>
      <c r="F2887" t="str">
        <f>"倉敷"</f>
        <v>倉敷</v>
      </c>
      <c r="G2887" t="str">
        <f>"頻度不明"</f>
        <v>頻度不明</v>
      </c>
      <c r="H2887" t="str">
        <f>"2002222301373"</f>
        <v>2002222301373</v>
      </c>
      <c r="I2887" t="str">
        <f>HYPERLINK("#", "https://opac.libnet.pref.okayama.jp/licsxp-opac/WOpacMsgNewListToTifTilDetailAction.do?tilcod=2002222301373")</f>
        <v>https://opac.libnet.pref.okayama.jp/licsxp-opac/WOpacMsgNewListToTifTilDetailAction.do?tilcod=2002222301373</v>
      </c>
    </row>
    <row r="2888" spans="1:9" x14ac:dyDescent="0.4">
      <c r="A2888" t="str">
        <f>"鹿の子通信；鹿島通信グループ校友会誌"</f>
        <v>鹿の子通信；鹿島通信グループ校友会誌</v>
      </c>
      <c r="B2888" s="1" t="str">
        <f t="shared" si="155"/>
        <v>鹿の子通信；鹿島通信グループ校友会誌</v>
      </c>
      <c r="C2888" t="str">
        <f>"シカノコ ツウシン＊カシマ ツウシン グループ コウユウ カイシ"</f>
        <v>シカノコ ツウシン＊カシマ ツウシン グループ コウユウ カイシ</v>
      </c>
      <c r="D2888" t="str">
        <f>"鹿の子通信編集部"</f>
        <v>鹿の子通信編集部</v>
      </c>
      <c r="E2888" t="str">
        <f>"シカノコ ツウシン ヘンシュウブ"</f>
        <v>シカノコ ツウシン ヘンシュウブ</v>
      </c>
      <c r="F2888" t="str">
        <f>"川崎"</f>
        <v>川崎</v>
      </c>
      <c r="G2888" t="str">
        <f>"頻度不明"</f>
        <v>頻度不明</v>
      </c>
      <c r="H2888" t="str">
        <f>"2002222335968"</f>
        <v>2002222335968</v>
      </c>
      <c r="I2888" t="str">
        <f>HYPERLINK("#", "https://opac.libnet.pref.okayama.jp/licsxp-opac/WOpacMsgNewListToTifTilDetailAction.do?tilcod=2002222335968")</f>
        <v>https://opac.libnet.pref.okayama.jp/licsxp-opac/WOpacMsgNewListToTifTilDetailAction.do?tilcod=2002222335968</v>
      </c>
    </row>
    <row r="2889" spans="1:9" x14ac:dyDescent="0.4">
      <c r="A2889" t="str">
        <f>"四季"</f>
        <v>四季</v>
      </c>
      <c r="B2889" s="1" t="str">
        <f t="shared" si="155"/>
        <v>四季</v>
      </c>
      <c r="C2889" t="str">
        <f>"シキ"</f>
        <v>シキ</v>
      </c>
      <c r="D2889" t="str">
        <f>"北公民館「文章表現講座」"</f>
        <v>北公民館「文章表現講座」</v>
      </c>
      <c r="E2889" t="str">
        <f>"キタコウミンカンブンショウヒョウゲンコウザ"</f>
        <v>キタコウミンカンブンショウヒョウゲンコウザ</v>
      </c>
      <c r="F2889" t="str">
        <f>"岡山"</f>
        <v>岡山</v>
      </c>
      <c r="G2889" t="str">
        <f>"年２回刊"</f>
        <v>年２回刊</v>
      </c>
      <c r="H2889" t="str">
        <f>"2002222292641"</f>
        <v>2002222292641</v>
      </c>
      <c r="I2889" t="str">
        <f>HYPERLINK("#", "https://opac.libnet.pref.okayama.jp/licsxp-opac/WOpacMsgNewListToTifTilDetailAction.do?tilcod=2002222292641")</f>
        <v>https://opac.libnet.pref.okayama.jp/licsxp-opac/WOpacMsgNewListToTifTilDetailAction.do?tilcod=2002222292641</v>
      </c>
    </row>
    <row r="2890" spans="1:9" x14ac:dyDescent="0.4">
      <c r="A2890" t="str">
        <f>"市議会かさおか"</f>
        <v>市議会かさおか</v>
      </c>
      <c r="B2890" s="1" t="str">
        <f t="shared" si="155"/>
        <v>市議会かさおか</v>
      </c>
      <c r="C2890" t="str">
        <f>"シギカイ カサオカ"</f>
        <v>シギカイ カサオカ</v>
      </c>
      <c r="D2890" t="str">
        <f>"笠岡市議会広報公聴委員会"</f>
        <v>笠岡市議会広報公聴委員会</v>
      </c>
      <c r="E2890" t="str">
        <f>"カサオカ シギカイ コウホウ コウチョウ イインカイ"</f>
        <v>カサオカ シギカイ コウホウ コウチョウ イインカイ</v>
      </c>
      <c r="F2890" t="str">
        <f>"笠岡"</f>
        <v>笠岡</v>
      </c>
      <c r="G2890" t="str">
        <f>"季刊"</f>
        <v>季刊</v>
      </c>
      <c r="H2890" t="str">
        <f>"2002222342751"</f>
        <v>2002222342751</v>
      </c>
      <c r="I2890" t="str">
        <f>HYPERLINK("#", "https://opac.libnet.pref.okayama.jp/licsxp-opac/WOpacMsgNewListToTifTilDetailAction.do?tilcod=2002222342751")</f>
        <v>https://opac.libnet.pref.okayama.jp/licsxp-opac/WOpacMsgNewListToTifTilDetailAction.do?tilcod=2002222342751</v>
      </c>
    </row>
    <row r="2891" spans="1:9" x14ac:dyDescent="0.4">
      <c r="A2891" t="str">
        <f>"指協おかやま"</f>
        <v>指協おかやま</v>
      </c>
      <c r="B2891" s="1" t="str">
        <f t="shared" si="155"/>
        <v>指協おかやま</v>
      </c>
      <c r="C2891" t="str">
        <f>"シキョウ　オカヤマ"</f>
        <v>シキョウ　オカヤマ</v>
      </c>
      <c r="D2891" t="str">
        <f>"岡山県経営指導員協会"</f>
        <v>岡山県経営指導員協会</v>
      </c>
      <c r="E2891" t="str">
        <f>"オカヤマケンケイエイシドウインキョウカイ"</f>
        <v>オカヤマケンケイエイシドウインキョウカイ</v>
      </c>
      <c r="F2891" t="str">
        <f>"岡山"</f>
        <v>岡山</v>
      </c>
      <c r="G2891" t="str">
        <f>"頻度不明"</f>
        <v>頻度不明</v>
      </c>
      <c r="H2891" t="str">
        <f>"2002222300913"</f>
        <v>2002222300913</v>
      </c>
      <c r="I2891" t="str">
        <f>HYPERLINK("#", "https://opac.libnet.pref.okayama.jp/licsxp-opac/WOpacMsgNewListToTifTilDetailAction.do?tilcod=2002222300913")</f>
        <v>https://opac.libnet.pref.okayama.jp/licsxp-opac/WOpacMsgNewListToTifTilDetailAction.do?tilcod=2002222300913</v>
      </c>
    </row>
    <row r="2892" spans="1:9" x14ac:dyDescent="0.4">
      <c r="A2892" t="str">
        <f>"重井医学年報"</f>
        <v>重井医学年報</v>
      </c>
      <c r="B2892" s="1" t="str">
        <f t="shared" si="155"/>
        <v>重井医学年報</v>
      </c>
      <c r="C2892" t="str">
        <f>"シゲイ　イガク　ネンポウ"</f>
        <v>シゲイ　イガク　ネンポウ</v>
      </c>
      <c r="D2892" t="str">
        <f>"創和会重井病院"</f>
        <v>創和会重井病院</v>
      </c>
      <c r="E2892" t="str">
        <f>"ソウワカイ シゲイ ビョウイン"</f>
        <v>ソウワカイ シゲイ ビョウイン</v>
      </c>
      <c r="F2892" t="str">
        <f>""</f>
        <v/>
      </c>
      <c r="G2892" t="str">
        <f>"頻度不明"</f>
        <v>頻度不明</v>
      </c>
      <c r="H2892" t="str">
        <f>"2002222281743"</f>
        <v>2002222281743</v>
      </c>
      <c r="I2892" t="str">
        <f>HYPERLINK("#", "https://opac.libnet.pref.okayama.jp/licsxp-opac/WOpacMsgNewListToTifTilDetailAction.do?tilcod=2002222281743")</f>
        <v>https://opac.libnet.pref.okayama.jp/licsxp-opac/WOpacMsgNewListToTifTilDetailAction.do?tilcod=2002222281743</v>
      </c>
    </row>
    <row r="2893" spans="1:9" x14ac:dyDescent="0.4">
      <c r="A2893" t="str">
        <f>"[滋慶学園高等学校] 学校案内"</f>
        <v>[滋慶学園高等学校] 学校案内</v>
      </c>
      <c r="B2893" s="1" t="str">
        <f t="shared" si="155"/>
        <v>[滋慶学園高等学校] 学校案内</v>
      </c>
      <c r="C2893" t="str">
        <f>"ジケイ ガクエン コウトウ ガッコウ*ガッコウ アンナイ"</f>
        <v>ジケイ ガクエン コウトウ ガッコウ*ガッコウ アンナイ</v>
      </c>
      <c r="D2893" t="str">
        <f>"滋慶学園高等学校"</f>
        <v>滋慶学園高等学校</v>
      </c>
      <c r="E2893" t="str">
        <f>"ジケイガクエン コウトウ ガッコウ"</f>
        <v>ジケイガクエン コウトウ ガッコウ</v>
      </c>
      <c r="F2893" t="str">
        <f>"美作"</f>
        <v>美作</v>
      </c>
      <c r="G2893" t="str">
        <f>"年刊"</f>
        <v>年刊</v>
      </c>
      <c r="H2893" t="str">
        <f>"2002222339470"</f>
        <v>2002222339470</v>
      </c>
      <c r="I2893" t="str">
        <f>HYPERLINK("#", "https://opac.libnet.pref.okayama.jp/licsxp-opac/WOpacMsgNewListToTifTilDetailAction.do?tilcod=2002222339470")</f>
        <v>https://opac.libnet.pref.okayama.jp/licsxp-opac/WOpacMsgNewListToTifTilDetailAction.do?tilcod=2002222339470</v>
      </c>
    </row>
    <row r="2894" spans="1:9" x14ac:dyDescent="0.4">
      <c r="A2894" t="str">
        <f>"重井病院年報"</f>
        <v>重井病院年報</v>
      </c>
      <c r="B2894" s="1" t="str">
        <f t="shared" si="155"/>
        <v>重井病院年報</v>
      </c>
      <c r="C2894" t="str">
        <f>"シゲイ　ビョウイン　ネンポウ"</f>
        <v>シゲイ　ビョウイン　ネンポウ</v>
      </c>
      <c r="D2894" t="str">
        <f>"創和会重井病院"</f>
        <v>創和会重井病院</v>
      </c>
      <c r="E2894" t="str">
        <f>"ソウワカイ シゲイ ビョウイン"</f>
        <v>ソウワカイ シゲイ ビョウイン</v>
      </c>
      <c r="F2894" t="str">
        <f>""</f>
        <v/>
      </c>
      <c r="G2894" t="str">
        <f>"年刊"</f>
        <v>年刊</v>
      </c>
      <c r="H2894" t="str">
        <f>"2002222280504"</f>
        <v>2002222280504</v>
      </c>
      <c r="I2894" t="str">
        <f>HYPERLINK("#", "https://opac.libnet.pref.okayama.jp/licsxp-opac/WOpacMsgNewListToTifTilDetailAction.do?tilcod=2002222280504")</f>
        <v>https://opac.libnet.pref.okayama.jp/licsxp-opac/WOpacMsgNewListToTifTilDetailAction.do?tilcod=2002222280504</v>
      </c>
    </row>
    <row r="2895" spans="1:9" x14ac:dyDescent="0.4">
      <c r="A2895" t="str">
        <f>"自警団誌"</f>
        <v>自警団誌</v>
      </c>
      <c r="B2895" s="1" t="str">
        <f t="shared" si="155"/>
        <v>自警団誌</v>
      </c>
      <c r="C2895" t="str">
        <f>"ジケイダンシ"</f>
        <v>ジケイダンシ</v>
      </c>
      <c r="D2895" t="str">
        <f>"苫田郡自警団"</f>
        <v>苫田郡自警団</v>
      </c>
      <c r="E2895" t="str">
        <f>"トマタグンジケイダン"</f>
        <v>トマタグンジケイダン</v>
      </c>
      <c r="F2895" t="str">
        <f>""</f>
        <v/>
      </c>
      <c r="G2895" t="str">
        <f>"頻度不明"</f>
        <v>頻度不明</v>
      </c>
      <c r="H2895" t="str">
        <f>"2002222281753"</f>
        <v>2002222281753</v>
      </c>
      <c r="I2895" t="str">
        <f>HYPERLINK("#", "https://opac.libnet.pref.okayama.jp/licsxp-opac/WOpacMsgNewListToTifTilDetailAction.do?tilcod=2002222281753")</f>
        <v>https://opac.libnet.pref.okayama.jp/licsxp-opac/WOpacMsgNewListToTifTilDetailAction.do?tilcod=2002222281753</v>
      </c>
    </row>
    <row r="2896" spans="1:9" x14ac:dyDescent="0.4">
      <c r="A2896" t="str">
        <f>"自警団報"</f>
        <v>自警団報</v>
      </c>
      <c r="B2896" s="1" t="str">
        <f t="shared" si="155"/>
        <v>自警団報</v>
      </c>
      <c r="C2896" t="str">
        <f>"ジケイダンポウ"</f>
        <v>ジケイダンポウ</v>
      </c>
      <c r="D2896" t="str">
        <f>"岡山東自警団"</f>
        <v>岡山東自警団</v>
      </c>
      <c r="E2896" t="str">
        <f>"オカヤマヒガシジケイダン"</f>
        <v>オカヤマヒガシジケイダン</v>
      </c>
      <c r="F2896" t="str">
        <f>""</f>
        <v/>
      </c>
      <c r="G2896" t="str">
        <f>"頻度不明"</f>
        <v>頻度不明</v>
      </c>
      <c r="H2896" t="str">
        <f>"2002222281763"</f>
        <v>2002222281763</v>
      </c>
      <c r="I2896" t="str">
        <f>HYPERLINK("#", "https://opac.libnet.pref.okayama.jp/licsxp-opac/WOpacMsgNewListToTifTilDetailAction.do?tilcod=2002222281763")</f>
        <v>https://opac.libnet.pref.okayama.jp/licsxp-opac/WOpacMsgNewListToTifTilDetailAction.do?tilcod=2002222281763</v>
      </c>
    </row>
    <row r="2897" spans="1:9" x14ac:dyDescent="0.4">
      <c r="A2897" t="str">
        <f>"慈眼"</f>
        <v>慈眼</v>
      </c>
      <c r="B2897" s="1" t="str">
        <f t="shared" si="155"/>
        <v>慈眼</v>
      </c>
      <c r="C2897" t="str">
        <f>"ジゲン"</f>
        <v>ジゲン</v>
      </c>
      <c r="D2897" t="str">
        <f>"川崎医科大学眼科学教室同窓会"</f>
        <v>川崎医科大学眼科学教室同窓会</v>
      </c>
      <c r="E2897" t="str">
        <f>"カワサキイカダイガクガンカガクキョウシツドウソウカイ"</f>
        <v>カワサキイカダイガクガンカガクキョウシツドウソウカイ</v>
      </c>
      <c r="F2897" t="str">
        <f>"倉敷"</f>
        <v>倉敷</v>
      </c>
      <c r="G2897" t="str">
        <f>"年刊"</f>
        <v>年刊</v>
      </c>
      <c r="H2897" t="str">
        <f>"2002222302444"</f>
        <v>2002222302444</v>
      </c>
      <c r="I2897" t="str">
        <f>HYPERLINK("#", "https://opac.libnet.pref.okayama.jp/licsxp-opac/WOpacMsgNewListToTifTilDetailAction.do?tilcod=2002222302444")</f>
        <v>https://opac.libnet.pref.okayama.jp/licsxp-opac/WOpacMsgNewListToTifTilDetailAction.do?tilcod=2002222302444</v>
      </c>
    </row>
    <row r="2898" spans="1:9" x14ac:dyDescent="0.4">
      <c r="A2898" t="str">
        <f>"資源生物科学研究所年報"</f>
        <v>資源生物科学研究所年報</v>
      </c>
      <c r="B2898" s="1" t="str">
        <f t="shared" si="155"/>
        <v>資源生物科学研究所年報</v>
      </c>
      <c r="C2898" t="str">
        <f>"シゲン　セイブツ　カガク　ケンキュウジョ　ネンポウ"</f>
        <v>シゲン　セイブツ　カガク　ケンキュウジョ　ネンポウ</v>
      </c>
      <c r="D2898" t="str">
        <f>"岡山大学資源生物科学研究所"</f>
        <v>岡山大学資源生物科学研究所</v>
      </c>
      <c r="E2898" t="str">
        <f>"オカヤマダイガクシゲンセイブツカガクケンキュウジョ"</f>
        <v>オカヤマダイガクシゲンセイブツカガクケンキュウジョ</v>
      </c>
      <c r="F2898" t="str">
        <f>"倉敷"</f>
        <v>倉敷</v>
      </c>
      <c r="G2898" t="str">
        <f>"隔年刊"</f>
        <v>隔年刊</v>
      </c>
      <c r="H2898" t="str">
        <f>"2002222301501"</f>
        <v>2002222301501</v>
      </c>
      <c r="I2898" t="str">
        <f>HYPERLINK("#", "https://opac.libnet.pref.okayama.jp/licsxp-opac/WOpacMsgNewListToTifTilDetailAction.do?tilcod=2002222301501")</f>
        <v>https://opac.libnet.pref.okayama.jp/licsxp-opac/WOpacMsgNewListToTifTilDetailAction.do?tilcod=2002222301501</v>
      </c>
    </row>
    <row r="2899" spans="1:9" x14ac:dyDescent="0.4">
      <c r="A2899" t="str">
        <f>"しごと情報アイデム 岡山・倉敷版"</f>
        <v>しごと情報アイデム 岡山・倉敷版</v>
      </c>
      <c r="B2899" s="1" t="str">
        <f t="shared" si="155"/>
        <v>しごと情報アイデム 岡山・倉敷版</v>
      </c>
      <c r="C2899" t="str">
        <f>"シゴト　ジョウホウ　アイデム　オカヤマ　クラシキ　バン"</f>
        <v>シゴト　ジョウホウ　アイデム　オカヤマ　クラシキ　バン</v>
      </c>
      <c r="D2899" t="str">
        <f>"アイデム西日本事業本部"</f>
        <v>アイデム西日本事業本部</v>
      </c>
      <c r="E2899" t="str">
        <f>"アイデムニシニホンジギョウホンブ"</f>
        <v>アイデムニシニホンジギョウホンブ</v>
      </c>
      <c r="F2899" t="str">
        <f>"大阪"</f>
        <v>大阪</v>
      </c>
      <c r="G2899" t="str">
        <f>"週刊"</f>
        <v>週刊</v>
      </c>
      <c r="H2899" t="str">
        <f>"2002222301039"</f>
        <v>2002222301039</v>
      </c>
      <c r="I2899" t="str">
        <f>HYPERLINK("#", "https://opac.libnet.pref.okayama.jp/licsxp-opac/WOpacMsgNewListToTifTilDetailAction.do?tilcod=2002222301039")</f>
        <v>https://opac.libnet.pref.okayama.jp/licsxp-opac/WOpacMsgNewListToTifTilDetailAction.do?tilcod=2002222301039</v>
      </c>
    </row>
    <row r="2900" spans="1:9" x14ac:dyDescent="0.4">
      <c r="A2900" t="str">
        <f>"しごと情報アイデム 岡山中央エリア"</f>
        <v>しごと情報アイデム 岡山中央エリア</v>
      </c>
      <c r="B2900" s="1" t="str">
        <f t="shared" si="155"/>
        <v>しごと情報アイデム 岡山中央エリア</v>
      </c>
      <c r="C2900" t="str">
        <f>"シゴト ジョウホウ アイデム オカヤマ チュウオウ エリア"</f>
        <v>シゴト ジョウホウ アイデム オカヤマ チュウオウ エリア</v>
      </c>
      <c r="D2900" t="str">
        <f t="shared" ref="D2900:E2902" si="156">"アイデム"</f>
        <v>アイデム</v>
      </c>
      <c r="E2900" t="str">
        <f t="shared" si="156"/>
        <v>アイデム</v>
      </c>
      <c r="F2900" t="str">
        <f t="shared" ref="F2900:F2907" si="157">"岡山"</f>
        <v>岡山</v>
      </c>
      <c r="G2900" t="str">
        <f t="shared" ref="G2900:G2907" si="158">"その他"</f>
        <v>その他</v>
      </c>
      <c r="H2900" t="str">
        <f>"2002222332346"</f>
        <v>2002222332346</v>
      </c>
      <c r="I2900" t="str">
        <f>HYPERLINK("#", "https://opac.libnet.pref.okayama.jp/licsxp-opac/WOpacMsgNewListToTifTilDetailAction.do?tilcod=2002222332346")</f>
        <v>https://opac.libnet.pref.okayama.jp/licsxp-opac/WOpacMsgNewListToTifTilDetailAction.do?tilcod=2002222332346</v>
      </c>
    </row>
    <row r="2901" spans="1:9" x14ac:dyDescent="0.4">
      <c r="A2901" t="str">
        <f>"しごと情報アイデム 岡山中央・東部エリア"</f>
        <v>しごと情報アイデム 岡山中央・東部エリア</v>
      </c>
      <c r="B2901" s="1" t="str">
        <f t="shared" si="155"/>
        <v>しごと情報アイデム 岡山中央・東部エリア</v>
      </c>
      <c r="C2901" t="str">
        <f>"シゴト ジョウホウ アイデム オカヤマ チュウオウ トウブ エリア"</f>
        <v>シゴト ジョウホウ アイデム オカヤマ チュウオウ トウブ エリア</v>
      </c>
      <c r="D2901" t="str">
        <f t="shared" si="156"/>
        <v>アイデム</v>
      </c>
      <c r="E2901" t="str">
        <f t="shared" si="156"/>
        <v>アイデム</v>
      </c>
      <c r="F2901" t="str">
        <f t="shared" si="157"/>
        <v>岡山</v>
      </c>
      <c r="G2901" t="str">
        <f t="shared" si="158"/>
        <v>その他</v>
      </c>
      <c r="H2901" t="str">
        <f>"2002222336447"</f>
        <v>2002222336447</v>
      </c>
      <c r="I2901" t="str">
        <f>HYPERLINK("#", "https://opac.libnet.pref.okayama.jp/licsxp-opac/WOpacMsgNewListToTifTilDetailAction.do?tilcod=2002222336447")</f>
        <v>https://opac.libnet.pref.okayama.jp/licsxp-opac/WOpacMsgNewListToTifTilDetailAction.do?tilcod=2002222336447</v>
      </c>
    </row>
    <row r="2902" spans="1:9" x14ac:dyDescent="0.4">
      <c r="A2902" t="str">
        <f>"しごと情報アイデム 岡山東エリア"</f>
        <v>しごと情報アイデム 岡山東エリア</v>
      </c>
      <c r="B2902" s="1" t="str">
        <f t="shared" si="155"/>
        <v>しごと情報アイデム 岡山東エリア</v>
      </c>
      <c r="C2902" t="str">
        <f>"シゴト ジョウホウ アイデム オカヤマ ヒガシ エリア"</f>
        <v>シゴト ジョウホウ アイデム オカヤマ ヒガシ エリア</v>
      </c>
      <c r="D2902" t="str">
        <f t="shared" si="156"/>
        <v>アイデム</v>
      </c>
      <c r="E2902" t="str">
        <f t="shared" si="156"/>
        <v>アイデム</v>
      </c>
      <c r="F2902" t="str">
        <f t="shared" si="157"/>
        <v>岡山</v>
      </c>
      <c r="G2902" t="str">
        <f t="shared" si="158"/>
        <v>その他</v>
      </c>
      <c r="H2902" t="str">
        <f>"2002222332327"</f>
        <v>2002222332327</v>
      </c>
      <c r="I2902" t="str">
        <f>HYPERLINK("#", "https://opac.libnet.pref.okayama.jp/licsxp-opac/WOpacMsgNewListToTifTilDetailAction.do?tilcod=2002222332327")</f>
        <v>https://opac.libnet.pref.okayama.jp/licsxp-opac/WOpacMsgNewListToTifTilDetailAction.do?tilcod=2002222332327</v>
      </c>
    </row>
    <row r="2903" spans="1:9" x14ac:dyDescent="0.4">
      <c r="A2903" t="str">
        <f>"しごと情報アイデム 岡山市中央・玉野エリア"</f>
        <v>しごと情報アイデム 岡山市中央・玉野エリア</v>
      </c>
      <c r="B2903" s="1" t="str">
        <f t="shared" si="155"/>
        <v>しごと情報アイデム 岡山市中央・玉野エリア</v>
      </c>
      <c r="C2903" t="str">
        <f>"シゴト ジョウホウ アイデム オカヤマシ チュウオウ タマノ エリア"</f>
        <v>シゴト ジョウホウ アイデム オカヤマシ チュウオウ タマノ エリア</v>
      </c>
      <c r="D2903" t="str">
        <f t="shared" ref="D2903:D2909" si="159">"アイデム"</f>
        <v>アイデム</v>
      </c>
      <c r="E2903" t="str">
        <f>""</f>
        <v/>
      </c>
      <c r="F2903" t="str">
        <f t="shared" si="157"/>
        <v>岡山</v>
      </c>
      <c r="G2903" t="str">
        <f t="shared" si="158"/>
        <v>その他</v>
      </c>
      <c r="H2903" t="str">
        <f>"2002222334389"</f>
        <v>2002222334389</v>
      </c>
      <c r="I2903" t="str">
        <f>HYPERLINK("#", "https://opac.libnet.pref.okayama.jp/licsxp-opac/WOpacMsgNewListToTifTilDetailAction.do?tilcod=2002222334389")</f>
        <v>https://opac.libnet.pref.okayama.jp/licsxp-opac/WOpacMsgNewListToTifTilDetailAction.do?tilcod=2002222334389</v>
      </c>
    </row>
    <row r="2904" spans="1:9" x14ac:dyDescent="0.4">
      <c r="A2904" t="str">
        <f>"しごと情報アイデム 岡山市中央・東部エリア"</f>
        <v>しごと情報アイデム 岡山市中央・東部エリア</v>
      </c>
      <c r="B2904" s="1" t="str">
        <f t="shared" si="155"/>
        <v>しごと情報アイデム 岡山市中央・東部エリア</v>
      </c>
      <c r="C2904" t="str">
        <f>"シゴト ジョウホウ アイデム オカヤマシ チュウオウ トウブ エリア"</f>
        <v>シゴト ジョウホウ アイデム オカヤマシ チュウオウ トウブ エリア</v>
      </c>
      <c r="D2904" t="str">
        <f t="shared" si="159"/>
        <v>アイデム</v>
      </c>
      <c r="E2904" t="str">
        <f t="shared" ref="E2904:E2909" si="160">"アイデム"</f>
        <v>アイデム</v>
      </c>
      <c r="F2904" t="str">
        <f t="shared" si="157"/>
        <v>岡山</v>
      </c>
      <c r="G2904" t="str">
        <f t="shared" si="158"/>
        <v>その他</v>
      </c>
      <c r="H2904" t="str">
        <f>"2002222332426"</f>
        <v>2002222332426</v>
      </c>
      <c r="I2904" t="str">
        <f>HYPERLINK("#", "https://opac.libnet.pref.okayama.jp/licsxp-opac/WOpacMsgNewListToTifTilDetailAction.do?tilcod=2002222332426")</f>
        <v>https://opac.libnet.pref.okayama.jp/licsxp-opac/WOpacMsgNewListToTifTilDetailAction.do?tilcod=2002222332426</v>
      </c>
    </row>
    <row r="2905" spans="1:9" x14ac:dyDescent="0.4">
      <c r="A2905" t="str">
        <f>"しごと情報アイデム 岡山市内・東部エリア"</f>
        <v>しごと情報アイデム 岡山市内・東部エリア</v>
      </c>
      <c r="B2905" s="1" t="str">
        <f t="shared" si="155"/>
        <v>しごと情報アイデム 岡山市内・東部エリア</v>
      </c>
      <c r="C2905" t="str">
        <f>"シゴト ジョウホウ アイデム オカヤマシナイ トウブ エリア"</f>
        <v>シゴト ジョウホウ アイデム オカヤマシナイ トウブ エリア</v>
      </c>
      <c r="D2905" t="str">
        <f t="shared" si="159"/>
        <v>アイデム</v>
      </c>
      <c r="E2905" t="str">
        <f t="shared" si="160"/>
        <v>アイデム</v>
      </c>
      <c r="F2905" t="str">
        <f t="shared" si="157"/>
        <v>岡山</v>
      </c>
      <c r="G2905" t="str">
        <f t="shared" si="158"/>
        <v>その他</v>
      </c>
      <c r="H2905" t="str">
        <f>"2002222334388"</f>
        <v>2002222334388</v>
      </c>
      <c r="I2905" t="str">
        <f>HYPERLINK("#", "https://opac.libnet.pref.okayama.jp/licsxp-opac/WOpacMsgNewListToTifTilDetailAction.do?tilcod=2002222334388")</f>
        <v>https://opac.libnet.pref.okayama.jp/licsxp-opac/WOpacMsgNewListToTifTilDetailAction.do?tilcod=2002222334388</v>
      </c>
    </row>
    <row r="2906" spans="1:9" x14ac:dyDescent="0.4">
      <c r="A2906" t="str">
        <f>"しごと情報アイデム : 倉敷・総社エリア"</f>
        <v>しごと情報アイデム : 倉敷・総社エリア</v>
      </c>
      <c r="B2906" s="1" t="str">
        <f t="shared" si="155"/>
        <v>しごと情報アイデム : 倉敷・総社エリア</v>
      </c>
      <c r="C2906" t="str">
        <f>"シゴト ジョウホウ アイデム クラシキ ソウジャ エリア"</f>
        <v>シゴト ジョウホウ アイデム クラシキ ソウジャ エリア</v>
      </c>
      <c r="D2906" t="str">
        <f t="shared" si="159"/>
        <v>アイデム</v>
      </c>
      <c r="E2906" t="str">
        <f t="shared" si="160"/>
        <v>アイデム</v>
      </c>
      <c r="F2906" t="str">
        <f t="shared" si="157"/>
        <v>岡山</v>
      </c>
      <c r="G2906" t="str">
        <f t="shared" si="158"/>
        <v>その他</v>
      </c>
      <c r="H2906" t="str">
        <f>"2002222340611"</f>
        <v>2002222340611</v>
      </c>
      <c r="I2906" t="str">
        <f>HYPERLINK("#", "https://opac.libnet.pref.okayama.jp/licsxp-opac/WOpacMsgNewListToTifTilDetailAction.do?tilcod=2002222340611")</f>
        <v>https://opac.libnet.pref.okayama.jp/licsxp-opac/WOpacMsgNewListToTifTilDetailAction.do?tilcod=2002222340611</v>
      </c>
    </row>
    <row r="2907" spans="1:9" x14ac:dyDescent="0.4">
      <c r="A2907" t="str">
        <f>"しごと情報アイデム : 倉敷・総社エリア"</f>
        <v>しごと情報アイデム : 倉敷・総社エリア</v>
      </c>
      <c r="B2907" s="1" t="str">
        <f t="shared" si="155"/>
        <v>しごと情報アイデム : 倉敷・総社エリア</v>
      </c>
      <c r="C2907" t="str">
        <f>"シゴト ジョウホウ アイデム クラシキ ソウジャ エリア"</f>
        <v>シゴト ジョウホウ アイデム クラシキ ソウジャ エリア</v>
      </c>
      <c r="D2907" t="str">
        <f t="shared" si="159"/>
        <v>アイデム</v>
      </c>
      <c r="E2907" t="str">
        <f t="shared" si="160"/>
        <v>アイデム</v>
      </c>
      <c r="F2907" t="str">
        <f t="shared" si="157"/>
        <v>岡山</v>
      </c>
      <c r="G2907" t="str">
        <f t="shared" si="158"/>
        <v>その他</v>
      </c>
      <c r="H2907" t="str">
        <f>"2002222340614"</f>
        <v>2002222340614</v>
      </c>
      <c r="I2907" t="str">
        <f>HYPERLINK("#", "https://opac.libnet.pref.okayama.jp/licsxp-opac/WOpacMsgNewListToTifTilDetailAction.do?tilcod=2002222340614")</f>
        <v>https://opac.libnet.pref.okayama.jp/licsxp-opac/WOpacMsgNewListToTifTilDetailAction.do?tilcod=2002222340614</v>
      </c>
    </row>
    <row r="2908" spans="1:9" x14ac:dyDescent="0.4">
      <c r="A2908" t="str">
        <f>"しごと情報アイデム : 倉敷・総社・岡山市内エリア "</f>
        <v xml:space="preserve">しごと情報アイデム : 倉敷・総社・岡山市内エリア </v>
      </c>
      <c r="B2908" s="1" t="str">
        <f t="shared" si="155"/>
        <v xml:space="preserve">しごと情報アイデム : 倉敷・総社・岡山市内エリア </v>
      </c>
      <c r="C2908" t="str">
        <f>"シゴト ジョウホウ アイデム クラシキ ソウジャ オカヤマ シナイ エリア "</f>
        <v xml:space="preserve">シゴト ジョウホウ アイデム クラシキ ソウジャ オカヤマ シナイ エリア </v>
      </c>
      <c r="D2908" t="str">
        <f t="shared" si="159"/>
        <v>アイデム</v>
      </c>
      <c r="E2908" t="str">
        <f t="shared" si="160"/>
        <v>アイデム</v>
      </c>
      <c r="F2908" t="str">
        <f>""</f>
        <v/>
      </c>
      <c r="G2908" t="str">
        <f>"週刊"</f>
        <v>週刊</v>
      </c>
      <c r="H2908" t="str">
        <f>"2002222340615"</f>
        <v>2002222340615</v>
      </c>
      <c r="I2908" t="str">
        <f>HYPERLINK("#", "https://opac.libnet.pref.okayama.jp/licsxp-opac/WOpacMsgNewListToTifTilDetailAction.do?tilcod=2002222340615")</f>
        <v>https://opac.libnet.pref.okayama.jp/licsxp-opac/WOpacMsgNewListToTifTilDetailAction.do?tilcod=2002222340615</v>
      </c>
    </row>
    <row r="2909" spans="1:9" x14ac:dyDescent="0.4">
      <c r="A2909" t="str">
        <f>"しごと情報アイデム : 倉敷・総社・岡山市周辺エリア"</f>
        <v>しごと情報アイデム : 倉敷・総社・岡山市周辺エリア</v>
      </c>
      <c r="B2909" s="1" t="str">
        <f t="shared" si="155"/>
        <v>しごと情報アイデム : 倉敷・総社・岡山市周辺エリア</v>
      </c>
      <c r="C2909" t="str">
        <f>"シゴト ジョウホウ アイデム クラシキ ソウジャ オカヤマシ シュウヘン エリア"</f>
        <v>シゴト ジョウホウ アイデム クラシキ ソウジャ オカヤマシ シュウヘン エリア</v>
      </c>
      <c r="D2909" t="str">
        <f t="shared" si="159"/>
        <v>アイデム</v>
      </c>
      <c r="E2909" t="str">
        <f t="shared" si="160"/>
        <v>アイデム</v>
      </c>
      <c r="F2909" t="str">
        <f>"岡山"</f>
        <v>岡山</v>
      </c>
      <c r="G2909" t="str">
        <f>"週刊"</f>
        <v>週刊</v>
      </c>
      <c r="H2909" t="str">
        <f>"2002222340612"</f>
        <v>2002222340612</v>
      </c>
      <c r="I2909" t="str">
        <f>HYPERLINK("#", "https://opac.libnet.pref.okayama.jp/licsxp-opac/WOpacMsgNewListToTifTilDetailAction.do?tilcod=2002222340612")</f>
        <v>https://opac.libnet.pref.okayama.jp/licsxp-opac/WOpacMsgNewListToTifTilDetailAction.do?tilcod=2002222340612</v>
      </c>
    </row>
    <row r="2910" spans="1:9" x14ac:dyDescent="0.4">
      <c r="A2910" t="str">
        <f>"しごと情報アイデム　山陽版"</f>
        <v>しごと情報アイデム　山陽版</v>
      </c>
      <c r="B2910" s="1" t="str">
        <f t="shared" si="155"/>
        <v>しごと情報アイデム　山陽版</v>
      </c>
      <c r="C2910" t="str">
        <f>"シゴト　ジョウホウ　アイデム　サンヨウバン"</f>
        <v>シゴト　ジョウホウ　アイデム　サンヨウバン</v>
      </c>
      <c r="D2910" t="str">
        <f>"アイデム西日本事業本部"</f>
        <v>アイデム西日本事業本部</v>
      </c>
      <c r="E2910" t="str">
        <f>"アイデムニシニホンジギョウホンブ"</f>
        <v>アイデムニシニホンジギョウホンブ</v>
      </c>
      <c r="F2910" t="str">
        <f>"大阪"</f>
        <v>大阪</v>
      </c>
      <c r="G2910" t="str">
        <f>"週刊"</f>
        <v>週刊</v>
      </c>
      <c r="H2910" t="str">
        <f>"2002222301404"</f>
        <v>2002222301404</v>
      </c>
      <c r="I2910" t="str">
        <f>HYPERLINK("#", "https://opac.libnet.pref.okayama.jp/licsxp-opac/WOpacMsgNewListToTifTilDetailAction.do?tilcod=2002222301404")</f>
        <v>https://opac.libnet.pref.okayama.jp/licsxp-opac/WOpacMsgNewListToTifTilDetailAction.do?tilcod=2002222301404</v>
      </c>
    </row>
    <row r="2911" spans="1:9" x14ac:dyDescent="0.4">
      <c r="A2911" t="str">
        <f>"しごと情報アイデム:ワイド岡山エリア"</f>
        <v>しごと情報アイデム:ワイド岡山エリア</v>
      </c>
      <c r="B2911" s="1" t="str">
        <f t="shared" si="155"/>
        <v>しごと情報アイデム:ワイド岡山エリア</v>
      </c>
      <c r="C2911" t="str">
        <f>"シゴト ジョウホウ アイデム ワイド オカヤマ エリア"</f>
        <v>シゴト ジョウホウ アイデム ワイド オカヤマ エリア</v>
      </c>
      <c r="D2911" t="str">
        <f>"アイデム"</f>
        <v>アイデム</v>
      </c>
      <c r="E2911" t="str">
        <f>"アイデム"</f>
        <v>アイデム</v>
      </c>
      <c r="F2911" t="str">
        <f>"岡山"</f>
        <v>岡山</v>
      </c>
      <c r="G2911" t="str">
        <f>"頻度不明"</f>
        <v>頻度不明</v>
      </c>
      <c r="H2911" t="str">
        <f>"2002222342130"</f>
        <v>2002222342130</v>
      </c>
      <c r="I2911" t="str">
        <f>HYPERLINK("#", "https://opac.libnet.pref.okayama.jp/licsxp-opac/WOpacMsgNewListToTifTilDetailAction.do?tilcod=2002222342130")</f>
        <v>https://opac.libnet.pref.okayama.jp/licsxp-opac/WOpacMsgNewListToTifTilDetailAction.do?tilcod=2002222342130</v>
      </c>
    </row>
    <row r="2912" spans="1:9" x14ac:dyDescent="0.4">
      <c r="A2912" t="str">
        <f>"詩誌浮標"</f>
        <v>詩誌浮標</v>
      </c>
      <c r="B2912" s="1" t="str">
        <f t="shared" si="155"/>
        <v>詩誌浮標</v>
      </c>
      <c r="C2912" t="str">
        <f>"シシ　ブイ"</f>
        <v>シシ　ブイ</v>
      </c>
      <c r="D2912" t="str">
        <f>"浮標の会"</f>
        <v>浮標の会</v>
      </c>
      <c r="E2912" t="str">
        <f>"ブイノカイ"</f>
        <v>ブイノカイ</v>
      </c>
      <c r="F2912" t="str">
        <f>""</f>
        <v/>
      </c>
      <c r="G2912" t="str">
        <f>"頻度不明"</f>
        <v>頻度不明</v>
      </c>
      <c r="H2912" t="str">
        <f>"2002222281773"</f>
        <v>2002222281773</v>
      </c>
      <c r="I2912" t="str">
        <f>HYPERLINK("#", "https://opac.libnet.pref.okayama.jp/licsxp-opac/WOpacMsgNewListToTifTilDetailAction.do?tilcod=2002222281773")</f>
        <v>https://opac.libnet.pref.okayama.jp/licsxp-opac/WOpacMsgNewListToTifTilDetailAction.do?tilcod=2002222281773</v>
      </c>
    </row>
    <row r="2913" spans="1:9" x14ac:dyDescent="0.4">
      <c r="A2913" t="str">
        <f>"獅子吼"</f>
        <v>獅子吼</v>
      </c>
      <c r="B2913" s="1" t="str">
        <f t="shared" si="155"/>
        <v>獅子吼</v>
      </c>
      <c r="C2913" t="str">
        <f>"シシク"</f>
        <v>シシク</v>
      </c>
      <c r="D2913" t="str">
        <f>"岡山県育英会東京寮"</f>
        <v>岡山県育英会東京寮</v>
      </c>
      <c r="E2913" t="str">
        <f>"オカヤマケン イクエイカイ トウキョウリョウ"</f>
        <v>オカヤマケン イクエイカイ トウキョウリョウ</v>
      </c>
      <c r="F2913" t="str">
        <f>""</f>
        <v/>
      </c>
      <c r="G2913" t="str">
        <f>"頻度不明"</f>
        <v>頻度不明</v>
      </c>
      <c r="H2913" t="str">
        <f>"2002222281783"</f>
        <v>2002222281783</v>
      </c>
      <c r="I2913" t="str">
        <f>HYPERLINK("#", "https://opac.libnet.pref.okayama.jp/licsxp-opac/WOpacMsgNewListToTifTilDetailAction.do?tilcod=2002222281783")</f>
        <v>https://opac.libnet.pref.okayama.jp/licsxp-opac/WOpacMsgNewListToTifTilDetailAction.do?tilcod=2002222281783</v>
      </c>
    </row>
    <row r="2914" spans="1:9" x14ac:dyDescent="0.4">
      <c r="A2914" t="str">
        <f>"誌集かく山"</f>
        <v>誌集かく山</v>
      </c>
      <c r="B2914" s="1" t="str">
        <f t="shared" si="155"/>
        <v>誌集かく山</v>
      </c>
      <c r="C2914" t="str">
        <f>"シシュウ＊カクザン"</f>
        <v>シシュウ＊カクザン</v>
      </c>
      <c r="D2914" t="str">
        <f>"津山市立鶴山小学校"</f>
        <v>津山市立鶴山小学校</v>
      </c>
      <c r="E2914" t="str">
        <f>"ツヤマシリツカクザンショウガッコウ"</f>
        <v>ツヤマシリツカクザンショウガッコウ</v>
      </c>
      <c r="F2914" t="str">
        <f>"津山"</f>
        <v>津山</v>
      </c>
      <c r="G2914" t="str">
        <f>"頻度不明"</f>
        <v>頻度不明</v>
      </c>
      <c r="H2914" t="str">
        <f>"2002222281793"</f>
        <v>2002222281793</v>
      </c>
      <c r="I2914" t="str">
        <f>HYPERLINK("#", "https://opac.libnet.pref.okayama.jp/licsxp-opac/WOpacMsgNewListToTifTilDetailAction.do?tilcod=2002222281793")</f>
        <v>https://opac.libnet.pref.okayama.jp/licsxp-opac/WOpacMsgNewListToTifTilDetailAction.do?tilcod=2002222281793</v>
      </c>
    </row>
    <row r="2915" spans="1:9" x14ac:dyDescent="0.4">
      <c r="A2915" t="str">
        <f>"市場月報"</f>
        <v>市場月報</v>
      </c>
      <c r="B2915" s="1" t="str">
        <f t="shared" si="155"/>
        <v>市場月報</v>
      </c>
      <c r="C2915" t="str">
        <f>"シジョウ　ゲッポウ"</f>
        <v>シジョウ　ゲッポウ</v>
      </c>
      <c r="D2915" t="str">
        <f>"岡山市中央卸売市場"</f>
        <v>岡山市中央卸売市場</v>
      </c>
      <c r="E2915" t="str">
        <f>"オカヤマシチュウオウオロシウリシジョウ"</f>
        <v>オカヤマシチュウオウオロシウリシジョウ</v>
      </c>
      <c r="F2915" t="str">
        <f>"岡山"</f>
        <v>岡山</v>
      </c>
      <c r="G2915" t="str">
        <f>"月刊"</f>
        <v>月刊</v>
      </c>
      <c r="H2915" t="str">
        <f>"2002222291421"</f>
        <v>2002222291421</v>
      </c>
      <c r="I2915" t="str">
        <f>HYPERLINK("#", "https://opac.libnet.pref.okayama.jp/licsxp-opac/WOpacMsgNewListToTifTilDetailAction.do?tilcod=2002222291421")</f>
        <v>https://opac.libnet.pref.okayama.jp/licsxp-opac/WOpacMsgNewListToTifTilDetailAction.do?tilcod=2002222291421</v>
      </c>
    </row>
    <row r="2916" spans="1:9" x14ac:dyDescent="0.4">
      <c r="A2916" t="str">
        <f>"詩神"</f>
        <v>詩神</v>
      </c>
      <c r="B2916" s="1" t="str">
        <f t="shared" si="155"/>
        <v>詩神</v>
      </c>
      <c r="C2916" t="str">
        <f>"シシン"</f>
        <v>シシン</v>
      </c>
      <c r="D2916" t="str">
        <f>"詩神編集室"</f>
        <v>詩神編集室</v>
      </c>
      <c r="E2916" t="str">
        <f>"シシンヘンシュウシツ"</f>
        <v>シシンヘンシュウシツ</v>
      </c>
      <c r="F2916" t="str">
        <f>""</f>
        <v/>
      </c>
      <c r="G2916" t="str">
        <f>"季刊"</f>
        <v>季刊</v>
      </c>
      <c r="H2916" t="str">
        <f>"2002222281803"</f>
        <v>2002222281803</v>
      </c>
      <c r="I2916" t="str">
        <f>HYPERLINK("#", "https://opac.libnet.pref.okayama.jp/licsxp-opac/WOpacMsgNewListToTifTilDetailAction.do?tilcod=2002222281803")</f>
        <v>https://opac.libnet.pref.okayama.jp/licsxp-opac/WOpacMsgNewListToTifTilDetailAction.do?tilcod=2002222281803</v>
      </c>
    </row>
    <row r="2917" spans="1:9" x14ac:dyDescent="0.4">
      <c r="A2917" t="str">
        <f>"閑谷"</f>
        <v>閑谷</v>
      </c>
      <c r="B2917" s="1" t="str">
        <f t="shared" si="155"/>
        <v>閑谷</v>
      </c>
      <c r="C2917" t="str">
        <f>"シズタニ"</f>
        <v>シズタニ</v>
      </c>
      <c r="D2917" t="str">
        <f>"岡山県閑谷中学校嚶鳴会"</f>
        <v>岡山県閑谷中学校嚶鳴会</v>
      </c>
      <c r="E2917" t="str">
        <f>"オカヤマケン シズタニ チュウガッコウ オウメイカイ"</f>
        <v>オカヤマケン シズタニ チュウガッコウ オウメイカイ</v>
      </c>
      <c r="F2917" t="str">
        <f>""</f>
        <v/>
      </c>
      <c r="G2917" t="str">
        <f>"頻度不明"</f>
        <v>頻度不明</v>
      </c>
      <c r="H2917" t="str">
        <f>"2002222281813"</f>
        <v>2002222281813</v>
      </c>
      <c r="I2917" t="str">
        <f>HYPERLINK("#", "https://opac.libnet.pref.okayama.jp/licsxp-opac/WOpacMsgNewListToTifTilDetailAction.do?tilcod=2002222281813")</f>
        <v>https://opac.libnet.pref.okayama.jp/licsxp-opac/WOpacMsgNewListToTifTilDetailAction.do?tilcod=2002222281813</v>
      </c>
    </row>
    <row r="2918" spans="1:9" x14ac:dyDescent="0.4">
      <c r="A2918" t="str">
        <f>"閑谷学校研究"</f>
        <v>閑谷学校研究</v>
      </c>
      <c r="B2918" s="1" t="str">
        <f t="shared" si="155"/>
        <v>閑谷学校研究</v>
      </c>
      <c r="C2918" t="str">
        <f>"シズタニ　ガッコウ　ケンキュウ"</f>
        <v>シズタニ　ガッコウ　ケンキュウ</v>
      </c>
      <c r="D2918" t="str">
        <f>"特別史跡旧閑谷学校顕彰保存会"</f>
        <v>特別史跡旧閑谷学校顕彰保存会</v>
      </c>
      <c r="E2918" t="str">
        <f>"トクベツ シセキ キュウ シズタニ ガッコウ ケンショウ ホゾンカイ"</f>
        <v>トクベツ シセキ キュウ シズタニ ガッコウ ケンショウ ホゾンカイ</v>
      </c>
      <c r="F2918" t="str">
        <f>"備前"</f>
        <v>備前</v>
      </c>
      <c r="G2918" t="str">
        <f>"年刊"</f>
        <v>年刊</v>
      </c>
      <c r="H2918" t="str">
        <f>"2002222281601"</f>
        <v>2002222281601</v>
      </c>
      <c r="I2918" t="str">
        <f>HYPERLINK("#", "https://opac.libnet.pref.okayama.jp/licsxp-opac/WOpacMsgNewListToTifTilDetailAction.do?tilcod=2002222281601")</f>
        <v>https://opac.libnet.pref.okayama.jp/licsxp-opac/WOpacMsgNewListToTifTilDetailAction.do?tilcod=2002222281601</v>
      </c>
    </row>
    <row r="2919" spans="1:9" x14ac:dyDescent="0.4">
      <c r="A2919" t="str">
        <f>"閑谷校報"</f>
        <v>閑谷校報</v>
      </c>
      <c r="B2919" s="1" t="str">
        <f t="shared" si="155"/>
        <v>閑谷校報</v>
      </c>
      <c r="C2919" t="str">
        <f>"シズタニ コウホウ"</f>
        <v>シズタニ コウホウ</v>
      </c>
      <c r="D2919" t="str">
        <f>"私立中学閑谷校嚶鳴会"</f>
        <v>私立中学閑谷校嚶鳴会</v>
      </c>
      <c r="E2919" t="str">
        <f>"シリツ チュウガク シズタニコウ オウメイカイ"</f>
        <v>シリツ チュウガク シズタニコウ オウメイカイ</v>
      </c>
      <c r="F2919" t="str">
        <f>"伊里村(和気郡)"</f>
        <v>伊里村(和気郡)</v>
      </c>
      <c r="G2919" t="str">
        <f>"頻度不明"</f>
        <v>頻度不明</v>
      </c>
      <c r="H2919" t="str">
        <f>"2002222325287"</f>
        <v>2002222325287</v>
      </c>
      <c r="I2919" t="str">
        <f>HYPERLINK("#", "https://opac.libnet.pref.okayama.jp/licsxp-opac/WOpacMsgNewListToTifTilDetailAction.do?tilcod=2002222325287")</f>
        <v>https://opac.libnet.pref.okayama.jp/licsxp-opac/WOpacMsgNewListToTifTilDetailAction.do?tilcod=2002222325287</v>
      </c>
    </row>
    <row r="2920" spans="1:9" x14ac:dyDescent="0.4">
      <c r="A2920" t="str">
        <f>"Ｓｉｚｚｌｅ（シズル）；ＯＫＡＹＡＭＡ　ＴＯＷＮ　ＧＵＩＤＥ　ＳＩＺＺＬＥ（オカヤマタウンガイドシズル）"</f>
        <v>Ｓｉｚｚｌｅ（シズル）；ＯＫＡＹＡＭＡ　ＴＯＷＮ　ＧＵＩＤＥ　ＳＩＺＺＬＥ（オカヤマタウンガイドシズル）</v>
      </c>
      <c r="B2920" s="1" t="str">
        <f t="shared" si="155"/>
        <v>Ｓｉｚｚｌｅ（シズル）；ＯＫＡＹＡＭＡ　ＴＯＷＮ　ＧＵＩＤＥ　ＳＩＺＺＬＥ（オカヤマタウンガイドシズル）</v>
      </c>
      <c r="C2920" t="str">
        <f>"シズル＊オカヤマ　タウン　ガイド　シズル"</f>
        <v>シズル＊オカヤマ　タウン　ガイド　シズル</v>
      </c>
      <c r="D2920" t="str">
        <f>"ＨＯＴＥＬセントイン倉敷月刊シズル編集部"</f>
        <v>ＨＯＴＥＬセントイン倉敷月刊シズル編集部</v>
      </c>
      <c r="E2920" t="str">
        <f>"ホテルセントインクラシキゲッカンシズルヘンシュウブ"</f>
        <v>ホテルセントインクラシキゲッカンシズルヘンシュウブ</v>
      </c>
      <c r="F2920" t="str">
        <f>"倉敷"</f>
        <v>倉敷</v>
      </c>
      <c r="G2920" t="str">
        <f>"月刊"</f>
        <v>月刊</v>
      </c>
      <c r="H2920" t="str">
        <f>"2002222301352"</f>
        <v>2002222301352</v>
      </c>
      <c r="I2920" t="str">
        <f>HYPERLINK("#", "https://opac.libnet.pref.okayama.jp/licsxp-opac/WOpacMsgNewListToTifTilDetailAction.do?tilcod=2002222301352")</f>
        <v>https://opac.libnet.pref.okayama.jp/licsxp-opac/WOpacMsgNewListToTifTilDetailAction.do?tilcod=2002222301352</v>
      </c>
    </row>
    <row r="2921" spans="1:9" x14ac:dyDescent="0.4">
      <c r="A2921" t="str">
        <f>"史跡だより；備前国分寺跡 両宮山古墳"</f>
        <v>史跡だより；備前国分寺跡 両宮山古墳</v>
      </c>
      <c r="B2921" s="1" t="str">
        <f t="shared" si="155"/>
        <v>史跡だより；備前国分寺跡 両宮山古墳</v>
      </c>
      <c r="C2921" t="str">
        <f>"シセキ ダヨリ＊ビゼン コクブンジ アト リョウグウザン コフン"</f>
        <v>シセキ ダヨリ＊ビゼン コクブンジ アト リョウグウザン コフン</v>
      </c>
      <c r="D2921" t="str">
        <f>"岡山県赤磐市教育委員会"</f>
        <v>岡山県赤磐市教育委員会</v>
      </c>
      <c r="E2921" t="str">
        <f>"アカイワシ キョウイク イインカイ"</f>
        <v>アカイワシ キョウイク イインカイ</v>
      </c>
      <c r="F2921" t="str">
        <f>"赤磐"</f>
        <v>赤磐</v>
      </c>
      <c r="G2921" t="str">
        <f>"年２回刊"</f>
        <v>年２回刊</v>
      </c>
      <c r="H2921" t="str">
        <f>"2002222316327"</f>
        <v>2002222316327</v>
      </c>
      <c r="I2921" t="str">
        <f>HYPERLINK("#", "https://opac.libnet.pref.okayama.jp/licsxp-opac/WOpacMsgNewListToTifTilDetailAction.do?tilcod=2002222316327")</f>
        <v>https://opac.libnet.pref.okayama.jp/licsxp-opac/WOpacMsgNewListToTifTilDetailAction.do?tilcod=2002222316327</v>
      </c>
    </row>
    <row r="2922" spans="1:9" x14ac:dyDescent="0.4">
      <c r="A2922" t="str">
        <f>"自然観察教室のまとめ"</f>
        <v>自然観察教室のまとめ</v>
      </c>
      <c r="B2922" s="1" t="str">
        <f t="shared" si="155"/>
        <v>自然観察教室のまとめ</v>
      </c>
      <c r="C2922" t="str">
        <f>"シゼン　カンサツ　キョウシツ　ノ　マトメ"</f>
        <v>シゼン　カンサツ　キョウシツ　ノ　マトメ</v>
      </c>
      <c r="D2922" t="str">
        <f>"岡山の自然教育会"</f>
        <v>岡山の自然教育会</v>
      </c>
      <c r="E2922" t="str">
        <f>"オカヤマノシゼンキョウイクカイ"</f>
        <v>オカヤマノシゼンキョウイクカイ</v>
      </c>
      <c r="F2922" t="str">
        <f>""</f>
        <v/>
      </c>
      <c r="G2922" t="str">
        <f>"頻度不明"</f>
        <v>頻度不明</v>
      </c>
      <c r="H2922" t="str">
        <f>"2002222280464"</f>
        <v>2002222280464</v>
      </c>
      <c r="I2922" t="str">
        <f>HYPERLINK("#", "https://opac.libnet.pref.okayama.jp/licsxp-opac/WOpacMsgNewListToTifTilDetailAction.do?tilcod=2002222280464")</f>
        <v>https://opac.libnet.pref.okayama.jp/licsxp-opac/WOpacMsgNewListToTifTilDetailAction.do?tilcod=2002222280464</v>
      </c>
    </row>
    <row r="2923" spans="1:9" x14ac:dyDescent="0.4">
      <c r="A2923" t="str">
        <f>"自然大好き 竹枝っ子通信"</f>
        <v>自然大好き 竹枝っ子通信</v>
      </c>
      <c r="B2923" s="1" t="str">
        <f t="shared" si="155"/>
        <v>自然大好き 竹枝っ子通信</v>
      </c>
      <c r="C2923" t="str">
        <f>"シゼン ダイスキ タケエダッコ ツウシン"</f>
        <v>シゼン ダイスキ タケエダッコ ツウシン</v>
      </c>
      <c r="D2923" t="str">
        <f>"たけえだ水辺の楽校実行委員会"</f>
        <v>たけえだ水辺の楽校実行委員会</v>
      </c>
      <c r="E2923" t="str">
        <f>"タケエダ ミズベ ノ ガッコウ ジッコウ イインカイ"</f>
        <v>タケエダ ミズベ ノ ガッコウ ジッコウ イインカイ</v>
      </c>
      <c r="F2923" t="str">
        <f>"岡山"</f>
        <v>岡山</v>
      </c>
      <c r="G2923" t="str">
        <f>"月刊"</f>
        <v>月刊</v>
      </c>
      <c r="H2923" t="str">
        <f>"2002222315447"</f>
        <v>2002222315447</v>
      </c>
      <c r="I2923" t="str">
        <f>HYPERLINK("#", "https://opac.libnet.pref.okayama.jp/licsxp-opac/WOpacMsgNewListToTifTilDetailAction.do?tilcod=2002222315447")</f>
        <v>https://opac.libnet.pref.okayama.jp/licsxp-opac/WOpacMsgNewListToTifTilDetailAction.do?tilcod=2002222315447</v>
      </c>
    </row>
    <row r="2924" spans="1:9" x14ac:dyDescent="0.4">
      <c r="A2924" t="str">
        <f>"しぜんほごセンターしんぶん"</f>
        <v>しぜんほごセンターしんぶん</v>
      </c>
      <c r="B2924" s="1" t="str">
        <f t="shared" si="155"/>
        <v>しぜんほごセンターしんぶん</v>
      </c>
      <c r="C2924" t="str">
        <f>"シゼン ホゴ センター シンブン"</f>
        <v>シゼン ホゴ センター シンブン</v>
      </c>
      <c r="D2924" t="str">
        <f>"岡山県自然保護センター"</f>
        <v>岡山県自然保護センター</v>
      </c>
      <c r="E2924" t="str">
        <f>"オカヤマケン シゼン ホゴ センター"</f>
        <v>オカヤマケン シゼン ホゴ センター</v>
      </c>
      <c r="F2924" t="str">
        <f>"和気町（和気郡）"</f>
        <v>和気町（和気郡）</v>
      </c>
      <c r="G2924" t="str">
        <f>"頻度不明"</f>
        <v>頻度不明</v>
      </c>
      <c r="H2924" t="str">
        <f>"2002222321626"</f>
        <v>2002222321626</v>
      </c>
      <c r="I2924" t="str">
        <f>HYPERLINK("#", "https://opac.libnet.pref.okayama.jp/licsxp-opac/WOpacMsgNewListToTifTilDetailAction.do?tilcod=2002222321626")</f>
        <v>https://opac.libnet.pref.okayama.jp/licsxp-opac/WOpacMsgNewListToTifTilDetailAction.do?tilcod=2002222321626</v>
      </c>
    </row>
    <row r="2925" spans="1:9" x14ac:dyDescent="0.4">
      <c r="A2925" t="str">
        <f>"自然保護センターだより"</f>
        <v>自然保護センターだより</v>
      </c>
      <c r="B2925" s="1" t="str">
        <f t="shared" si="155"/>
        <v>自然保護センターだより</v>
      </c>
      <c r="C2925" t="str">
        <f>"シゼン　ホゴ　センター　ダヨリ"</f>
        <v>シゼン　ホゴ　センター　ダヨリ</v>
      </c>
      <c r="D2925" t="str">
        <f>"岡山県自然保護センター"</f>
        <v>岡山県自然保護センター</v>
      </c>
      <c r="E2925" t="str">
        <f>"オカヤマケン シゼン ホゴ センター"</f>
        <v>オカヤマケン シゼン ホゴ センター</v>
      </c>
      <c r="F2925" t="str">
        <f>"和気町（和気郡）"</f>
        <v>和気町（和気郡）</v>
      </c>
      <c r="G2925" t="str">
        <f>"季刊"</f>
        <v>季刊</v>
      </c>
      <c r="H2925" t="str">
        <f>"2002222291431"</f>
        <v>2002222291431</v>
      </c>
      <c r="I2925" t="str">
        <f>HYPERLINK("#", "https://opac.libnet.pref.okayama.jp/licsxp-opac/WOpacMsgNewListToTifTilDetailAction.do?tilcod=2002222291431")</f>
        <v>https://opac.libnet.pref.okayama.jp/licsxp-opac/WOpacMsgNewListToTifTilDetailAction.do?tilcod=2002222291431</v>
      </c>
    </row>
    <row r="2926" spans="1:9" x14ac:dyDescent="0.4">
      <c r="A2926" t="str">
        <f>"自然誌おかやま"</f>
        <v>自然誌おかやま</v>
      </c>
      <c r="B2926" s="1" t="str">
        <f t="shared" si="155"/>
        <v>自然誌おかやま</v>
      </c>
      <c r="C2926" t="str">
        <f>"シゼンシ オカヤマ"</f>
        <v>シゼンシ オカヤマ</v>
      </c>
      <c r="D2926" t="str">
        <f>""</f>
        <v/>
      </c>
      <c r="E2926" t="str">
        <f>""</f>
        <v/>
      </c>
      <c r="F2926" t="str">
        <f>"岡山"</f>
        <v>岡山</v>
      </c>
      <c r="G2926" t="str">
        <f>"月刊"</f>
        <v>月刊</v>
      </c>
      <c r="H2926" t="str">
        <f>"2002222338330"</f>
        <v>2002222338330</v>
      </c>
      <c r="I2926" t="str">
        <f>HYPERLINK("#", "https://opac.libnet.pref.okayama.jp/licsxp-opac/WOpacMsgNewListToTifTilDetailAction.do?tilcod=2002222338330")</f>
        <v>https://opac.libnet.pref.okayama.jp/licsxp-opac/WOpacMsgNewListToTifTilDetailAction.do?tilcod=2002222338330</v>
      </c>
    </row>
    <row r="2927" spans="1:9" x14ac:dyDescent="0.4">
      <c r="A2927" t="str">
        <f>"しぜんしくらしき"</f>
        <v>しぜんしくらしき</v>
      </c>
      <c r="B2927" s="1" t="str">
        <f t="shared" si="155"/>
        <v>しぜんしくらしき</v>
      </c>
      <c r="C2927" t="str">
        <f>"シゼンシ　クラシキ"</f>
        <v>シゼンシ　クラシキ</v>
      </c>
      <c r="D2927" t="str">
        <f>"倉敷市立自然史博物館友の会"</f>
        <v>倉敷市立自然史博物館友の会</v>
      </c>
      <c r="E2927" t="str">
        <f>"クラシキシリツ シゼンシ ハクブツカン トモ ノ カイ"</f>
        <v>クラシキシリツ シゼンシ ハクブツカン トモ ノ カイ</v>
      </c>
      <c r="F2927" t="str">
        <f>"倉敷"</f>
        <v>倉敷</v>
      </c>
      <c r="G2927" t="str">
        <f>"季刊"</f>
        <v>季刊</v>
      </c>
      <c r="H2927" t="str">
        <f>"2002222294041"</f>
        <v>2002222294041</v>
      </c>
      <c r="I2927" t="str">
        <f>HYPERLINK("#", "https://opac.libnet.pref.okayama.jp/licsxp-opac/WOpacMsgNewListToTifTilDetailAction.do?tilcod=2002222294041")</f>
        <v>https://opac.libnet.pref.okayama.jp/licsxp-opac/WOpacMsgNewListToTifTilDetailAction.do?tilcod=2002222294041</v>
      </c>
    </row>
    <row r="2928" spans="1:9" x14ac:dyDescent="0.4">
      <c r="A2928" t="str">
        <f>"思想"</f>
        <v>思想</v>
      </c>
      <c r="B2928" s="1" t="str">
        <f t="shared" si="155"/>
        <v>思想</v>
      </c>
      <c r="C2928" t="str">
        <f>"シソウ"</f>
        <v>シソウ</v>
      </c>
      <c r="D2928" t="str">
        <f>"岡山師範学校文芸部"</f>
        <v>岡山師範学校文芸部</v>
      </c>
      <c r="E2928" t="str">
        <f>"オカヤマシハンガッコウブンゲイブ"</f>
        <v>オカヤマシハンガッコウブンゲイブ</v>
      </c>
      <c r="F2928" t="str">
        <f>""</f>
        <v/>
      </c>
      <c r="G2928" t="str">
        <f>"頻度不明"</f>
        <v>頻度不明</v>
      </c>
      <c r="H2928" t="str">
        <f>"2002222281843"</f>
        <v>2002222281843</v>
      </c>
      <c r="I2928" t="str">
        <f>HYPERLINK("#", "https://opac.libnet.pref.okayama.jp/licsxp-opac/WOpacMsgNewListToTifTilDetailAction.do?tilcod=2002222281843")</f>
        <v>https://opac.libnet.pref.okayama.jp/licsxp-opac/WOpacMsgNewListToTifTilDetailAction.do?tilcod=2002222281843</v>
      </c>
    </row>
    <row r="2929" spans="1:9" x14ac:dyDescent="0.4">
      <c r="A2929" t="str">
        <f>"したづみ"</f>
        <v>したづみ</v>
      </c>
      <c r="B2929" s="1" t="str">
        <f t="shared" si="155"/>
        <v>したづみ</v>
      </c>
      <c r="C2929" t="str">
        <f>"シタズミ"</f>
        <v>シタズミ</v>
      </c>
      <c r="D2929" t="str">
        <f>""</f>
        <v/>
      </c>
      <c r="E2929" t="str">
        <f>""</f>
        <v/>
      </c>
      <c r="F2929" t="str">
        <f>""</f>
        <v/>
      </c>
      <c r="G2929" t="str">
        <f>"頻度不明"</f>
        <v>頻度不明</v>
      </c>
      <c r="H2929" t="str">
        <f>"2002222281853"</f>
        <v>2002222281853</v>
      </c>
      <c r="I2929" t="str">
        <f>HYPERLINK("#", "https://opac.libnet.pref.okayama.jp/licsxp-opac/WOpacMsgNewListToTifTilDetailAction.do?tilcod=2002222281853")</f>
        <v>https://opac.libnet.pref.okayama.jp/licsxp-opac/WOpacMsgNewListToTifTilDetailAction.do?tilcod=2002222281853</v>
      </c>
    </row>
    <row r="2930" spans="1:9" x14ac:dyDescent="0.4">
      <c r="A2930" t="str">
        <f>"史談いばら"</f>
        <v>史談いばら</v>
      </c>
      <c r="B2930" s="1" t="str">
        <f t="shared" si="155"/>
        <v>史談いばら</v>
      </c>
      <c r="C2930" t="str">
        <f>"シダン　イバラ"</f>
        <v>シダン　イバラ</v>
      </c>
      <c r="D2930" t="str">
        <f>"井原史談会"</f>
        <v>井原史談会</v>
      </c>
      <c r="E2930" t="str">
        <f>"イバラシダンカイ"</f>
        <v>イバラシダンカイ</v>
      </c>
      <c r="F2930" t="str">
        <f>"井原"</f>
        <v>井原</v>
      </c>
      <c r="G2930" t="str">
        <f>"年刊"</f>
        <v>年刊</v>
      </c>
      <c r="H2930" t="str">
        <f>"2002222280391"</f>
        <v>2002222280391</v>
      </c>
      <c r="I2930" t="str">
        <f>HYPERLINK("#", "https://opac.libnet.pref.okayama.jp/licsxp-opac/WOpacMsgNewListToTifTilDetailAction.do?tilcod=2002222280391")</f>
        <v>https://opac.libnet.pref.okayama.jp/licsxp-opac/WOpacMsgNewListToTifTilDetailAction.do?tilcod=2002222280391</v>
      </c>
    </row>
    <row r="2931" spans="1:9" x14ac:dyDescent="0.4">
      <c r="A2931" t="str">
        <f>"史談いばら"</f>
        <v>史談いばら</v>
      </c>
      <c r="B2931" s="1" t="str">
        <f t="shared" si="155"/>
        <v>史談いばら</v>
      </c>
      <c r="C2931" t="str">
        <f>"シダン　イバラ"</f>
        <v>シダン　イバラ</v>
      </c>
      <c r="D2931" t="str">
        <f>"井原史談会"</f>
        <v>井原史談会</v>
      </c>
      <c r="E2931" t="str">
        <f>"イバラシダンカイ"</f>
        <v>イバラシダンカイ</v>
      </c>
      <c r="F2931" t="str">
        <f>"井原"</f>
        <v>井原</v>
      </c>
      <c r="G2931" t="str">
        <f>"年刊"</f>
        <v>年刊</v>
      </c>
      <c r="H2931" t="str">
        <f>"2002222281863"</f>
        <v>2002222281863</v>
      </c>
      <c r="I2931" t="str">
        <f>HYPERLINK("#", "https://opac.libnet.pref.okayama.jp/licsxp-opac/WOpacMsgNewListToTifTilDetailAction.do?tilcod=2002222281863")</f>
        <v>https://opac.libnet.pref.okayama.jp/licsxp-opac/WOpacMsgNewListToTifTilDetailAction.do?tilcod=2002222281863</v>
      </c>
    </row>
    <row r="2932" spans="1:9" x14ac:dyDescent="0.4">
      <c r="A2932" t="str">
        <f>"自治"</f>
        <v>自治</v>
      </c>
      <c r="B2932" s="1" t="str">
        <f t="shared" si="155"/>
        <v>自治</v>
      </c>
      <c r="C2932" t="str">
        <f>"ジチ"</f>
        <v>ジチ</v>
      </c>
      <c r="D2932" t="str">
        <f>"岡山県自治研究会"</f>
        <v>岡山県自治研究会</v>
      </c>
      <c r="E2932" t="str">
        <f>"オカヤマケンジチケンキュウカイ"</f>
        <v>オカヤマケンジチケンキュウカイ</v>
      </c>
      <c r="F2932" t="str">
        <f>""</f>
        <v/>
      </c>
      <c r="G2932" t="str">
        <f t="shared" ref="G2932:G2940" si="161">"頻度不明"</f>
        <v>頻度不明</v>
      </c>
      <c r="H2932" t="str">
        <f>"2002222281873"</f>
        <v>2002222281873</v>
      </c>
      <c r="I2932" t="str">
        <f>HYPERLINK("#", "https://opac.libnet.pref.okayama.jp/licsxp-opac/WOpacMsgNewListToTifTilDetailAction.do?tilcod=2002222281873")</f>
        <v>https://opac.libnet.pref.okayama.jp/licsxp-opac/WOpacMsgNewListToTifTilDetailAction.do?tilcod=2002222281873</v>
      </c>
    </row>
    <row r="2933" spans="1:9" x14ac:dyDescent="0.4">
      <c r="A2933" t="str">
        <f>"自治てっせい"</f>
        <v>自治てっせい</v>
      </c>
      <c r="B2933" s="1" t="str">
        <f t="shared" si="155"/>
        <v>自治てっせい</v>
      </c>
      <c r="C2933" t="str">
        <f>"ジチ　テッセイ"</f>
        <v>ジチ　テッセイ</v>
      </c>
      <c r="D2933" t="str">
        <f>"哲西町議会"</f>
        <v>哲西町議会</v>
      </c>
      <c r="E2933" t="str">
        <f>"テッセイチヨウギカイ"</f>
        <v>テッセイチヨウギカイ</v>
      </c>
      <c r="F2933" t="str">
        <f>"哲西町"</f>
        <v>哲西町</v>
      </c>
      <c r="G2933" t="str">
        <f t="shared" si="161"/>
        <v>頻度不明</v>
      </c>
      <c r="H2933" t="str">
        <f>"2002222293611"</f>
        <v>2002222293611</v>
      </c>
      <c r="I2933" t="str">
        <f>HYPERLINK("#", "https://opac.libnet.pref.okayama.jp/licsxp-opac/WOpacMsgNewListToTifTilDetailAction.do?tilcod=2002222293611")</f>
        <v>https://opac.libnet.pref.okayama.jp/licsxp-opac/WOpacMsgNewListToTifTilDetailAction.do?tilcod=2002222293611</v>
      </c>
    </row>
    <row r="2934" spans="1:9" x14ac:dyDescent="0.4">
      <c r="A2934" t="str">
        <f>"紫竹"</f>
        <v>紫竹</v>
      </c>
      <c r="B2934" s="1" t="str">
        <f t="shared" si="155"/>
        <v>紫竹</v>
      </c>
      <c r="C2934" t="str">
        <f>"シチク"</f>
        <v>シチク</v>
      </c>
      <c r="D2934" t="str">
        <f>"津山市立第三小学校"</f>
        <v>津山市立第三小学校</v>
      </c>
      <c r="E2934" t="str">
        <f>"ツヤマシリツ ダイサン ショウガッコウ"</f>
        <v>ツヤマシリツ ダイサン ショウガッコウ</v>
      </c>
      <c r="F2934" t="str">
        <f>"津山"</f>
        <v>津山</v>
      </c>
      <c r="G2934" t="str">
        <f t="shared" si="161"/>
        <v>頻度不明</v>
      </c>
      <c r="H2934" t="str">
        <f>"2002222336707"</f>
        <v>2002222336707</v>
      </c>
      <c r="I2934" t="str">
        <f>HYPERLINK("#", "https://opac.libnet.pref.okayama.jp/licsxp-opac/WOpacMsgNewListToTifTilDetailAction.do?tilcod=2002222336707")</f>
        <v>https://opac.libnet.pref.okayama.jp/licsxp-opac/WOpacMsgNewListToTifTilDetailAction.do?tilcod=2002222336707</v>
      </c>
    </row>
    <row r="2935" spans="1:9" x14ac:dyDescent="0.4">
      <c r="A2935" t="str">
        <f>"七合目"</f>
        <v>七合目</v>
      </c>
      <c r="B2935" s="1" t="str">
        <f t="shared" si="155"/>
        <v>七合目</v>
      </c>
      <c r="C2935" t="str">
        <f>"シチゴウメ"</f>
        <v>シチゴウメ</v>
      </c>
      <c r="D2935" t="str">
        <f>"七合目同人会"</f>
        <v>七合目同人会</v>
      </c>
      <c r="E2935" t="str">
        <f>"シチゴウメ　ドウジンカイ"</f>
        <v>シチゴウメ　ドウジンカイ</v>
      </c>
      <c r="F2935" t="str">
        <f>""</f>
        <v/>
      </c>
      <c r="G2935" t="str">
        <f t="shared" si="161"/>
        <v>頻度不明</v>
      </c>
      <c r="H2935" t="str">
        <f>"2002222281883"</f>
        <v>2002222281883</v>
      </c>
      <c r="I2935" t="str">
        <f>HYPERLINK("#", "https://opac.libnet.pref.okayama.jp/licsxp-opac/WOpacMsgNewListToTifTilDetailAction.do?tilcod=2002222281883")</f>
        <v>https://opac.libnet.pref.okayama.jp/licsxp-opac/WOpacMsgNewListToTifTilDetailAction.do?tilcod=2002222281883</v>
      </c>
    </row>
    <row r="2936" spans="1:9" x14ac:dyDescent="0.4">
      <c r="A2936" t="str">
        <f>"七々雑誌"</f>
        <v>七々雑誌</v>
      </c>
      <c r="B2936" s="1" t="str">
        <f t="shared" si="155"/>
        <v>七々雑誌</v>
      </c>
      <c r="C2936" t="str">
        <f>"シチシチ　ザッシ"</f>
        <v>シチシチ　ザッシ</v>
      </c>
      <c r="D2936" t="str">
        <f>"七七雑誌社"</f>
        <v>七七雑誌社</v>
      </c>
      <c r="E2936" t="str">
        <f>"シチシチザッシシャ"</f>
        <v>シチシチザッシシャ</v>
      </c>
      <c r="F2936" t="str">
        <f>""</f>
        <v/>
      </c>
      <c r="G2936" t="str">
        <f t="shared" si="161"/>
        <v>頻度不明</v>
      </c>
      <c r="H2936" t="str">
        <f>"2002222281893"</f>
        <v>2002222281893</v>
      </c>
      <c r="I2936" t="str">
        <f>HYPERLINK("#", "https://opac.libnet.pref.okayama.jp/licsxp-opac/WOpacMsgNewListToTifTilDetailAction.do?tilcod=2002222281893")</f>
        <v>https://opac.libnet.pref.okayama.jp/licsxp-opac/WOpacMsgNewListToTifTilDetailAction.do?tilcod=2002222281893</v>
      </c>
    </row>
    <row r="2937" spans="1:9" x14ac:dyDescent="0.4">
      <c r="A2937" t="str">
        <f>"七七雑報"</f>
        <v>七七雑報</v>
      </c>
      <c r="B2937" s="1" t="str">
        <f t="shared" si="155"/>
        <v>七七雑報</v>
      </c>
      <c r="C2937" t="str">
        <f>"シチシチ　ザッポウ"</f>
        <v>シチシチ　ザッポウ</v>
      </c>
      <c r="D2937" t="str">
        <f>"七七雑報社"</f>
        <v>七七雑報社</v>
      </c>
      <c r="E2937" t="str">
        <f>"シチシチザッポウシャ"</f>
        <v>シチシチザッポウシャ</v>
      </c>
      <c r="F2937" t="str">
        <f>""</f>
        <v/>
      </c>
      <c r="G2937" t="str">
        <f t="shared" si="161"/>
        <v>頻度不明</v>
      </c>
      <c r="H2937" t="str">
        <f>"2002222281903"</f>
        <v>2002222281903</v>
      </c>
      <c r="I2937" t="str">
        <f>HYPERLINK("#", "https://opac.libnet.pref.okayama.jp/licsxp-opac/WOpacMsgNewListToTifTilDetailAction.do?tilcod=2002222281903")</f>
        <v>https://opac.libnet.pref.okayama.jp/licsxp-opac/WOpacMsgNewListToTifTilDetailAction.do?tilcod=2002222281903</v>
      </c>
    </row>
    <row r="2938" spans="1:9" x14ac:dyDescent="0.4">
      <c r="A2938" t="str">
        <f>"史潮[西大寺高等学校]"</f>
        <v>史潮[西大寺高等学校]</v>
      </c>
      <c r="B2938" s="1" t="str">
        <f t="shared" si="155"/>
        <v>史潮[西大寺高等学校]</v>
      </c>
      <c r="C2938" t="str">
        <f>"シチョウ サイダイジ コウトウ ガッコウ"</f>
        <v>シチョウ サイダイジ コウトウ ガッコウ</v>
      </c>
      <c r="D2938" t="str">
        <f>"西大寺高等学校歴史社会部"</f>
        <v>西大寺高等学校歴史社会部</v>
      </c>
      <c r="E2938" t="str">
        <f>"サイダイジコウトウガッコウレキシシャカイブ"</f>
        <v>サイダイジコウトウガッコウレキシシャカイブ</v>
      </c>
      <c r="F2938" t="str">
        <f>""</f>
        <v/>
      </c>
      <c r="G2938" t="str">
        <f t="shared" si="161"/>
        <v>頻度不明</v>
      </c>
      <c r="H2938" t="str">
        <f>"2002222337031"</f>
        <v>2002222337031</v>
      </c>
      <c r="I2938" t="str">
        <f>HYPERLINK("#", "https://opac.libnet.pref.okayama.jp/licsxp-opac/WOpacMsgNewListToTifTilDetailAction.do?tilcod=2002222337031")</f>
        <v>https://opac.libnet.pref.okayama.jp/licsxp-opac/WOpacMsgNewListToTifTilDetailAction.do?tilcod=2002222337031</v>
      </c>
    </row>
    <row r="2939" spans="1:9" x14ac:dyDescent="0.4">
      <c r="A2939" t="str">
        <f>"視聴覚"</f>
        <v>視聴覚</v>
      </c>
      <c r="B2939" s="1" t="str">
        <f t="shared" si="155"/>
        <v>視聴覚</v>
      </c>
      <c r="C2939" t="str">
        <f>"シチョウカク"</f>
        <v>シチョウカク</v>
      </c>
      <c r="D2939" t="str">
        <f>"岡山県高等学校教育研究会学校視聴覚部会"</f>
        <v>岡山県高等学校教育研究会学校視聴覚部会</v>
      </c>
      <c r="E2939" t="str">
        <f>"オカヤマケン コウトウガッコウ キョウイク ケンキュウカイ ガッコウ シチョウカク ブカイ"</f>
        <v>オカヤマケン コウトウガッコウ キョウイク ケンキュウカイ ガッコウ シチョウカク ブカイ</v>
      </c>
      <c r="F2939" t="str">
        <f>"岡山"</f>
        <v>岡山</v>
      </c>
      <c r="G2939" t="str">
        <f t="shared" si="161"/>
        <v>頻度不明</v>
      </c>
      <c r="H2939" t="str">
        <f>"2002222322386"</f>
        <v>2002222322386</v>
      </c>
      <c r="I2939" t="str">
        <f>HYPERLINK("#", "https://opac.libnet.pref.okayama.jp/licsxp-opac/WOpacMsgNewListToTifTilDetailAction.do?tilcod=2002222322386")</f>
        <v>https://opac.libnet.pref.okayama.jp/licsxp-opac/WOpacMsgNewListToTifTilDetailAction.do?tilcod=2002222322386</v>
      </c>
    </row>
    <row r="2940" spans="1:9" x14ac:dyDescent="0.4">
      <c r="A2940" t="str">
        <f>"市町村おかやま"</f>
        <v>市町村おかやま</v>
      </c>
      <c r="B2940" s="1" t="str">
        <f t="shared" si="155"/>
        <v>市町村おかやま</v>
      </c>
      <c r="C2940" t="str">
        <f>"シチョウソン　オカヤマ"</f>
        <v>シチョウソン　オカヤマ</v>
      </c>
      <c r="D2940" t="str">
        <f>"岡山県総務部地方課"</f>
        <v>岡山県総務部地方課</v>
      </c>
      <c r="E2940" t="str">
        <f>"オカヤマケンソウムブチホウカ"</f>
        <v>オカヤマケンソウムブチホウカ</v>
      </c>
      <c r="F2940" t="str">
        <f>"岡山"</f>
        <v>岡山</v>
      </c>
      <c r="G2940" t="str">
        <f t="shared" si="161"/>
        <v>頻度不明</v>
      </c>
      <c r="H2940" t="str">
        <f>"2002222281913"</f>
        <v>2002222281913</v>
      </c>
      <c r="I2940" t="str">
        <f>HYPERLINK("#", "https://opac.libnet.pref.okayama.jp/licsxp-opac/WOpacMsgNewListToTifTilDetailAction.do?tilcod=2002222281913")</f>
        <v>https://opac.libnet.pref.okayama.jp/licsxp-opac/WOpacMsgNewListToTifTilDetailAction.do?tilcod=2002222281913</v>
      </c>
    </row>
    <row r="2941" spans="1:9" x14ac:dyDescent="0.4">
      <c r="A2941" t="str">
        <f>"自治労岡山"</f>
        <v>自治労岡山</v>
      </c>
      <c r="B2941" s="1" t="str">
        <f t="shared" si="155"/>
        <v>自治労岡山</v>
      </c>
      <c r="C2941" t="str">
        <f>"ジチロウ　オカヤマ"</f>
        <v>ジチロウ　オカヤマ</v>
      </c>
      <c r="D2941" t="str">
        <f>"全日本自治団体労働組合岡山県本部"</f>
        <v>全日本自治団体労働組合岡山県本部</v>
      </c>
      <c r="E2941" t="str">
        <f>"ゼンニホンジチダンタイロウドウクミアイオカヤマケンホンブ"</f>
        <v>ゼンニホンジチダンタイロウドウクミアイオカヤマケンホンブ</v>
      </c>
      <c r="F2941" t="str">
        <f>"岡山"</f>
        <v>岡山</v>
      </c>
      <c r="G2941" t="str">
        <f>"月２回刊"</f>
        <v>月２回刊</v>
      </c>
      <c r="H2941" t="str">
        <f>"2002222300914"</f>
        <v>2002222300914</v>
      </c>
      <c r="I2941" t="str">
        <f>HYPERLINK("#", "https://opac.libnet.pref.okayama.jp/licsxp-opac/WOpacMsgNewListToTifTilDetailAction.do?tilcod=2002222300914")</f>
        <v>https://opac.libnet.pref.okayama.jp/licsxp-opac/WOpacMsgNewListToTifTilDetailAction.do?tilcod=2002222300914</v>
      </c>
    </row>
    <row r="2942" spans="1:9" x14ac:dyDescent="0.4">
      <c r="A2942" t="str">
        <f>"自治労おかやま縮刷版"</f>
        <v>自治労おかやま縮刷版</v>
      </c>
      <c r="B2942" s="1" t="str">
        <f t="shared" si="155"/>
        <v>自治労おかやま縮刷版</v>
      </c>
      <c r="C2942" t="str">
        <f>"ジチロウ　オカヤマ　シュクサツバン"</f>
        <v>ジチロウ　オカヤマ　シュクサツバン</v>
      </c>
      <c r="D2942" t="str">
        <f>"全日本自治団体労働組合岡山県本部"</f>
        <v>全日本自治団体労働組合岡山県本部</v>
      </c>
      <c r="E2942" t="str">
        <f>"ゼンニホンジチダンタイロウドウクミアイオカヤマケンホンブ"</f>
        <v>ゼンニホンジチダンタイロウドウクミアイオカヤマケンホンブ</v>
      </c>
      <c r="F2942" t="str">
        <f>"岡山"</f>
        <v>岡山</v>
      </c>
      <c r="G2942" t="str">
        <f>"頻度不明"</f>
        <v>頻度不明</v>
      </c>
      <c r="H2942" t="str">
        <f>"2002222281064"</f>
        <v>2002222281064</v>
      </c>
      <c r="I2942" t="str">
        <f>HYPERLINK("#", "https://opac.libnet.pref.okayama.jp/licsxp-opac/WOpacMsgNewListToTifTilDetailAction.do?tilcod=2002222281064")</f>
        <v>https://opac.libnet.pref.okayama.jp/licsxp-opac/WOpacMsgNewListToTifTilDetailAction.do?tilcod=2002222281064</v>
      </c>
    </row>
    <row r="2943" spans="1:9" x14ac:dyDescent="0.4">
      <c r="A2943" t="str">
        <f>"実業"</f>
        <v>実業</v>
      </c>
      <c r="B2943" s="1" t="str">
        <f t="shared" si="155"/>
        <v>実業</v>
      </c>
      <c r="C2943" t="str">
        <f>"ジツギョウ"</f>
        <v>ジツギョウ</v>
      </c>
      <c r="D2943" t="str">
        <f>"実業社"</f>
        <v>実業社</v>
      </c>
      <c r="E2943" t="str">
        <f>"ジツギョウシャ"</f>
        <v>ジツギョウシャ</v>
      </c>
      <c r="F2943" t="str">
        <f>""</f>
        <v/>
      </c>
      <c r="G2943" t="str">
        <f>"頻度不明"</f>
        <v>頻度不明</v>
      </c>
      <c r="H2943" t="str">
        <f>"2002222280454"</f>
        <v>2002222280454</v>
      </c>
      <c r="I2943" t="str">
        <f>HYPERLINK("#", "https://opac.libnet.pref.okayama.jp/licsxp-opac/WOpacMsgNewListToTifTilDetailAction.do?tilcod=2002222280454")</f>
        <v>https://opac.libnet.pref.okayama.jp/licsxp-opac/WOpacMsgNewListToTifTilDetailAction.do?tilcod=2002222280454</v>
      </c>
    </row>
    <row r="2944" spans="1:9" x14ac:dyDescent="0.4">
      <c r="A2944" t="str">
        <f>"実業之岡山"</f>
        <v>実業之岡山</v>
      </c>
      <c r="B2944" s="1" t="str">
        <f t="shared" si="155"/>
        <v>実業之岡山</v>
      </c>
      <c r="C2944" t="str">
        <f>"ジツギョウ　ノ　オカヤマ"</f>
        <v>ジツギョウ　ノ　オカヤマ</v>
      </c>
      <c r="D2944" t="str">
        <f>"実業之岡山社"</f>
        <v>実業之岡山社</v>
      </c>
      <c r="E2944" t="str">
        <f>"ジツギョウノオカヤマシャ"</f>
        <v>ジツギョウノオカヤマシャ</v>
      </c>
      <c r="F2944" t="str">
        <f>""</f>
        <v/>
      </c>
      <c r="G2944" t="str">
        <f>"頻度不明"</f>
        <v>頻度不明</v>
      </c>
      <c r="H2944" t="str">
        <f>"2002222281923"</f>
        <v>2002222281923</v>
      </c>
      <c r="I2944" t="str">
        <f>HYPERLINK("#", "https://opac.libnet.pref.okayama.jp/licsxp-opac/WOpacMsgNewListToTifTilDetailAction.do?tilcod=2002222281923")</f>
        <v>https://opac.libnet.pref.okayama.jp/licsxp-opac/WOpacMsgNewListToTifTilDetailAction.do?tilcod=2002222281923</v>
      </c>
    </row>
    <row r="2945" spans="1:9" x14ac:dyDescent="0.4">
      <c r="A2945" t="str">
        <f>"〔岡山県立早島支援学校〕実践のあゆみ"</f>
        <v>〔岡山県立早島支援学校〕実践のあゆみ</v>
      </c>
      <c r="B2945" s="1" t="str">
        <f t="shared" si="155"/>
        <v>〔岡山県立早島支援学校〕実践のあゆみ</v>
      </c>
      <c r="C2945" t="str">
        <f>"ジッセ ン ノ アユミ "</f>
        <v xml:space="preserve">ジッセ ン ノ アユミ </v>
      </c>
      <c r="D2945" t="str">
        <f>"早島支援学校"</f>
        <v>早島支援学校</v>
      </c>
      <c r="E2945" t="str">
        <f>"ハヤシマ シエン ガッコウ"</f>
        <v>ハヤシマ シエン ガッコウ</v>
      </c>
      <c r="F2945" t="str">
        <f>"早島町（都窪郡）"</f>
        <v>早島町（都窪郡）</v>
      </c>
      <c r="G2945" t="str">
        <f>"年刊"</f>
        <v>年刊</v>
      </c>
      <c r="H2945" t="str">
        <f>"2002222306583"</f>
        <v>2002222306583</v>
      </c>
      <c r="I2945" t="str">
        <f>HYPERLINK("#", "https://opac.libnet.pref.okayama.jp/licsxp-opac/WOpacMsgNewListToTifTilDetailAction.do?tilcod=2002222306583")</f>
        <v>https://opac.libnet.pref.okayama.jp/licsxp-opac/WOpacMsgNewListToTifTilDetailAction.do?tilcod=2002222306583</v>
      </c>
    </row>
    <row r="2946" spans="1:9" x14ac:dyDescent="0.4">
      <c r="A2946" t="str">
        <f>"実践のまとめ　誕生寺"</f>
        <v>実践のまとめ　誕生寺</v>
      </c>
      <c r="B2946" s="1" t="str">
        <f t="shared" si="155"/>
        <v>実践のまとめ　誕生寺</v>
      </c>
      <c r="C2946" t="str">
        <f>"ジッセン　ノ　マトメ　タンジョウジ"</f>
        <v>ジッセン　ノ　マトメ　タンジョウジ</v>
      </c>
      <c r="D2946" t="str">
        <f>"誕生寺養護学校"</f>
        <v>誕生寺養護学校</v>
      </c>
      <c r="E2946" t="str">
        <f>"タンジョウジヨウゴガッコウ"</f>
        <v>タンジョウジヨウゴガッコウ</v>
      </c>
      <c r="F2946" t="str">
        <f>"久米南町（久米郡）"</f>
        <v>久米南町（久米郡）</v>
      </c>
      <c r="G2946" t="str">
        <f>"年刊"</f>
        <v>年刊</v>
      </c>
      <c r="H2946" t="str">
        <f>"2002222300725"</f>
        <v>2002222300725</v>
      </c>
      <c r="I2946" t="str">
        <f>HYPERLINK("#", "https://opac.libnet.pref.okayama.jp/licsxp-opac/WOpacMsgNewListToTifTilDetailAction.do?tilcod=2002222300725")</f>
        <v>https://opac.libnet.pref.okayama.jp/licsxp-opac/WOpacMsgNewListToTifTilDetailAction.do?tilcod=2002222300725</v>
      </c>
    </row>
    <row r="2947" spans="1:9" x14ac:dyDescent="0.4">
      <c r="A2947" t="str">
        <f>"しっぽ通信"</f>
        <v>しっぽ通信</v>
      </c>
      <c r="B2947" s="1" t="str">
        <f t="shared" si="155"/>
        <v>しっぽ通信</v>
      </c>
      <c r="C2947" t="str">
        <f>"シッポ ツウシン"</f>
        <v>シッポ ツウシン</v>
      </c>
      <c r="D2947" t="str">
        <f>"岡山県動物愛護財団"</f>
        <v>岡山県動物愛護財団</v>
      </c>
      <c r="E2947" t="str">
        <f>"オカヤマケン ドウブツ アイゴ ザイダン"</f>
        <v>オカヤマケン ドウブツ アイゴ ザイダン</v>
      </c>
      <c r="F2947" t="str">
        <f>"岡山"</f>
        <v>岡山</v>
      </c>
      <c r="G2947" t="str">
        <f>"季刊"</f>
        <v>季刊</v>
      </c>
      <c r="H2947" t="str">
        <f>"2002222312973"</f>
        <v>2002222312973</v>
      </c>
      <c r="I2947" t="str">
        <f>HYPERLINK("#", "https://opac.libnet.pref.okayama.jp/licsxp-opac/WOpacMsgNewListToTifTilDetailAction.do?tilcod=2002222312973")</f>
        <v>https://opac.libnet.pref.okayama.jp/licsxp-opac/WOpacMsgNewListToTifTilDetailAction.do?tilcod=2002222312973</v>
      </c>
    </row>
    <row r="2948" spans="1:9" x14ac:dyDescent="0.4">
      <c r="A2948" t="str">
        <f>"指導協会だより"</f>
        <v>指導協会だより</v>
      </c>
      <c r="B2948" s="1" t="str">
        <f t="shared" ref="B2948:B3011" si="162">HYPERLINK("#", A2948)</f>
        <v>指導協会だより</v>
      </c>
      <c r="C2948" t="str">
        <f>"シドウ　キョウカイ　ダヨリ"</f>
        <v>シドウ　キョウカイ　ダヨリ</v>
      </c>
      <c r="D2948" t="str">
        <f>"岡山県農業経営指導協会"</f>
        <v>岡山県農業経営指導協会</v>
      </c>
      <c r="E2948" t="str">
        <f>"オカヤマケンノウギョウケイエイシドウキョウカイ"</f>
        <v>オカヤマケンノウギョウケイエイシドウキョウカイ</v>
      </c>
      <c r="F2948" t="str">
        <f>""</f>
        <v/>
      </c>
      <c r="G2948" t="str">
        <f>"頻度不明"</f>
        <v>頻度不明</v>
      </c>
      <c r="H2948" t="str">
        <f>"2002222281933"</f>
        <v>2002222281933</v>
      </c>
      <c r="I2948" t="str">
        <f>HYPERLINK("#", "https://opac.libnet.pref.okayama.jp/licsxp-opac/WOpacMsgNewListToTifTilDetailAction.do?tilcod=2002222281933")</f>
        <v>https://opac.libnet.pref.okayama.jp/licsxp-opac/WOpacMsgNewListToTifTilDetailAction.do?tilcod=2002222281933</v>
      </c>
    </row>
    <row r="2949" spans="1:9" x14ac:dyDescent="0.4">
      <c r="A2949" t="str">
        <f>"至道高等学校学校案内"</f>
        <v>至道高等学校学校案内</v>
      </c>
      <c r="B2949" s="1" t="str">
        <f t="shared" si="162"/>
        <v>至道高等学校学校案内</v>
      </c>
      <c r="C2949" t="str">
        <f>"シドウ　コウトウ　ガッコウ　ガッコウ　アンナイ"</f>
        <v>シドウ　コウトウ　ガッコウ　ガッコウ　アンナイ</v>
      </c>
      <c r="D2949" t="str">
        <f>"至道高等学校"</f>
        <v>至道高等学校</v>
      </c>
      <c r="E2949" t="str">
        <f>"シドウコウトウガッコウ"</f>
        <v>シドウコウトウガッコウ</v>
      </c>
      <c r="F2949" t="str">
        <f>"真庭"</f>
        <v>真庭</v>
      </c>
      <c r="G2949" t="str">
        <f>"年刊"</f>
        <v>年刊</v>
      </c>
      <c r="H2949" t="str">
        <f>"2002222301228"</f>
        <v>2002222301228</v>
      </c>
      <c r="I2949" t="str">
        <f>HYPERLINK("#", "https://opac.libnet.pref.okayama.jp/licsxp-opac/WOpacMsgNewListToTifTilDetailAction.do?tilcod=2002222301228")</f>
        <v>https://opac.libnet.pref.okayama.jp/licsxp-opac/WOpacMsgNewListToTifTilDetailAction.do?tilcod=2002222301228</v>
      </c>
    </row>
    <row r="2950" spans="1:9" x14ac:dyDescent="0.4">
      <c r="A2950" t="str">
        <f>"至道高等学校学校要覧"</f>
        <v>至道高等学校学校要覧</v>
      </c>
      <c r="B2950" s="1" t="str">
        <f t="shared" si="162"/>
        <v>至道高等学校学校要覧</v>
      </c>
      <c r="C2950" t="str">
        <f>"シドウ　コウトウ　ガッコウ　ガッコウ　ヨウラン"</f>
        <v>シドウ　コウトウ　ガッコウ　ガッコウ　ヨウラン</v>
      </c>
      <c r="D2950" t="str">
        <f>"至道高等学校"</f>
        <v>至道高等学校</v>
      </c>
      <c r="E2950" t="str">
        <f>"シドウコウトウガッコウ"</f>
        <v>シドウコウトウガッコウ</v>
      </c>
      <c r="F2950" t="str">
        <f>"真庭"</f>
        <v>真庭</v>
      </c>
      <c r="G2950" t="str">
        <f>"年刊"</f>
        <v>年刊</v>
      </c>
      <c r="H2950" t="str">
        <f>"2002222300604"</f>
        <v>2002222300604</v>
      </c>
      <c r="I2950" t="str">
        <f>HYPERLINK("#", "https://opac.libnet.pref.okayama.jp/licsxp-opac/WOpacMsgNewListToTifTilDetailAction.do?tilcod=2002222300604")</f>
        <v>https://opac.libnet.pref.okayama.jp/licsxp-opac/WOpacMsgNewListToTifTilDetailAction.do?tilcod=2002222300604</v>
      </c>
    </row>
    <row r="2951" spans="1:9" x14ac:dyDescent="0.4">
      <c r="A2951" t="str">
        <f>"〔至道高等学校〕至道高新聞"</f>
        <v>〔至道高等学校〕至道高新聞</v>
      </c>
      <c r="B2951" s="1" t="str">
        <f t="shared" si="162"/>
        <v>〔至道高等学校〕至道高新聞</v>
      </c>
      <c r="C2951" t="str">
        <f>"シドウ　コウトウ　ガッコウ＊シドウ　コウ　シンブン"</f>
        <v>シドウ　コウトウ　ガッコウ＊シドウ　コウ　シンブン</v>
      </c>
      <c r="D2951" t="str">
        <f>"至道高校新聞部"</f>
        <v>至道高校新聞部</v>
      </c>
      <c r="E2951" t="str">
        <f>"シドウコウコウシンブンブ"</f>
        <v>シドウコウコウシンブンブ</v>
      </c>
      <c r="F2951" t="str">
        <f>"北房町（上房郡）"</f>
        <v>北房町（上房郡）</v>
      </c>
      <c r="G2951" t="str">
        <f>"頻度不明"</f>
        <v>頻度不明</v>
      </c>
      <c r="H2951" t="str">
        <f>"2002222302013"</f>
        <v>2002222302013</v>
      </c>
      <c r="I2951" t="str">
        <f>HYPERLINK("#", "https://opac.libnet.pref.okayama.jp/licsxp-opac/WOpacMsgNewListToTifTilDetailAction.do?tilcod=2002222302013")</f>
        <v>https://opac.libnet.pref.okayama.jp/licsxp-opac/WOpacMsgNewListToTifTilDetailAction.do?tilcod=2002222302013</v>
      </c>
    </row>
    <row r="2952" spans="1:9" x14ac:dyDescent="0.4">
      <c r="A2952" t="str">
        <f>"指導と研修"</f>
        <v>指導と研修</v>
      </c>
      <c r="B2952" s="1" t="str">
        <f t="shared" si="162"/>
        <v>指導と研修</v>
      </c>
      <c r="C2952" t="str">
        <f>"シドウ ト ケンシュウ"</f>
        <v>シドウ ト ケンシュウ</v>
      </c>
      <c r="D2952" t="str">
        <f>"岡山市教育委員会"</f>
        <v>岡山市教育委員会</v>
      </c>
      <c r="E2952" t="str">
        <f>"オカヤマシ キョウイク イインカイ"</f>
        <v>オカヤマシ キョウイク イインカイ</v>
      </c>
      <c r="F2952" t="str">
        <f>"岡山"</f>
        <v>岡山</v>
      </c>
      <c r="G2952" t="str">
        <f>"頻度不明"</f>
        <v>頻度不明</v>
      </c>
      <c r="H2952" t="str">
        <f>"2002222281943"</f>
        <v>2002222281943</v>
      </c>
      <c r="I2952" t="str">
        <f>HYPERLINK("#", "https://opac.libnet.pref.okayama.jp/licsxp-opac/WOpacMsgNewListToTifTilDetailAction.do?tilcod=2002222281943")</f>
        <v>https://opac.libnet.pref.okayama.jp/licsxp-opac/WOpacMsgNewListToTifTilDetailAction.do?tilcod=2002222281943</v>
      </c>
    </row>
    <row r="2953" spans="1:9" x14ac:dyDescent="0.4">
      <c r="A2953" t="str">
        <f>"児童文学"</f>
        <v>児童文学</v>
      </c>
      <c r="B2953" s="1" t="str">
        <f t="shared" si="162"/>
        <v>児童文学</v>
      </c>
      <c r="C2953" t="str">
        <f>"ジドウ ブンガク"</f>
        <v>ジドウ ブンガク</v>
      </c>
      <c r="D2953" t="str">
        <f>"児童文学社"</f>
        <v>児童文学社</v>
      </c>
      <c r="E2953" t="str">
        <f>"ジドウ ブンガク シャ"</f>
        <v>ジドウ ブンガク シャ</v>
      </c>
      <c r="F2953" t="str">
        <f>""</f>
        <v/>
      </c>
      <c r="G2953" t="str">
        <f>"頻度不明"</f>
        <v>頻度不明</v>
      </c>
      <c r="H2953" t="str">
        <f>"2002222333829"</f>
        <v>2002222333829</v>
      </c>
      <c r="I2953" t="str">
        <f>HYPERLINK("#", "https://opac.libnet.pref.okayama.jp/licsxp-opac/WOpacMsgNewListToTifTilDetailAction.do?tilcod=2002222333829")</f>
        <v>https://opac.libnet.pref.okayama.jp/licsxp-opac/WOpacMsgNewListToTifTilDetailAction.do?tilcod=2002222333829</v>
      </c>
    </row>
    <row r="2954" spans="1:9" x14ac:dyDescent="0.4">
      <c r="A2954" t="str">
        <f>"倭文村民の友"</f>
        <v>倭文村民の友</v>
      </c>
      <c r="B2954" s="1" t="str">
        <f t="shared" si="162"/>
        <v>倭文村民の友</v>
      </c>
      <c r="C2954" t="str">
        <f>"シトリソンミン ノ トモ"</f>
        <v>シトリソンミン ノ トモ</v>
      </c>
      <c r="D2954" t="str">
        <f>"倭文村役場"</f>
        <v>倭文村役場</v>
      </c>
      <c r="E2954" t="str">
        <f>"ジョウボウグンナンブチクノウギョウカイリョウフキュウショ"</f>
        <v>ジョウボウグンナンブチクノウギョウカイリョウフキュウショ</v>
      </c>
      <c r="F2954" t="str">
        <f>"倭文村(岡山県)"</f>
        <v>倭文村(岡山県)</v>
      </c>
      <c r="G2954" t="str">
        <f>"頻度不明"</f>
        <v>頻度不明</v>
      </c>
      <c r="H2954" t="str">
        <f>"2002222341750"</f>
        <v>2002222341750</v>
      </c>
      <c r="I2954" t="str">
        <f>HYPERLINK("#", "https://opac.libnet.pref.okayama.jp/licsxp-opac/WOpacMsgNewListToTifTilDetailAction.do?tilcod=2002222341750")</f>
        <v>https://opac.libnet.pref.okayama.jp/licsxp-opac/WOpacMsgNewListToTifTilDetailAction.do?tilcod=2002222341750</v>
      </c>
    </row>
    <row r="2955" spans="1:9" x14ac:dyDescent="0.4">
      <c r="A2955" t="str">
        <f>"品川技報"</f>
        <v>品川技報</v>
      </c>
      <c r="B2955" s="1" t="str">
        <f t="shared" si="162"/>
        <v>品川技報</v>
      </c>
      <c r="C2955" t="str">
        <f>"シナガワ　ギホウ"</f>
        <v>シナガワ　ギホウ</v>
      </c>
      <c r="D2955" t="str">
        <f>"品川リフラクトリーズ技術研究所"</f>
        <v>品川リフラクトリーズ技術研究所</v>
      </c>
      <c r="E2955" t="str">
        <f>"シナガワ リフラクトリーズ ギジュツ ケンキュウショ"</f>
        <v>シナガワ リフラクトリーズ ギジュツ ケンキュウショ</v>
      </c>
      <c r="F2955" t="str">
        <f>"備前"</f>
        <v>備前</v>
      </c>
      <c r="G2955" t="str">
        <f>"年刊"</f>
        <v>年刊</v>
      </c>
      <c r="H2955" t="str">
        <f>"2002222282001"</f>
        <v>2002222282001</v>
      </c>
      <c r="I2955" t="str">
        <f>HYPERLINK("#", "https://opac.libnet.pref.okayama.jp/licsxp-opac/WOpacMsgNewListToTifTilDetailAction.do?tilcod=2002222282001")</f>
        <v>https://opac.libnet.pref.okayama.jp/licsxp-opac/WOpacMsgNewListToTifTilDetailAction.do?tilcod=2002222282001</v>
      </c>
    </row>
    <row r="2956" spans="1:9" x14ac:dyDescent="0.4">
      <c r="A2956" t="str">
        <f>"シニアNavi(シニアナビ)"</f>
        <v>シニアNavi(シニアナビ)</v>
      </c>
      <c r="B2956" s="1" t="str">
        <f t="shared" si="162"/>
        <v>シニアNavi(シニアナビ)</v>
      </c>
      <c r="C2956" t="str">
        <f>"シニア ナビ"</f>
        <v>シニア ナビ</v>
      </c>
      <c r="D2956" t="str">
        <f>"日健"</f>
        <v>日健</v>
      </c>
      <c r="E2956" t="str">
        <f>"ニッケン"</f>
        <v>ニッケン</v>
      </c>
      <c r="F2956" t="str">
        <f>"岡山"</f>
        <v>岡山</v>
      </c>
      <c r="G2956" t="str">
        <f>"頻度不明"</f>
        <v>頻度不明</v>
      </c>
      <c r="H2956" t="str">
        <f>"2002222307306"</f>
        <v>2002222307306</v>
      </c>
      <c r="I2956" t="str">
        <f>HYPERLINK("#", "https://opac.libnet.pref.okayama.jp/licsxp-opac/WOpacMsgNewListToTifTilDetailAction.do?tilcod=2002222307306")</f>
        <v>https://opac.libnet.pref.okayama.jp/licsxp-opac/WOpacMsgNewListToTifTilDetailAction.do?tilcod=2002222307306</v>
      </c>
    </row>
    <row r="2957" spans="1:9" x14ac:dyDescent="0.4">
      <c r="A2957" t="str">
        <f>"シネマディクト"</f>
        <v>シネマディクト</v>
      </c>
      <c r="B2957" s="1" t="str">
        <f t="shared" si="162"/>
        <v>シネマディクト</v>
      </c>
      <c r="C2957" t="str">
        <f>"シネマディクト"</f>
        <v>シネマディクト</v>
      </c>
      <c r="D2957" t="str">
        <f>"岡山朝日高等学校映画部"</f>
        <v>岡山朝日高等学校映画部</v>
      </c>
      <c r="E2957" t="str">
        <f>"オカヤマアサヒコウトウガッコウエイガブ"</f>
        <v>オカヤマアサヒコウトウガッコウエイガブ</v>
      </c>
      <c r="F2957" t="str">
        <f>""</f>
        <v/>
      </c>
      <c r="G2957" t="str">
        <f>"頻度不明"</f>
        <v>頻度不明</v>
      </c>
      <c r="H2957" t="str">
        <f>"2002222281963"</f>
        <v>2002222281963</v>
      </c>
      <c r="I2957" t="str">
        <f>HYPERLINK("#", "https://opac.libnet.pref.okayama.jp/licsxp-opac/WOpacMsgNewListToTifTilDetailAction.do?tilcod=2002222281963")</f>
        <v>https://opac.libnet.pref.okayama.jp/licsxp-opac/WOpacMsgNewListToTifTilDetailAction.do?tilcod=2002222281963</v>
      </c>
    </row>
    <row r="2958" spans="1:9" x14ac:dyDescent="0.4">
      <c r="A2958" t="str">
        <f>"しののめ"</f>
        <v>しののめ</v>
      </c>
      <c r="B2958" s="1" t="str">
        <f t="shared" si="162"/>
        <v>しののめ</v>
      </c>
      <c r="C2958" t="str">
        <f>"シノノメ"</f>
        <v>シノノメ</v>
      </c>
      <c r="D2958" t="str">
        <f>"備中館"</f>
        <v>備中館</v>
      </c>
      <c r="E2958" t="str">
        <f>"ビッチュウカン"</f>
        <v>ビッチュウカン</v>
      </c>
      <c r="F2958" t="str">
        <f>"東京"</f>
        <v>東京</v>
      </c>
      <c r="G2958" t="str">
        <f>"年刊"</f>
        <v>年刊</v>
      </c>
      <c r="H2958" t="str">
        <f>"2002222281973"</f>
        <v>2002222281973</v>
      </c>
      <c r="I2958" t="str">
        <f>HYPERLINK("#", "https://opac.libnet.pref.okayama.jp/licsxp-opac/WOpacMsgNewListToTifTilDetailAction.do?tilcod=2002222281973")</f>
        <v>https://opac.libnet.pref.okayama.jp/licsxp-opac/WOpacMsgNewListToTifTilDetailAction.do?tilcod=2002222281973</v>
      </c>
    </row>
    <row r="2959" spans="1:9" x14ac:dyDescent="0.4">
      <c r="A2959" t="str">
        <f>"柴笛"</f>
        <v>柴笛</v>
      </c>
      <c r="B2959" s="1" t="str">
        <f t="shared" si="162"/>
        <v>柴笛</v>
      </c>
      <c r="C2959" t="str">
        <f>"シバ　ブエ"</f>
        <v>シバ　ブエ</v>
      </c>
      <c r="D2959" t="str">
        <f>"後藤邦暢"</f>
        <v>後藤邦暢</v>
      </c>
      <c r="E2959" t="str">
        <f>"ゴトウクニノブ"</f>
        <v>ゴトウクニノブ</v>
      </c>
      <c r="F2959" t="str">
        <f>"京都"</f>
        <v>京都</v>
      </c>
      <c r="G2959" t="str">
        <f>"頻度不明"</f>
        <v>頻度不明</v>
      </c>
      <c r="H2959" t="str">
        <f>"2002222285161"</f>
        <v>2002222285161</v>
      </c>
      <c r="I2959" t="str">
        <f>HYPERLINK("#", "https://opac.libnet.pref.okayama.jp/licsxp-opac/WOpacMsgNewListToTifTilDetailAction.do?tilcod=2002222285161")</f>
        <v>https://opac.libnet.pref.okayama.jp/licsxp-opac/WOpacMsgNewListToTifTilDetailAction.do?tilcod=2002222285161</v>
      </c>
    </row>
    <row r="2960" spans="1:9" x14ac:dyDescent="0.4">
      <c r="A2960" t="str">
        <f>"しぶしぶ"</f>
        <v>しぶしぶ</v>
      </c>
      <c r="B2960" s="1" t="str">
        <f t="shared" si="162"/>
        <v>しぶしぶ</v>
      </c>
      <c r="C2960" t="str">
        <f>"シブシブ"</f>
        <v>シブシブ</v>
      </c>
      <c r="D2960" t="str">
        <f>"全国学校図書館問題研究会岡山支部事務局"</f>
        <v>全国学校図書館問題研究会岡山支部事務局</v>
      </c>
      <c r="E2960" t="str">
        <f>"ゼンコクガッコウトショカンモンダイケンキュウカイオカヤマシブジムキョク"</f>
        <v>ゼンコクガッコウトショカンモンダイケンキュウカイオカヤマシブジムキョク</v>
      </c>
      <c r="F2960" t="str">
        <f>"岡山"</f>
        <v>岡山</v>
      </c>
      <c r="G2960" t="str">
        <f>"不定期刊"</f>
        <v>不定期刊</v>
      </c>
      <c r="H2960" t="str">
        <f>"2002222301992"</f>
        <v>2002222301992</v>
      </c>
      <c r="I2960" t="str">
        <f>HYPERLINK("#", "https://opac.libnet.pref.okayama.jp/licsxp-opac/WOpacMsgNewListToTifTilDetailAction.do?tilcod=2002222301992")</f>
        <v>https://opac.libnet.pref.okayama.jp/licsxp-opac/WOpacMsgNewListToTifTilDetailAction.do?tilcod=2002222301992</v>
      </c>
    </row>
    <row r="2961" spans="1:9" x14ac:dyDescent="0.4">
      <c r="A2961" t="str">
        <f>"自分史早島"</f>
        <v>自分史早島</v>
      </c>
      <c r="B2961" s="1" t="str">
        <f t="shared" si="162"/>
        <v>自分史早島</v>
      </c>
      <c r="C2961" t="str">
        <f>"ジブンシ ハヤシマ"</f>
        <v>ジブンシ ハヤシマ</v>
      </c>
      <c r="D2961" t="str">
        <f>"早島町立図書館"</f>
        <v>早島町立図書館</v>
      </c>
      <c r="E2961" t="str">
        <f>"ハヤシマチョウリツ トショカン"</f>
        <v>ハヤシマチョウリツ トショカン</v>
      </c>
      <c r="F2961" t="str">
        <f>"早島町（都窪郡）"</f>
        <v>早島町（都窪郡）</v>
      </c>
      <c r="G2961" t="str">
        <f>"頻度不明"</f>
        <v>頻度不明</v>
      </c>
      <c r="H2961" t="str">
        <f>"2002222336987"</f>
        <v>2002222336987</v>
      </c>
      <c r="I2961" t="str">
        <f>HYPERLINK("#", "https://opac.libnet.pref.okayama.jp/licsxp-opac/WOpacMsgNewListToTifTilDetailAction.do?tilcod=2002222336987")</f>
        <v>https://opac.libnet.pref.okayama.jp/licsxp-opac/WOpacMsgNewListToTifTilDetailAction.do?tilcod=2002222336987</v>
      </c>
    </row>
    <row r="2962" spans="1:9" x14ac:dyDescent="0.4">
      <c r="A2962" t="str">
        <f>"市報そうじゃ"</f>
        <v>市報そうじゃ</v>
      </c>
      <c r="B2962" s="1" t="str">
        <f t="shared" si="162"/>
        <v>市報そうじゃ</v>
      </c>
      <c r="C2962" t="str">
        <f>"シホウ ソウジャ"</f>
        <v>シホウ ソウジャ</v>
      </c>
      <c r="D2962" t="str">
        <f>"岡山県総社市役所市民課市民係"</f>
        <v>岡山県総社市役所市民課市民係</v>
      </c>
      <c r="E2962" t="str">
        <f>"ソウジャシ ヤクショ シミンカ シミンガカリ"</f>
        <v>ソウジャシ ヤクショ シミンカ シミンガカリ</v>
      </c>
      <c r="F2962" t="str">
        <f>"総社"</f>
        <v>総社</v>
      </c>
      <c r="G2962" t="str">
        <f>"頻度不明"</f>
        <v>頻度不明</v>
      </c>
      <c r="H2962" t="str">
        <f>"2002222331928"</f>
        <v>2002222331928</v>
      </c>
      <c r="I2962" t="str">
        <f>HYPERLINK("#", "https://opac.libnet.pref.okayama.jp/licsxp-opac/WOpacMsgNewListToTifTilDetailAction.do?tilcod=2002222331928")</f>
        <v>https://opac.libnet.pref.okayama.jp/licsxp-opac/WOpacMsgNewListToTifTilDetailAction.do?tilcod=2002222331928</v>
      </c>
    </row>
    <row r="2963" spans="1:9" x14ac:dyDescent="0.4">
      <c r="A2963" t="str">
        <f>"時報なごや"</f>
        <v>時報なごや</v>
      </c>
      <c r="B2963" s="1" t="str">
        <f t="shared" si="162"/>
        <v>時報なごや</v>
      </c>
      <c r="C2963" t="str">
        <f>"ジホウ　ナゴヤ"</f>
        <v>ジホウ　ナゴヤ</v>
      </c>
      <c r="D2963" t="str">
        <f>"岡山県名古屋事務所"</f>
        <v>岡山県名古屋事務所</v>
      </c>
      <c r="E2963" t="str">
        <f>"オカヤマケンナゴヤジムショ"</f>
        <v>オカヤマケンナゴヤジムショ</v>
      </c>
      <c r="F2963" t="str">
        <f>""</f>
        <v/>
      </c>
      <c r="G2963" t="str">
        <f>"頻度不明"</f>
        <v>頻度不明</v>
      </c>
      <c r="H2963" t="str">
        <f>"2002222281993"</f>
        <v>2002222281993</v>
      </c>
      <c r="I2963" t="str">
        <f>HYPERLINK("#", "https://opac.libnet.pref.okayama.jp/licsxp-opac/WOpacMsgNewListToTifTilDetailAction.do?tilcod=2002222281993")</f>
        <v>https://opac.libnet.pref.okayama.jp/licsxp-opac/WOpacMsgNewListToTifTilDetailAction.do?tilcod=2002222281993</v>
      </c>
    </row>
    <row r="2964" spans="1:9" x14ac:dyDescent="0.4">
      <c r="A2964" t="str">
        <f>"市報にいみ"</f>
        <v>市報にいみ</v>
      </c>
      <c r="B2964" s="1" t="str">
        <f t="shared" si="162"/>
        <v>市報にいみ</v>
      </c>
      <c r="C2964" t="str">
        <f>"シホウ ニイミ"</f>
        <v>シホウ ニイミ</v>
      </c>
      <c r="D2964" t="str">
        <f>"新見市"</f>
        <v>新見市</v>
      </c>
      <c r="E2964" t="str">
        <f>"ニイミシ"</f>
        <v>ニイミシ</v>
      </c>
      <c r="F2964" t="str">
        <f>"新見"</f>
        <v>新見</v>
      </c>
      <c r="G2964" t="str">
        <f>"月刊"</f>
        <v>月刊</v>
      </c>
      <c r="H2964" t="str">
        <f>"2002222301563"</f>
        <v>2002222301563</v>
      </c>
      <c r="I2964" t="str">
        <f>HYPERLINK("#", "https://opac.libnet.pref.okayama.jp/licsxp-opac/WOpacMsgNewListToTifTilDetailAction.do?tilcod=2002222301563")</f>
        <v>https://opac.libnet.pref.okayama.jp/licsxp-opac/WOpacMsgNewListToTifTilDetailAction.do?tilcod=2002222301563</v>
      </c>
    </row>
    <row r="2965" spans="1:9" x14ac:dyDescent="0.4">
      <c r="A2965" t="str">
        <f>"島だより"</f>
        <v>島だより</v>
      </c>
      <c r="B2965" s="1" t="str">
        <f t="shared" si="162"/>
        <v>島だより</v>
      </c>
      <c r="C2965" t="str">
        <f>"シマ　ダヨリ"</f>
        <v>シマ　ダヨリ</v>
      </c>
      <c r="D2965" t="str">
        <f>"岡山県青少年の島運営委員会"</f>
        <v>岡山県青少年の島運営委員会</v>
      </c>
      <c r="E2965" t="str">
        <f>"オカヤマケンセイショウネンノシマウンエイイインカイ"</f>
        <v>オカヤマケンセイショウネンノシマウンエイイインカイ</v>
      </c>
      <c r="F2965" t="str">
        <f>"岡山"</f>
        <v>岡山</v>
      </c>
      <c r="G2965" t="str">
        <f>"頻度不明"</f>
        <v>頻度不明</v>
      </c>
      <c r="H2965" t="str">
        <f>"2002222287023"</f>
        <v>2002222287023</v>
      </c>
      <c r="I2965" t="str">
        <f>HYPERLINK("#", "https://opac.libnet.pref.okayama.jp/licsxp-opac/WOpacMsgNewListToTifTilDetailAction.do?tilcod=2002222287023")</f>
        <v>https://opac.libnet.pref.okayama.jp/licsxp-opac/WOpacMsgNewListToTifTilDetailAction.do?tilcod=2002222287023</v>
      </c>
    </row>
    <row r="2966" spans="1:9" x14ac:dyDescent="0.4">
      <c r="A2966" t="str">
        <f>"島灯り；地域文化情報誌"</f>
        <v>島灯り；地域文化情報誌</v>
      </c>
      <c r="B2966" s="1" t="str">
        <f t="shared" si="162"/>
        <v>島灯り；地域文化情報誌</v>
      </c>
      <c r="C2966" t="str">
        <f>"シマアカリ チイキ ブンカ ジョウホウシ"</f>
        <v>シマアカリ チイキ ブンカ ジョウホウシ</v>
      </c>
      <c r="D2966" t="str">
        <f>"地域文化交流サークル前島地人会"</f>
        <v>地域文化交流サークル前島地人会</v>
      </c>
      <c r="E2966" t="str">
        <f>"チイキ ブンカ コウリュウ サークル マエジマ チジンカイ"</f>
        <v>チイキ ブンカ コウリュウ サークル マエジマ チジンカイ</v>
      </c>
      <c r="F2966" t="str">
        <f>"瀬戸内"</f>
        <v>瀬戸内</v>
      </c>
      <c r="G2966" t="str">
        <f>"季刊"</f>
        <v>季刊</v>
      </c>
      <c r="H2966" t="str">
        <f>"2002222340350"</f>
        <v>2002222340350</v>
      </c>
      <c r="I2966" t="str">
        <f>HYPERLINK("#", "https://opac.libnet.pref.okayama.jp/licsxp-opac/WOpacMsgNewListToTifTilDetailAction.do?tilcod=2002222340350")</f>
        <v>https://opac.libnet.pref.okayama.jp/licsxp-opac/WOpacMsgNewListToTifTilDetailAction.do?tilcod=2002222340350</v>
      </c>
    </row>
    <row r="2967" spans="1:9" x14ac:dyDescent="0.4">
      <c r="A2967" t="str">
        <f>"しまかぜ〔笠岡諸島ＮＥＷＳ〕"</f>
        <v>しまかぜ〔笠岡諸島ＮＥＷＳ〕</v>
      </c>
      <c r="B2967" s="1" t="str">
        <f t="shared" si="162"/>
        <v>しまかぜ〔笠岡諸島ＮＥＷＳ〕</v>
      </c>
      <c r="C2967" t="str">
        <f>"シマカゼ　カサオカ　ショトウ　ニュース"</f>
        <v>シマカゼ　カサオカ　ショトウ　ニュース</v>
      </c>
      <c r="D2967" t="str">
        <f>"笠岡諸島情報ネットワーク会議"</f>
        <v>笠岡諸島情報ネットワーク会議</v>
      </c>
      <c r="E2967" t="str">
        <f>"カサオカショトウジョウホウネットワークカイギ"</f>
        <v>カサオカショトウジョウホウネットワークカイギ</v>
      </c>
      <c r="F2967" t="str">
        <f>"笠岡"</f>
        <v>笠岡</v>
      </c>
      <c r="G2967" t="str">
        <f>"月刊"</f>
        <v>月刊</v>
      </c>
      <c r="H2967" t="str">
        <f>"2002222285281"</f>
        <v>2002222285281</v>
      </c>
      <c r="I2967" t="str">
        <f>HYPERLINK("#", "https://opac.libnet.pref.okayama.jp/licsxp-opac/WOpacMsgNewListToTifTilDetailAction.do?tilcod=2002222285281")</f>
        <v>https://opac.libnet.pref.okayama.jp/licsxp-opac/WOpacMsgNewListToTifTilDetailAction.do?tilcod=2002222285281</v>
      </c>
    </row>
    <row r="2968" spans="1:9" x14ac:dyDescent="0.4">
      <c r="A2968" t="str">
        <f>"詩脈"</f>
        <v>詩脈</v>
      </c>
      <c r="B2968" s="1" t="str">
        <f t="shared" si="162"/>
        <v>詩脈</v>
      </c>
      <c r="C2968" t="str">
        <f>"シミャク"</f>
        <v>シミャク</v>
      </c>
      <c r="D2968" t="str">
        <f>"詩脈社"</f>
        <v>詩脈社</v>
      </c>
      <c r="E2968" t="str">
        <f>"シミャクシャ"</f>
        <v>シミャクシャ</v>
      </c>
      <c r="F2968" t="str">
        <f>"鴨方町（浅口郡）"</f>
        <v>鴨方町（浅口郡）</v>
      </c>
      <c r="G2968" t="str">
        <f>"不定期刊"</f>
        <v>不定期刊</v>
      </c>
      <c r="H2968" t="str">
        <f>"2002222280411"</f>
        <v>2002222280411</v>
      </c>
      <c r="I2968" t="str">
        <f>HYPERLINK("#", "https://opac.libnet.pref.okayama.jp/licsxp-opac/WOpacMsgNewListToTifTilDetailAction.do?tilcod=2002222280411")</f>
        <v>https://opac.libnet.pref.okayama.jp/licsxp-opac/WOpacMsgNewListToTifTilDetailAction.do?tilcod=2002222280411</v>
      </c>
    </row>
    <row r="2969" spans="1:9" x14ac:dyDescent="0.4">
      <c r="A2969" t="str">
        <f>"市民グラフおかやま"</f>
        <v>市民グラフおかやま</v>
      </c>
      <c r="B2969" s="1" t="str">
        <f t="shared" si="162"/>
        <v>市民グラフおかやま</v>
      </c>
      <c r="C2969" t="str">
        <f>"シミン　グラフ　オカヤマ"</f>
        <v>シミン　グラフ　オカヤマ</v>
      </c>
      <c r="D2969" t="str">
        <f>"岡山市"</f>
        <v>岡山市</v>
      </c>
      <c r="E2969" t="str">
        <f>"オカヤマシ"</f>
        <v>オカヤマシ</v>
      </c>
      <c r="F2969" t="str">
        <f>"岡山"</f>
        <v>岡山</v>
      </c>
      <c r="G2969" t="str">
        <f>"不定期刊"</f>
        <v>不定期刊</v>
      </c>
      <c r="H2969" t="str">
        <f>"2002222287043"</f>
        <v>2002222287043</v>
      </c>
      <c r="I2969" t="str">
        <f>HYPERLINK("#", "https://opac.libnet.pref.okayama.jp/licsxp-opac/WOpacMsgNewListToTifTilDetailAction.do?tilcod=2002222287043")</f>
        <v>https://opac.libnet.pref.okayama.jp/licsxp-opac/WOpacMsgNewListToTifTilDetailAction.do?tilcod=2002222287043</v>
      </c>
    </row>
    <row r="2970" spans="1:9" x14ac:dyDescent="0.4">
      <c r="A2970" t="str">
        <f>"市民と市役所がツナガル通信"</f>
        <v>市民と市役所がツナガル通信</v>
      </c>
      <c r="B2970" s="1" t="str">
        <f t="shared" si="162"/>
        <v>市民と市役所がツナガル通信</v>
      </c>
      <c r="C2970" t="str">
        <f>"シミン ト シヤクショ ガ ツナガル ツウシン"</f>
        <v>シミン ト シヤクショ ガ ツナガル ツウシン</v>
      </c>
      <c r="D2970" t="str">
        <f>"ESD・市民協働推進センター"</f>
        <v>ESD・市民協働推進センター</v>
      </c>
      <c r="E2970" t="str">
        <f>"イーエスディー シミン キョウドウ スイシン センター"</f>
        <v>イーエスディー シミン キョウドウ スイシン センター</v>
      </c>
      <c r="F2970" t="str">
        <f>"岡山"</f>
        <v>岡山</v>
      </c>
      <c r="G2970" t="str">
        <f>"頻度不明"</f>
        <v>頻度不明</v>
      </c>
      <c r="H2970" t="str">
        <f>"2002222331488"</f>
        <v>2002222331488</v>
      </c>
      <c r="I2970" t="str">
        <f>HYPERLINK("#", "https://opac.libnet.pref.okayama.jp/licsxp-opac/WOpacMsgNewListToTifTilDetailAction.do?tilcod=2002222331488")</f>
        <v>https://opac.libnet.pref.okayama.jp/licsxp-opac/WOpacMsgNewListToTifTilDetailAction.do?tilcod=2002222331488</v>
      </c>
    </row>
    <row r="2971" spans="1:9" x14ac:dyDescent="0.4">
      <c r="A2971" t="str">
        <f>"市民本位の市政をつくるみんなの会ニュース"</f>
        <v>市民本位の市政をつくるみんなの会ニュース</v>
      </c>
      <c r="B2971" s="1" t="str">
        <f t="shared" si="162"/>
        <v>市民本位の市政をつくるみんなの会ニュース</v>
      </c>
      <c r="C2971" t="str">
        <f>"シミン　ホンイ　ノ　シセイ　オ　ツクル　ミンナ　ノ　カイ　ニュース"</f>
        <v>シミン　ホンイ　ノ　シセイ　オ　ツクル　ミンナ　ノ　カイ　ニュース</v>
      </c>
      <c r="D2971" t="str">
        <f>"市民本位の市政をつくるみんなの会"</f>
        <v>市民本位の市政をつくるみんなの会</v>
      </c>
      <c r="E2971" t="str">
        <f>"シミンホンイノシセイオツクルミンナノカイ"</f>
        <v>シミンホンイノシセイオツクルミンナノカイ</v>
      </c>
      <c r="F2971" t="str">
        <f>"岡山"</f>
        <v>岡山</v>
      </c>
      <c r="G2971" t="str">
        <f>"月刊"</f>
        <v>月刊</v>
      </c>
      <c r="H2971" t="str">
        <f>"2002222301905"</f>
        <v>2002222301905</v>
      </c>
      <c r="I2971" t="str">
        <f>HYPERLINK("#", "https://opac.libnet.pref.okayama.jp/licsxp-opac/WOpacMsgNewListToTifTilDetailAction.do?tilcod=2002222301905")</f>
        <v>https://opac.libnet.pref.okayama.jp/licsxp-opac/WOpacMsgNewListToTifTilDetailAction.do?tilcod=2002222301905</v>
      </c>
    </row>
    <row r="2972" spans="1:9" x14ac:dyDescent="0.4">
      <c r="A2972" t="str">
        <f>"市民のひろばおかやま特集号"</f>
        <v>市民のひろばおかやま特集号</v>
      </c>
      <c r="B2972" s="1" t="str">
        <f t="shared" si="162"/>
        <v>市民のひろばおかやま特集号</v>
      </c>
      <c r="C2972" t="str">
        <f>"シミンノ　ヒロバ　オカヤマ　トクシュウゴウ"</f>
        <v>シミンノ　ヒロバ　オカヤマ　トクシュウゴウ</v>
      </c>
      <c r="D2972" t="str">
        <f>"岡山市広報広聴課"</f>
        <v>岡山市広報広聴課</v>
      </c>
      <c r="E2972" t="str">
        <f>"オカヤマシコウホウコウチョウカ"</f>
        <v>オカヤマシコウホウコウチョウカ</v>
      </c>
      <c r="F2972" t="str">
        <f>"岡山"</f>
        <v>岡山</v>
      </c>
      <c r="G2972" t="str">
        <f>"季刊"</f>
        <v>季刊</v>
      </c>
      <c r="H2972" t="str">
        <f>"2002222330066"</f>
        <v>2002222330066</v>
      </c>
      <c r="I2972" t="str">
        <f>HYPERLINK("#", "https://opac.libnet.pref.okayama.jp/licsxp-opac/WOpacMsgNewListToTifTilDetailAction.do?tilcod=2002222330066")</f>
        <v>https://opac.libnet.pref.okayama.jp/licsxp-opac/WOpacMsgNewListToTifTilDetailAction.do?tilcod=2002222330066</v>
      </c>
    </row>
    <row r="2973" spans="1:9" x14ac:dyDescent="0.4">
      <c r="A2973" t="str">
        <f>"熾風舞"</f>
        <v>熾風舞</v>
      </c>
      <c r="B2973" s="1" t="str">
        <f t="shared" si="162"/>
        <v>熾風舞</v>
      </c>
      <c r="C2973" t="str">
        <f>"シムーン"</f>
        <v>シムーン</v>
      </c>
      <c r="D2973" t="str">
        <f>"熾風舞"</f>
        <v>熾風舞</v>
      </c>
      <c r="E2973" t="str">
        <f>"シムーン"</f>
        <v>シムーン</v>
      </c>
      <c r="F2973" t="str">
        <f>"岡山"</f>
        <v>岡山</v>
      </c>
      <c r="G2973" t="str">
        <f>"頻度不明"</f>
        <v>頻度不明</v>
      </c>
      <c r="H2973" t="str">
        <f>"2002222326867"</f>
        <v>2002222326867</v>
      </c>
      <c r="I2973" t="str">
        <f>HYPERLINK("#", "https://opac.libnet.pref.okayama.jp/licsxp-opac/WOpacMsgNewListToTifTilDetailAction.do?tilcod=2002222326867")</f>
        <v>https://opac.libnet.pref.okayama.jp/licsxp-opac/WOpacMsgNewListToTifTilDetailAction.do?tilcod=2002222326867</v>
      </c>
    </row>
    <row r="2974" spans="1:9" x14ac:dyDescent="0.4">
      <c r="A2974" t="str">
        <f>"下津井"</f>
        <v>下津井</v>
      </c>
      <c r="B2974" s="1" t="str">
        <f t="shared" si="162"/>
        <v>下津井</v>
      </c>
      <c r="C2974" t="str">
        <f>"シモツイ"</f>
        <v>シモツイ</v>
      </c>
      <c r="D2974" t="str">
        <f>"下津井を考える会"</f>
        <v>下津井を考える会</v>
      </c>
      <c r="E2974" t="str">
        <f>"シモツイ　オ　カンガエル　カイ"</f>
        <v>シモツイ　オ　カンガエル　カイ</v>
      </c>
      <c r="F2974" t="str">
        <f>""</f>
        <v/>
      </c>
      <c r="G2974" t="str">
        <f>"頻度不明"</f>
        <v>頻度不明</v>
      </c>
      <c r="H2974" t="str">
        <f>"2002222287053"</f>
        <v>2002222287053</v>
      </c>
      <c r="I2974" t="str">
        <f>HYPERLINK("#", "https://opac.libnet.pref.okayama.jp/licsxp-opac/WOpacMsgNewListToTifTilDetailAction.do?tilcod=2002222287053")</f>
        <v>https://opac.libnet.pref.okayama.jp/licsxp-opac/WOpacMsgNewListToTifTilDetailAction.do?tilcod=2002222287053</v>
      </c>
    </row>
    <row r="2975" spans="1:9" x14ac:dyDescent="0.4">
      <c r="A2975" t="str">
        <f>"しもついっ子"</f>
        <v>しもついっ子</v>
      </c>
      <c r="B2975" s="1" t="str">
        <f t="shared" si="162"/>
        <v>しもついっ子</v>
      </c>
      <c r="C2975" t="str">
        <f>"シモツイッコ"</f>
        <v>シモツイッコ</v>
      </c>
      <c r="D2975" t="str">
        <f>"倉敷市下津井中学校区青少年を育てる会／倉敷市下津井学区合同補導協議会"</f>
        <v>倉敷市下津井中学校区青少年を育てる会／倉敷市下津井学区合同補導協議会</v>
      </c>
      <c r="E2975" t="str">
        <f>"クラシキシシモツイチュウガッコウクセイショウネンオソダテルカイクラシキシシモツイガックゴウドウホドウキョウギカイ"</f>
        <v>クラシキシシモツイチュウガッコウクセイショウネンオソダテルカイクラシキシシモツイガックゴウドウホドウキョウギカイ</v>
      </c>
      <c r="F2975" t="str">
        <f>"倉敷"</f>
        <v>倉敷</v>
      </c>
      <c r="G2975" t="str">
        <f>"年刊"</f>
        <v>年刊</v>
      </c>
      <c r="H2975" t="str">
        <f>"2002222285191"</f>
        <v>2002222285191</v>
      </c>
      <c r="I2975" t="str">
        <f>HYPERLINK("#", "https://opac.libnet.pref.okayama.jp/licsxp-opac/WOpacMsgNewListToTifTilDetailAction.do?tilcod=2002222285191")</f>
        <v>https://opac.libnet.pref.okayama.jp/licsxp-opac/WOpacMsgNewListToTifTilDetailAction.do?tilcod=2002222285191</v>
      </c>
    </row>
    <row r="2976" spans="1:9" x14ac:dyDescent="0.4">
      <c r="A2976" t="str">
        <f>"ＳＨＩＭＯＤＥＮ"</f>
        <v>ＳＨＩＭＯＤＥＮ</v>
      </c>
      <c r="B2976" s="1" t="str">
        <f t="shared" si="162"/>
        <v>ＳＨＩＭＯＤＥＮ</v>
      </c>
      <c r="C2976" t="str">
        <f>"シモデン"</f>
        <v>シモデン</v>
      </c>
      <c r="D2976" t="str">
        <f>"下津井電鉄"</f>
        <v>下津井電鉄</v>
      </c>
      <c r="E2976" t="str">
        <f>"シモツイデンテツ"</f>
        <v>シモツイデンテツ</v>
      </c>
      <c r="F2976" t="str">
        <f>"岡山"</f>
        <v>岡山</v>
      </c>
      <c r="G2976" t="str">
        <f>"隔月刊"</f>
        <v>隔月刊</v>
      </c>
      <c r="H2976" t="str">
        <f>"2002222287073"</f>
        <v>2002222287073</v>
      </c>
      <c r="I2976" t="str">
        <f>HYPERLINK("#", "https://opac.libnet.pref.okayama.jp/licsxp-opac/WOpacMsgNewListToTifTilDetailAction.do?tilcod=2002222287073")</f>
        <v>https://opac.libnet.pref.okayama.jp/licsxp-opac/WOpacMsgNewListToTifTilDetailAction.do?tilcod=2002222287073</v>
      </c>
    </row>
    <row r="2977" spans="1:9" x14ac:dyDescent="0.4">
      <c r="A2977" t="str">
        <f>"斜"</f>
        <v>斜</v>
      </c>
      <c r="B2977" s="1" t="str">
        <f t="shared" si="162"/>
        <v>斜</v>
      </c>
      <c r="C2977" t="str">
        <f>"シャ"</f>
        <v>シャ</v>
      </c>
      <c r="D2977" t="str">
        <f>""</f>
        <v/>
      </c>
      <c r="E2977" t="str">
        <f>"ミチ ブンガク  ドウコウカイ"</f>
        <v>ミチ ブンガク  ドウコウカイ</v>
      </c>
      <c r="F2977" t="str">
        <f>""</f>
        <v/>
      </c>
      <c r="G2977" t="str">
        <f>"頻度不明"</f>
        <v>頻度不明</v>
      </c>
      <c r="H2977" t="str">
        <f>"2002222305963"</f>
        <v>2002222305963</v>
      </c>
      <c r="I2977" t="str">
        <f>HYPERLINK("#", "https://opac.libnet.pref.okayama.jp/licsxp-opac/WOpacMsgNewListToTifTilDetailAction.do?tilcod=2002222305963")</f>
        <v>https://opac.libnet.pref.okayama.jp/licsxp-opac/WOpacMsgNewListToTifTilDetailAction.do?tilcod=2002222305963</v>
      </c>
    </row>
    <row r="2978" spans="1:9" x14ac:dyDescent="0.4">
      <c r="A2978" t="str">
        <f>"JOURNAL FOR ENGLISH TEACHERS(ジャーナルフォーイングリッシュティーチャーズ)"</f>
        <v>JOURNAL FOR ENGLISH TEACHERS(ジャーナルフォーイングリッシュティーチャーズ)</v>
      </c>
      <c r="B2978" s="1" t="str">
        <f t="shared" si="162"/>
        <v>JOURNAL FOR ENGLISH TEACHERS(ジャーナルフォーイングリッシュティーチャーズ)</v>
      </c>
      <c r="C2978" t="str">
        <f>"ジャーナル フォー イングリッシュ ティーチャーズ"</f>
        <v>ジャーナル フォー イングリッシュ ティーチャーズ</v>
      </c>
      <c r="D2978" t="str">
        <f>"岡山県中学校教育研究会英語部会"</f>
        <v>岡山県中学校教育研究会英語部会</v>
      </c>
      <c r="E2978" t="str">
        <f>"オカヤマケン チュウガッコウ キョウイク ケンキュウカイ エイゴ ブカイ"</f>
        <v>オカヤマケン チュウガッコウ キョウイク ケンキュウカイ エイゴ ブカイ</v>
      </c>
      <c r="F2978" t="str">
        <f>"岡山"</f>
        <v>岡山</v>
      </c>
      <c r="G2978" t="str">
        <f>"年刊"</f>
        <v>年刊</v>
      </c>
      <c r="H2978" t="str">
        <f>"2002222301956"</f>
        <v>2002222301956</v>
      </c>
      <c r="I2978" t="str">
        <f>HYPERLINK("#", "https://opac.libnet.pref.okayama.jp/licsxp-opac/WOpacMsgNewListToTifTilDetailAction.do?tilcod=2002222301956")</f>
        <v>https://opac.libnet.pref.okayama.jp/licsxp-opac/WOpacMsgNewListToTifTilDetailAction.do?tilcod=2002222301956</v>
      </c>
    </row>
    <row r="2979" spans="1:9" x14ac:dyDescent="0.4">
      <c r="A2979" t="str">
        <f>"社会教育研究"</f>
        <v>社会教育研究</v>
      </c>
      <c r="B2979" s="1" t="str">
        <f t="shared" si="162"/>
        <v>社会教育研究</v>
      </c>
      <c r="C2979" t="str">
        <f>"シャカイ　キョウイク　ケンキュウ"</f>
        <v>シャカイ　キョウイク　ケンキュウ</v>
      </c>
      <c r="D2979" t="str">
        <f>"津山社会教育文化財団"</f>
        <v>津山社会教育文化財団</v>
      </c>
      <c r="E2979" t="str">
        <f>"ツヤマシャカイキョウイクブンカザイダン"</f>
        <v>ツヤマシャカイキョウイクブンカザイダン</v>
      </c>
      <c r="F2979" t="str">
        <f>"津山"</f>
        <v>津山</v>
      </c>
      <c r="G2979" t="str">
        <f>"頻度不明"</f>
        <v>頻度不明</v>
      </c>
      <c r="H2979" t="str">
        <f>"2002222284451"</f>
        <v>2002222284451</v>
      </c>
      <c r="I2979" t="str">
        <f>HYPERLINK("#", "https://opac.libnet.pref.okayama.jp/licsxp-opac/WOpacMsgNewListToTifTilDetailAction.do?tilcod=2002222284451")</f>
        <v>https://opac.libnet.pref.okayama.jp/licsxp-opac/WOpacMsgNewListToTifTilDetailAction.do?tilcod=2002222284451</v>
      </c>
    </row>
    <row r="2980" spans="1:9" x14ac:dyDescent="0.4">
      <c r="A2980" t="str">
        <f>"社会教育通信；岡山県社会教育通信"</f>
        <v>社会教育通信；岡山県社会教育通信</v>
      </c>
      <c r="B2980" s="1" t="str">
        <f t="shared" si="162"/>
        <v>社会教育通信；岡山県社会教育通信</v>
      </c>
      <c r="C2980" t="str">
        <f>"シャカイ　キョウイク　ツウシン＊オカヤマケン　シャカイ　キョウイク　ツウシン"</f>
        <v>シャカイ　キョウイク　ツウシン＊オカヤマケン　シャカイ　キョウイク　ツウシン</v>
      </c>
      <c r="D2980" t="str">
        <f>"岡山県教育委員会社会教育課"</f>
        <v>岡山県教育委員会社会教育課</v>
      </c>
      <c r="E2980" t="str">
        <f>"オカヤマケン キョウイク イインカイ シャカイ キョウイクカ"</f>
        <v>オカヤマケン キョウイク イインカイ シャカイ キョウイクカ</v>
      </c>
      <c r="F2980" t="str">
        <f>"岡山"</f>
        <v>岡山</v>
      </c>
      <c r="G2980" t="str">
        <f>"不定期刊"</f>
        <v>不定期刊</v>
      </c>
      <c r="H2980" t="str">
        <f>"2002222285561"</f>
        <v>2002222285561</v>
      </c>
      <c r="I2980" t="str">
        <f>HYPERLINK("#", "https://opac.libnet.pref.okayama.jp/licsxp-opac/WOpacMsgNewListToTifTilDetailAction.do?tilcod=2002222285561")</f>
        <v>https://opac.libnet.pref.okayama.jp/licsxp-opac/WOpacMsgNewListToTifTilDetailAction.do?tilcod=2002222285561</v>
      </c>
    </row>
    <row r="2981" spans="1:9" x14ac:dyDescent="0.4">
      <c r="A2981" t="str">
        <f>"社会新報　岡山県議会版"</f>
        <v>社会新報　岡山県議会版</v>
      </c>
      <c r="B2981" s="1" t="str">
        <f t="shared" si="162"/>
        <v>社会新報　岡山県議会版</v>
      </c>
      <c r="C2981" t="str">
        <f>"シャカイ　シンポウ　オカヤマ　ケンギカイバン"</f>
        <v>シャカイ　シンポウ　オカヤマ　ケンギカイバン</v>
      </c>
      <c r="D2981" t="str">
        <f>"日本社会党中央本部機関紙局"</f>
        <v>日本社会党中央本部機関紙局</v>
      </c>
      <c r="E2981" t="str">
        <f>"ニッポンシャカイトウチュウオウホンブキカンシキョク"</f>
        <v>ニッポンシャカイトウチュウオウホンブキカンシキョク</v>
      </c>
      <c r="F2981" t="str">
        <f>"東京"</f>
        <v>東京</v>
      </c>
      <c r="G2981" t="str">
        <f>"週２回刊"</f>
        <v>週２回刊</v>
      </c>
      <c r="H2981" t="str">
        <f>"2002222300915"</f>
        <v>2002222300915</v>
      </c>
      <c r="I2981" t="str">
        <f>HYPERLINK("#", "https://opac.libnet.pref.okayama.jp/licsxp-opac/WOpacMsgNewListToTifTilDetailAction.do?tilcod=2002222300915")</f>
        <v>https://opac.libnet.pref.okayama.jp/licsxp-opac/WOpacMsgNewListToTifTilDetailAction.do?tilcod=2002222300915</v>
      </c>
    </row>
    <row r="2982" spans="1:9" x14ac:dyDescent="0.4">
      <c r="A2982" t="str">
        <f>"社会新報 号外(岡山県連合版)"</f>
        <v>社会新報 号外(岡山県連合版)</v>
      </c>
      <c r="B2982" s="1" t="str">
        <f t="shared" si="162"/>
        <v>社会新報 号外(岡山県連合版)</v>
      </c>
      <c r="C2982" t="str">
        <f>"シャカイ　シンポウ　ゴウガイ　オカヤマケン　レンゴウバン"</f>
        <v>シャカイ　シンポウ　ゴウガイ　オカヤマケン　レンゴウバン</v>
      </c>
      <c r="D2982" t="str">
        <f>"社会民主党全国連合機関紙宣伝局"</f>
        <v>社会民主党全国連合機関紙宣伝局</v>
      </c>
      <c r="E2982" t="str">
        <f>"シャカイ ミンシュトウ ゼンコク レンゴウ キカンシ センデンキョク"</f>
        <v>シャカイ ミンシュトウ ゼンコク レンゴウ キカンシ センデンキョク</v>
      </c>
      <c r="F2982" t="str">
        <f>"岡山"</f>
        <v>岡山</v>
      </c>
      <c r="G2982" t="str">
        <f>"月刊"</f>
        <v>月刊</v>
      </c>
      <c r="H2982" t="str">
        <f>"2002222322906"</f>
        <v>2002222322906</v>
      </c>
      <c r="I2982" t="str">
        <f>HYPERLINK("#", "https://opac.libnet.pref.okayama.jp/licsxp-opac/WOpacMsgNewListToTifTilDetailAction.do?tilcod=2002222322906")</f>
        <v>https://opac.libnet.pref.okayama.jp/licsxp-opac/WOpacMsgNewListToTifTilDetailAction.do?tilcod=2002222322906</v>
      </c>
    </row>
    <row r="2983" spans="1:9" x14ac:dyDescent="0.4">
      <c r="A2983" t="str">
        <f>"社会保険おかやま"</f>
        <v>社会保険おかやま</v>
      </c>
      <c r="B2983" s="1" t="str">
        <f t="shared" si="162"/>
        <v>社会保険おかやま</v>
      </c>
      <c r="C2983" t="str">
        <f>"シャカイ　ホケン　オカヤマ"</f>
        <v>シャカイ　ホケン　オカヤマ</v>
      </c>
      <c r="D2983" t="str">
        <f>"岡山県社会保険協会"</f>
        <v>岡山県社会保険協会</v>
      </c>
      <c r="E2983" t="str">
        <f>"オカヤマケンシャカイホケンキョウカイ"</f>
        <v>オカヤマケンシャカイホケンキョウカイ</v>
      </c>
      <c r="F2983" t="str">
        <f>"岡山"</f>
        <v>岡山</v>
      </c>
      <c r="G2983" t="str">
        <f>"月刊"</f>
        <v>月刊</v>
      </c>
      <c r="H2983" t="str">
        <f>"2002222292661"</f>
        <v>2002222292661</v>
      </c>
      <c r="I2983" t="str">
        <f>HYPERLINK("#", "https://opac.libnet.pref.okayama.jp/licsxp-opac/WOpacMsgNewListToTifTilDetailAction.do?tilcod=2002222292661")</f>
        <v>https://opac.libnet.pref.okayama.jp/licsxp-opac/WOpacMsgNewListToTifTilDetailAction.do?tilcod=2002222292661</v>
      </c>
    </row>
    <row r="2984" spans="1:9" x14ac:dyDescent="0.4">
      <c r="A2984" t="str">
        <f>"社会保険協会だより　おかやま"</f>
        <v>社会保険協会だより　おかやま</v>
      </c>
      <c r="B2984" s="1" t="str">
        <f t="shared" si="162"/>
        <v>社会保険協会だより　おかやま</v>
      </c>
      <c r="C2984" t="str">
        <f>"シャカイ ホケン キョウカイ ダヨリ カヤマ"</f>
        <v>シャカイ ホケン キョウカイ ダヨリ カヤマ</v>
      </c>
      <c r="D2984" t="str">
        <f>"岡山県社会保険協会"</f>
        <v>岡山県社会保険協会</v>
      </c>
      <c r="E2984" t="str">
        <f>"オカヤマケンシャカイホケンキョウカイ"</f>
        <v>オカヤマケンシャカイホケンキョウカイ</v>
      </c>
      <c r="F2984" t="str">
        <f>"岡山"</f>
        <v>岡山</v>
      </c>
      <c r="G2984" t="str">
        <f>"季刊"</f>
        <v>季刊</v>
      </c>
      <c r="H2984" t="str">
        <f>"2002222302329"</f>
        <v>2002222302329</v>
      </c>
      <c r="I2984" t="str">
        <f>HYPERLINK("#", "https://opac.libnet.pref.okayama.jp/licsxp-opac/WOpacMsgNewListToTifTilDetailAction.do?tilcod=2002222302329")</f>
        <v>https://opac.libnet.pref.okayama.jp/licsxp-opac/WOpacMsgNewListToTifTilDetailAction.do?tilcod=2002222302329</v>
      </c>
    </row>
    <row r="2985" spans="1:9" x14ac:dyDescent="0.4">
      <c r="A2985" t="str">
        <f>"社会科教育"</f>
        <v>社会科教育</v>
      </c>
      <c r="B2985" s="1" t="str">
        <f t="shared" si="162"/>
        <v>社会科教育</v>
      </c>
      <c r="C2985" t="str">
        <f>"シャカイカ　キョウイク"</f>
        <v>シャカイカ　キョウイク</v>
      </c>
      <c r="D2985" t="str">
        <f>"岡山県高等学校教育研究会地理歴史公民部会"</f>
        <v>岡山県高等学校教育研究会地理歴史公民部会</v>
      </c>
      <c r="E2985" t="str">
        <f>"オカヤマケンコウトウガッコウキョウイクケンキュウカイチリレキシコウミンブカイ"</f>
        <v>オカヤマケンコウトウガッコウキョウイクケンキュウカイチリレキシコウミンブカイ</v>
      </c>
      <c r="F2985" t="str">
        <f>"岡山"</f>
        <v>岡山</v>
      </c>
      <c r="G2985" t="str">
        <f>"年刊"</f>
        <v>年刊</v>
      </c>
      <c r="H2985" t="str">
        <f>"2002222284621"</f>
        <v>2002222284621</v>
      </c>
      <c r="I2985" t="str">
        <f>HYPERLINK("#", "https://opac.libnet.pref.okayama.jp/licsxp-opac/WOpacMsgNewListToTifTilDetailAction.do?tilcod=2002222284621")</f>
        <v>https://opac.libnet.pref.okayama.jp/licsxp-opac/WOpacMsgNewListToTifTilDetailAction.do?tilcod=2002222284621</v>
      </c>
    </row>
    <row r="2986" spans="1:9" x14ac:dyDescent="0.4">
      <c r="A2986" t="str">
        <f>"社会科研究"</f>
        <v>社会科研究</v>
      </c>
      <c r="B2986" s="1" t="str">
        <f t="shared" si="162"/>
        <v>社会科研究</v>
      </c>
      <c r="C2986" t="str">
        <f>"シャカイカ ケンキュウ"</f>
        <v>シャカイカ ケンキュウ</v>
      </c>
      <c r="D2986" t="str">
        <f>"鴨方高校社会科研究部"</f>
        <v>鴨方高校社会科研究部</v>
      </c>
      <c r="E2986" t="str">
        <f>"カモガタ コウトウ ガッコウ"</f>
        <v>カモガタ コウトウ ガッコウ</v>
      </c>
      <c r="F2986" t="str">
        <f>""</f>
        <v/>
      </c>
      <c r="G2986" t="str">
        <f>"頻度不明"</f>
        <v>頻度不明</v>
      </c>
      <c r="H2986" t="str">
        <f>"2002222333831"</f>
        <v>2002222333831</v>
      </c>
      <c r="I2986" t="str">
        <f>HYPERLINK("#", "https://opac.libnet.pref.okayama.jp/licsxp-opac/WOpacMsgNewListToTifTilDetailAction.do?tilcod=2002222333831")</f>
        <v>https://opac.libnet.pref.okayama.jp/licsxp-opac/WOpacMsgNewListToTifTilDetailAction.do?tilcod=2002222333831</v>
      </c>
    </row>
    <row r="2987" spans="1:9" x14ac:dyDescent="0.4">
      <c r="A2987" t="str">
        <f>"社会科の研究"</f>
        <v>社会科の研究</v>
      </c>
      <c r="B2987" s="1" t="str">
        <f t="shared" si="162"/>
        <v>社会科の研究</v>
      </c>
      <c r="C2987" t="str">
        <f>"シャカイカ　ノ　ケンキュウ"</f>
        <v>シャカイカ　ノ　ケンキュウ</v>
      </c>
      <c r="D2987" t="str">
        <f>"岡山社会科教育談話会"</f>
        <v>岡山社会科教育談話会</v>
      </c>
      <c r="E2987" t="str">
        <f>"オカヤマシャカイカキョウイクダンワカイ"</f>
        <v>オカヤマシャカイカキョウイクダンワカイ</v>
      </c>
      <c r="F2987" t="str">
        <f>"岡山"</f>
        <v>岡山</v>
      </c>
      <c r="G2987" t="str">
        <f>"頻度不明"</f>
        <v>頻度不明</v>
      </c>
      <c r="H2987" t="str">
        <f>"2002222300699"</f>
        <v>2002222300699</v>
      </c>
      <c r="I2987" t="str">
        <f>HYPERLINK("#", "https://opac.libnet.pref.okayama.jp/licsxp-opac/WOpacMsgNewListToTifTilDetailAction.do?tilcod=2002222300699")</f>
        <v>https://opac.libnet.pref.okayama.jp/licsxp-opac/WOpacMsgNewListToTifTilDetailAction.do?tilcod=2002222300699</v>
      </c>
    </row>
    <row r="2988" spans="1:9" x14ac:dyDescent="0.4">
      <c r="A2988" t="str">
        <f>"社協上道支部だより"</f>
        <v>社協上道支部だより</v>
      </c>
      <c r="B2988" s="1" t="str">
        <f t="shared" si="162"/>
        <v>社協上道支部だより</v>
      </c>
      <c r="C2988" t="str">
        <f>"シャキョウ ジョウドウ シブ ダヨリ"</f>
        <v>シャキョウ ジョウドウ シブ ダヨリ</v>
      </c>
      <c r="D2988" t="str">
        <f>"岡山市社会福祉協議会　上道支部"</f>
        <v>岡山市社会福祉協議会　上道支部</v>
      </c>
      <c r="E2988" t="str">
        <f>"オカヤマシ シャカイ フクシ キョウギカイ ジョウドウ シブ"</f>
        <v>オカヤマシ シャカイ フクシ キョウギカイ ジョウドウ シブ</v>
      </c>
      <c r="F2988" t="str">
        <f>"岡山"</f>
        <v>岡山</v>
      </c>
      <c r="G2988" t="str">
        <f>"頻度不明"</f>
        <v>頻度不明</v>
      </c>
      <c r="H2988" t="str">
        <f>"2002222342734"</f>
        <v>2002222342734</v>
      </c>
      <c r="I2988" t="str">
        <f>HYPERLINK("#", "https://opac.libnet.pref.okayama.jp/licsxp-opac/WOpacMsgNewListToTifTilDetailAction.do?tilcod=2002222342734")</f>
        <v>https://opac.libnet.pref.okayama.jp/licsxp-opac/WOpacMsgNewListToTifTilDetailAction.do?tilcod=2002222342734</v>
      </c>
    </row>
    <row r="2989" spans="1:9" x14ac:dyDescent="0.4">
      <c r="A2989" t="str">
        <f>"かさおか社協だより"</f>
        <v>かさおか社協だより</v>
      </c>
      <c r="B2989" s="1" t="str">
        <f t="shared" si="162"/>
        <v>かさおか社協だより</v>
      </c>
      <c r="C2989" t="str">
        <f>"シャキョウ　ダヨリ"</f>
        <v>シャキョウ　ダヨリ</v>
      </c>
      <c r="D2989" t="str">
        <f>"笠岡市社会福祉協議会"</f>
        <v>笠岡市社会福祉協議会</v>
      </c>
      <c r="E2989" t="str">
        <f>"カサオカシシャカイフクシキョウギカイ"</f>
        <v>カサオカシシャカイフクシキョウギカイ</v>
      </c>
      <c r="F2989" t="str">
        <f>"笠岡"</f>
        <v>笠岡</v>
      </c>
      <c r="G2989" t="str">
        <f>"季刊"</f>
        <v>季刊</v>
      </c>
      <c r="H2989" t="str">
        <f>"2002222281854"</f>
        <v>2002222281854</v>
      </c>
      <c r="I2989" t="str">
        <f>HYPERLINK("#", "https://opac.libnet.pref.okayama.jp/licsxp-opac/WOpacMsgNewListToTifTilDetailAction.do?tilcod=2002222281854")</f>
        <v>https://opac.libnet.pref.okayama.jp/licsxp-opac/WOpacMsgNewListToTifTilDetailAction.do?tilcod=2002222281854</v>
      </c>
    </row>
    <row r="2990" spans="1:9" x14ac:dyDescent="0.4">
      <c r="A2990" t="str">
        <f>"社協だより いばら"</f>
        <v>社協だより いばら</v>
      </c>
      <c r="B2990" s="1" t="str">
        <f t="shared" si="162"/>
        <v>社協だより いばら</v>
      </c>
      <c r="C2990" t="str">
        <f>"シャキョウ　ダヨリ　イバラ"</f>
        <v>シャキョウ　ダヨリ　イバラ</v>
      </c>
      <c r="D2990" t="str">
        <f>"井原市社会福祉協議会"</f>
        <v>井原市社会福祉協議会</v>
      </c>
      <c r="E2990" t="str">
        <f>"イバラシシャカイフクシキョウギカイ"</f>
        <v>イバラシシャカイフクシキョウギカイ</v>
      </c>
      <c r="F2990" t="str">
        <f>"井原"</f>
        <v>井原</v>
      </c>
      <c r="G2990" t="str">
        <f>"隔月刊"</f>
        <v>隔月刊</v>
      </c>
      <c r="H2990" t="str">
        <f>"2002222302123"</f>
        <v>2002222302123</v>
      </c>
      <c r="I2990" t="str">
        <f>HYPERLINK("#", "https://opac.libnet.pref.okayama.jp/licsxp-opac/WOpacMsgNewListToTifTilDetailAction.do?tilcod=2002222302123")</f>
        <v>https://opac.libnet.pref.okayama.jp/licsxp-opac/WOpacMsgNewListToTifTilDetailAction.do?tilcod=2002222302123</v>
      </c>
    </row>
    <row r="2991" spans="1:9" x14ac:dyDescent="0.4">
      <c r="A2991" t="str">
        <f>"社協だよりみまさか"</f>
        <v>社協だよりみまさか</v>
      </c>
      <c r="B2991" s="1" t="str">
        <f t="shared" si="162"/>
        <v>社協だよりみまさか</v>
      </c>
      <c r="C2991" t="str">
        <f>"シャキョウ　ダヨリ　ミマサカ"</f>
        <v>シャキョウ　ダヨリ　ミマサカ</v>
      </c>
      <c r="D2991" t="str">
        <f>"美作市社会福祉協議会"</f>
        <v>美作市社会福祉協議会</v>
      </c>
      <c r="E2991" t="str">
        <f>"ミマサカシシャカイフクシキョウギカイ"</f>
        <v>ミマサカシシャカイフクシキョウギカイ</v>
      </c>
      <c r="F2991" t="str">
        <f>"美作"</f>
        <v>美作</v>
      </c>
      <c r="G2991" t="str">
        <f>"隔月刊"</f>
        <v>隔月刊</v>
      </c>
      <c r="H2991" t="str">
        <f>"2002222301709"</f>
        <v>2002222301709</v>
      </c>
      <c r="I2991" t="str">
        <f>HYPERLINK("#", "https://opac.libnet.pref.okayama.jp/licsxp-opac/WOpacMsgNewListToTifTilDetailAction.do?tilcod=2002222301709")</f>
        <v>https://opac.libnet.pref.okayama.jp/licsxp-opac/WOpacMsgNewListToTifTilDetailAction.do?tilcod=2002222301709</v>
      </c>
    </row>
    <row r="2992" spans="1:9" x14ac:dyDescent="0.4">
      <c r="A2992" t="str">
        <f>"社協だより；はやしま福祉情報"</f>
        <v>社協だより；はやしま福祉情報</v>
      </c>
      <c r="B2992" s="1" t="str">
        <f t="shared" si="162"/>
        <v>社協だより；はやしま福祉情報</v>
      </c>
      <c r="C2992" t="str">
        <f>"シャキョウ　ダヨリ＊ハヤシマ　フクシ　ジョウホウ"</f>
        <v>シャキョウ　ダヨリ＊ハヤシマ　フクシ　ジョウホウ</v>
      </c>
      <c r="D2992" t="str">
        <f>"早島町社会福祉協議会"</f>
        <v>早島町社会福祉協議会</v>
      </c>
      <c r="E2992" t="str">
        <f>"ハヤシマチョウ シャカイ フクシ キョウギカイ"</f>
        <v>ハヤシマチョウ シャカイ フクシ キョウギカイ</v>
      </c>
      <c r="F2992" t="str">
        <f>"早島町（都窪郡）"</f>
        <v>早島町（都窪郡）</v>
      </c>
      <c r="G2992" t="str">
        <f>"季刊"</f>
        <v>季刊</v>
      </c>
      <c r="H2992" t="str">
        <f>"2002222282661"</f>
        <v>2002222282661</v>
      </c>
      <c r="I2992" t="str">
        <f>HYPERLINK("#", "https://opac.libnet.pref.okayama.jp/licsxp-opac/WOpacMsgNewListToTifTilDetailAction.do?tilcod=2002222282661")</f>
        <v>https://opac.libnet.pref.okayama.jp/licsxp-opac/WOpacMsgNewListToTifTilDetailAction.do?tilcod=2002222282661</v>
      </c>
    </row>
    <row r="2993" spans="1:9" x14ac:dyDescent="0.4">
      <c r="A2993" t="str">
        <f>"社協ニュース"</f>
        <v>社協ニュース</v>
      </c>
      <c r="B2993" s="1" t="str">
        <f t="shared" si="162"/>
        <v>社協ニュース</v>
      </c>
      <c r="C2993" t="str">
        <f>"シャキョウ　ニュース"</f>
        <v>シャキョウ　ニュース</v>
      </c>
      <c r="D2993" t="str">
        <f>"岡山市社会福祉協議会"</f>
        <v>岡山市社会福祉協議会</v>
      </c>
      <c r="E2993" t="str">
        <f>"オカヤマシ シャカイ フクシ キョウギカイ"</f>
        <v>オカヤマシ シャカイ フクシ キョウギカイ</v>
      </c>
      <c r="F2993" t="str">
        <f>"岡山"</f>
        <v>岡山</v>
      </c>
      <c r="G2993" t="str">
        <f>"年３回刊"</f>
        <v>年３回刊</v>
      </c>
      <c r="H2993" t="str">
        <f>"2002222300827"</f>
        <v>2002222300827</v>
      </c>
      <c r="I2993" t="str">
        <f>HYPERLINK("#", "https://opac.libnet.pref.okayama.jp/licsxp-opac/WOpacMsgNewListToTifTilDetailAction.do?tilcod=2002222300827")</f>
        <v>https://opac.libnet.pref.okayama.jp/licsxp-opac/WOpacMsgNewListToTifTilDetailAction.do?tilcod=2002222300827</v>
      </c>
    </row>
    <row r="2994" spans="1:9" x14ac:dyDescent="0.4">
      <c r="A2994" t="str">
        <f>"社協福祉のひろば"</f>
        <v>社協福祉のひろば</v>
      </c>
      <c r="B2994" s="1" t="str">
        <f t="shared" si="162"/>
        <v>社協福祉のひろば</v>
      </c>
      <c r="C2994" t="str">
        <f>"シャキョウ　フクシ　ノ　ヒロバ"</f>
        <v>シャキョウ　フクシ　ノ　ヒロバ</v>
      </c>
      <c r="D2994" t="str">
        <f>"赤磐市社会福祉協議会"</f>
        <v>赤磐市社会福祉協議会</v>
      </c>
      <c r="E2994" t="str">
        <f>"アカイワシシャカイフクシキョウギカイ"</f>
        <v>アカイワシシャカイフクシキョウギカイ</v>
      </c>
      <c r="F2994" t="str">
        <f>"赤磐"</f>
        <v>赤磐</v>
      </c>
      <c r="G2994" t="str">
        <f>"隔月刊"</f>
        <v>隔月刊</v>
      </c>
      <c r="H2994" t="str">
        <f>"2002222300792"</f>
        <v>2002222300792</v>
      </c>
      <c r="I2994" t="str">
        <f>HYPERLINK("#", "https://opac.libnet.pref.okayama.jp/licsxp-opac/WOpacMsgNewListToTifTilDetailAction.do?tilcod=2002222300792")</f>
        <v>https://opac.libnet.pref.okayama.jp/licsxp-opac/WOpacMsgNewListToTifTilDetailAction.do?tilcod=2002222300792</v>
      </c>
    </row>
    <row r="2995" spans="1:9" x14ac:dyDescent="0.4">
      <c r="A2995" t="str">
        <f>"社協だより久米"</f>
        <v>社協だより久米</v>
      </c>
      <c r="B2995" s="1" t="str">
        <f t="shared" si="162"/>
        <v>社協だより久米</v>
      </c>
      <c r="C2995" t="str">
        <f>"シャキョウダヨリ　クメ"</f>
        <v>シャキョウダヨリ　クメ</v>
      </c>
      <c r="D2995" t="str">
        <f>"久米町社会福祉協議会"</f>
        <v>久米町社会福祉協議会</v>
      </c>
      <c r="E2995" t="str">
        <f>"クメチョウシャカイフクシキョウギカイ"</f>
        <v>クメチョウシャカイフクシキョウギカイ</v>
      </c>
      <c r="F2995" t="str">
        <f>"久米町"</f>
        <v>久米町</v>
      </c>
      <c r="G2995" t="str">
        <f>"頻度不明"</f>
        <v>頻度不明</v>
      </c>
      <c r="H2995" t="str">
        <f>"2002222284431"</f>
        <v>2002222284431</v>
      </c>
      <c r="I2995" t="str">
        <f>HYPERLINK("#", "https://opac.libnet.pref.okayama.jp/licsxp-opac/WOpacMsgNewListToTifTilDetailAction.do?tilcod=2002222284431")</f>
        <v>https://opac.libnet.pref.okayama.jp/licsxp-opac/WOpacMsgNewListToTifTilDetailAction.do?tilcod=2002222284431</v>
      </c>
    </row>
    <row r="2996" spans="1:9" x14ac:dyDescent="0.4">
      <c r="A2996" t="str">
        <f>"社協だよりくめなん"</f>
        <v>社協だよりくめなん</v>
      </c>
      <c r="B2996" s="1" t="str">
        <f t="shared" si="162"/>
        <v>社協だよりくめなん</v>
      </c>
      <c r="C2996" t="str">
        <f>"シャキョウダヨリ　クメナン"</f>
        <v>シャキョウダヨリ　クメナン</v>
      </c>
      <c r="D2996" t="str">
        <f>"久米南町社会福祉協議会"</f>
        <v>久米南町社会福祉協議会</v>
      </c>
      <c r="E2996" t="str">
        <f>"クメナンチョウ シャカイ フクシ キョウギカイ"</f>
        <v>クメナンチョウ シャカイ フクシ キョウギカイ</v>
      </c>
      <c r="F2996" t="str">
        <f>"久米南町（久米郡）"</f>
        <v>久米南町（久米郡）</v>
      </c>
      <c r="G2996" t="str">
        <f>"頻度不明"</f>
        <v>頻度不明</v>
      </c>
      <c r="H2996" t="str">
        <f>"2002222293731"</f>
        <v>2002222293731</v>
      </c>
      <c r="I2996" t="str">
        <f>HYPERLINK("#", "https://opac.libnet.pref.okayama.jp/licsxp-opac/WOpacMsgNewListToTifTilDetailAction.do?tilcod=2002222293731")</f>
        <v>https://opac.libnet.pref.okayama.jp/licsxp-opac/WOpacMsgNewListToTifTilDetailAction.do?tilcod=2002222293731</v>
      </c>
    </row>
    <row r="2997" spans="1:9" x14ac:dyDescent="0.4">
      <c r="A2997" t="str">
        <f>"寂照庵覚え書手帖"</f>
        <v>寂照庵覚え書手帖</v>
      </c>
      <c r="B2997" s="1" t="str">
        <f t="shared" si="162"/>
        <v>寂照庵覚え書手帖</v>
      </c>
      <c r="C2997" t="str">
        <f>"ジャクショウアン　オボエガキテチョウ"</f>
        <v>ジャクショウアン　オボエガキテチョウ</v>
      </c>
      <c r="D2997" t="str">
        <f>"赤枝郁郎"</f>
        <v>赤枝郁郎</v>
      </c>
      <c r="E2997" t="str">
        <f>"アカエダイクロウ"</f>
        <v>アカエダイクロウ</v>
      </c>
      <c r="F2997" t="str">
        <f>"建部町（御津郡）"</f>
        <v>建部町（御津郡）</v>
      </c>
      <c r="G2997" t="str">
        <f>"年２回刊"</f>
        <v>年２回刊</v>
      </c>
      <c r="H2997" t="str">
        <f>"2002222280431"</f>
        <v>2002222280431</v>
      </c>
      <c r="I2997" t="str">
        <f>HYPERLINK("#", "https://opac.libnet.pref.okayama.jp/licsxp-opac/WOpacMsgNewListToTifTilDetailAction.do?tilcod=2002222280431")</f>
        <v>https://opac.libnet.pref.okayama.jp/licsxp-opac/WOpacMsgNewListToTifTilDetailAction.do?tilcod=2002222280431</v>
      </c>
    </row>
    <row r="2998" spans="1:9" x14ac:dyDescent="0.4">
      <c r="A2998" t="str">
        <f>"寂照庵雑話"</f>
        <v>寂照庵雑話</v>
      </c>
      <c r="B2998" s="1" t="str">
        <f t="shared" si="162"/>
        <v>寂照庵雑話</v>
      </c>
      <c r="C2998" t="str">
        <f>"ジャクショウアン　ザツワ"</f>
        <v>ジャクショウアン　ザツワ</v>
      </c>
      <c r="D2998" t="str">
        <f>"赤枝郁郎"</f>
        <v>赤枝郁郎</v>
      </c>
      <c r="E2998" t="str">
        <f>"アカエダイクロウ"</f>
        <v>アカエダイクロウ</v>
      </c>
      <c r="F2998" t="str">
        <f>""</f>
        <v/>
      </c>
      <c r="G2998" t="str">
        <f>"年２回刊"</f>
        <v>年２回刊</v>
      </c>
      <c r="H2998" t="str">
        <f>"2002222287083"</f>
        <v>2002222287083</v>
      </c>
      <c r="I2998" t="str">
        <f>HYPERLINK("#", "https://opac.libnet.pref.okayama.jp/licsxp-opac/WOpacMsgNewListToTifTilDetailAction.do?tilcod=2002222287083")</f>
        <v>https://opac.libnet.pref.okayama.jp/licsxp-opac/WOpacMsgNewListToTifTilDetailAction.do?tilcod=2002222287083</v>
      </c>
    </row>
    <row r="2999" spans="1:9" x14ac:dyDescent="0.4">
      <c r="A2999" t="str">
        <f>"石南"</f>
        <v>石南</v>
      </c>
      <c r="B2999" s="1" t="str">
        <f t="shared" si="162"/>
        <v>石南</v>
      </c>
      <c r="C2999" t="str">
        <f>"シャクナゲ"</f>
        <v>シャクナゲ</v>
      </c>
      <c r="D2999" t="str">
        <f>"六高山岳部"</f>
        <v>六高山岳部</v>
      </c>
      <c r="E2999" t="str">
        <f>"ロクコウサンガクブ"</f>
        <v>ロクコウサンガクブ</v>
      </c>
      <c r="F2999" t="str">
        <f>""</f>
        <v/>
      </c>
      <c r="G2999" t="str">
        <f>"頻度不明"</f>
        <v>頻度不明</v>
      </c>
      <c r="H2999" t="str">
        <f>"2002222287093"</f>
        <v>2002222287093</v>
      </c>
      <c r="I2999" t="str">
        <f>HYPERLINK("#", "https://opac.libnet.pref.okayama.jp/licsxp-opac/WOpacMsgNewListToTifTilDetailAction.do?tilcod=2002222287093")</f>
        <v>https://opac.libnet.pref.okayama.jp/licsxp-opac/WOpacMsgNewListToTifTilDetailAction.do?tilcod=2002222287093</v>
      </c>
    </row>
    <row r="3000" spans="1:9" x14ac:dyDescent="0.4">
      <c r="A3000" t="str">
        <f>"芍薬"</f>
        <v>芍薬</v>
      </c>
      <c r="B3000" s="1" t="str">
        <f t="shared" si="162"/>
        <v>芍薬</v>
      </c>
      <c r="C3000" t="str">
        <f>"シャクヤク"</f>
        <v>シャクヤク</v>
      </c>
      <c r="D3000" t="str">
        <f>"岡山県師範学校芍薬会"</f>
        <v>岡山県師範学校芍薬会</v>
      </c>
      <c r="E3000" t="str">
        <f>"オカヤマケン シハン ガッコウ シャクヤクカイ "</f>
        <v xml:space="preserve">オカヤマケン シハン ガッコウ シャクヤクカイ </v>
      </c>
      <c r="F3000" t="str">
        <f>"岡山"</f>
        <v>岡山</v>
      </c>
      <c r="G3000" t="str">
        <f>"頻度不明"</f>
        <v>頻度不明</v>
      </c>
      <c r="H3000" t="str">
        <f>"2002222287113"</f>
        <v>2002222287113</v>
      </c>
      <c r="I3000" t="str">
        <f>HYPERLINK("#", "https://opac.libnet.pref.okayama.jp/licsxp-opac/WOpacMsgNewListToTifTilDetailAction.do?tilcod=2002222287113")</f>
        <v>https://opac.libnet.pref.okayama.jp/licsxp-opac/WOpacMsgNewListToTifTilDetailAction.do?tilcod=2002222287113</v>
      </c>
    </row>
    <row r="3001" spans="1:9" x14ac:dyDescent="0.4">
      <c r="A3001" t="str">
        <f>"JAKEN；岡山県北タウン情報誌"</f>
        <v>JAKEN；岡山県北タウン情報誌</v>
      </c>
      <c r="B3001" s="1" t="str">
        <f t="shared" si="162"/>
        <v>JAKEN；岡山県北タウン情報誌</v>
      </c>
      <c r="C3001" t="str">
        <f>"ジャケン＊オカヤマ ケンホク タウン ジョウホウシ　"</f>
        <v>ジャケン＊オカヤマ ケンホク タウン ジョウホウシ　</v>
      </c>
      <c r="D3001" t="str">
        <f>"スタジオア・ビアントＪＡＫＥＮ編集部"</f>
        <v>スタジオア・ビアントＪＡＫＥＮ編集部</v>
      </c>
      <c r="E3001" t="str">
        <f>"スタジオア・ビアントジャケンヘンシュウブ"</f>
        <v>スタジオア・ビアントジャケンヘンシュウブ</v>
      </c>
      <c r="F3001" t="str">
        <f>"津山"</f>
        <v>津山</v>
      </c>
      <c r="G3001" t="str">
        <f>"月刊"</f>
        <v>月刊</v>
      </c>
      <c r="H3001" t="str">
        <f>"2002222300222"</f>
        <v>2002222300222</v>
      </c>
      <c r="I3001" t="str">
        <f>HYPERLINK("#", "https://opac.libnet.pref.okayama.jp/licsxp-opac/WOpacMsgNewListToTifTilDetailAction.do?tilcod=2002222300222")</f>
        <v>https://opac.libnet.pref.okayama.jp/licsxp-opac/WOpacMsgNewListToTifTilDetailAction.do?tilcod=2002222300222</v>
      </c>
    </row>
    <row r="3002" spans="1:9" x14ac:dyDescent="0.4">
      <c r="A3002" t="str">
        <f>"写真部〔岡山理科大学〕"</f>
        <v>写真部〔岡山理科大学〕</v>
      </c>
      <c r="B3002" s="1" t="str">
        <f t="shared" si="162"/>
        <v>写真部〔岡山理科大学〕</v>
      </c>
      <c r="C3002" t="str">
        <f>"シャシンブ　オカヤマ　リカ　ダイガク"</f>
        <v>シャシンブ　オカヤマ　リカ　ダイガク</v>
      </c>
      <c r="D3002" t="str">
        <f>"岡山理科大学写真部"</f>
        <v>岡山理科大学写真部</v>
      </c>
      <c r="E3002" t="str">
        <f>"オカヤマリカダイガクシャシンブ"</f>
        <v>オカヤマリカダイガクシャシンブ</v>
      </c>
      <c r="F3002" t="str">
        <f t="shared" ref="F3002:F3008" si="163">"岡山"</f>
        <v>岡山</v>
      </c>
      <c r="G3002" t="str">
        <f>"頻度不明"</f>
        <v>頻度不明</v>
      </c>
      <c r="H3002" t="str">
        <f>"2002222287103"</f>
        <v>2002222287103</v>
      </c>
      <c r="I3002" t="str">
        <f>HYPERLINK("#", "https://opac.libnet.pref.okayama.jp/licsxp-opac/WOpacMsgNewListToTifTilDetailAction.do?tilcod=2002222287103")</f>
        <v>https://opac.libnet.pref.okayama.jp/licsxp-opac/WOpacMsgNewListToTifTilDetailAction.do?tilcod=2002222287103</v>
      </c>
    </row>
    <row r="3003" spans="1:9" x14ac:dyDescent="0.4">
      <c r="A3003" t="str">
        <f>"寂光"</f>
        <v>寂光</v>
      </c>
      <c r="B3003" s="1" t="str">
        <f t="shared" si="162"/>
        <v>寂光</v>
      </c>
      <c r="C3003" t="str">
        <f>"ジャッコウ"</f>
        <v>ジャッコウ</v>
      </c>
      <c r="D3003" t="str">
        <f>"寂光会"</f>
        <v>寂光会</v>
      </c>
      <c r="E3003" t="str">
        <f>"キョウコウダン"</f>
        <v>キョウコウダン</v>
      </c>
      <c r="F3003" t="str">
        <f t="shared" si="163"/>
        <v>岡山</v>
      </c>
      <c r="G3003" t="str">
        <f>"頻度不明"</f>
        <v>頻度不明</v>
      </c>
      <c r="H3003" t="str">
        <f>"2002222341150"</f>
        <v>2002222341150</v>
      </c>
      <c r="I3003" t="str">
        <f>HYPERLINK("#", "https://opac.libnet.pref.okayama.jp/licsxp-opac/WOpacMsgNewListToTifTilDetailAction.do?tilcod=2002222341150")</f>
        <v>https://opac.libnet.pref.okayama.jp/licsxp-opac/WOpacMsgNewListToTifTilDetailAction.do?tilcod=2002222341150</v>
      </c>
    </row>
    <row r="3004" spans="1:9" x14ac:dyDescent="0.4">
      <c r="A3004" t="str">
        <f>"社内報はや志ばら"</f>
        <v>社内報はや志ばら</v>
      </c>
      <c r="B3004" s="1" t="str">
        <f t="shared" si="162"/>
        <v>社内報はや志ばら</v>
      </c>
      <c r="C3004" t="str">
        <f>"シャナイ　ホウ　ハヤシバラ"</f>
        <v>シャナイ　ホウ　ハヤシバラ</v>
      </c>
      <c r="D3004" t="str">
        <f>"林原"</f>
        <v>林原</v>
      </c>
      <c r="E3004" t="str">
        <f>"ハヤシバラ"</f>
        <v>ハヤシバラ</v>
      </c>
      <c r="F3004" t="str">
        <f t="shared" si="163"/>
        <v>岡山</v>
      </c>
      <c r="G3004" t="str">
        <f>"季刊"</f>
        <v>季刊</v>
      </c>
      <c r="H3004" t="str">
        <f>"2002222301127"</f>
        <v>2002222301127</v>
      </c>
      <c r="I3004" t="str">
        <f>HYPERLINK("#", "https://opac.libnet.pref.okayama.jp/licsxp-opac/WOpacMsgNewListToTifTilDetailAction.do?tilcod=2002222301127")</f>
        <v>https://opac.libnet.pref.okayama.jp/licsxp-opac/WOpacMsgNewListToTifTilDetailAction.do?tilcod=2002222301127</v>
      </c>
    </row>
    <row r="3005" spans="1:9" x14ac:dyDescent="0.4">
      <c r="A3005" t="str">
        <f>"社内報交通"</f>
        <v>社内報交通</v>
      </c>
      <c r="B3005" s="1" t="str">
        <f t="shared" si="162"/>
        <v>社内報交通</v>
      </c>
      <c r="C3005" t="str">
        <f>"シャナイホウ　コウツウ"</f>
        <v>シャナイホウ　コウツウ</v>
      </c>
      <c r="D3005" t="str">
        <f>"岡山交通"</f>
        <v>岡山交通</v>
      </c>
      <c r="E3005" t="str">
        <f>"オカヤマコウツウ"</f>
        <v>オカヤマコウツウ</v>
      </c>
      <c r="F3005" t="str">
        <f t="shared" si="163"/>
        <v>岡山</v>
      </c>
      <c r="G3005" t="str">
        <f>"頻度不明"</f>
        <v>頻度不明</v>
      </c>
      <c r="H3005" t="str">
        <f>"2002222301767"</f>
        <v>2002222301767</v>
      </c>
      <c r="I3005" t="str">
        <f>HYPERLINK("#", "https://opac.libnet.pref.okayama.jp/licsxp-opac/WOpacMsgNewListToTifTilDetailAction.do?tilcod=2002222301767")</f>
        <v>https://opac.libnet.pref.okayama.jp/licsxp-opac/WOpacMsgNewListToTifTilDetailAction.do?tilcod=2002222301767</v>
      </c>
    </row>
    <row r="3006" spans="1:9" x14ac:dyDescent="0.4">
      <c r="A3006" t="str">
        <f>"社内報伯備だより"</f>
        <v>社内報伯備だより</v>
      </c>
      <c r="B3006" s="1" t="str">
        <f t="shared" si="162"/>
        <v>社内報伯備だより</v>
      </c>
      <c r="C3006" t="str">
        <f>"シャナイホウ ハクビダヨリ"</f>
        <v>シャナイホウ ハクビダヨリ</v>
      </c>
      <c r="D3006" t="str">
        <f>"日本専売公社岡山地方局"</f>
        <v>日本専売公社岡山地方局</v>
      </c>
      <c r="E3006" t="str">
        <f>"ニホン センバイ コウシャ オカヤマ チホウキョク"</f>
        <v>ニホン センバイ コウシャ オカヤマ チホウキョク</v>
      </c>
      <c r="F3006" t="str">
        <f t="shared" si="163"/>
        <v>岡山</v>
      </c>
      <c r="G3006" t="str">
        <f>"頻度不明"</f>
        <v>頻度不明</v>
      </c>
      <c r="H3006" t="str">
        <f>"2002222331424"</f>
        <v>2002222331424</v>
      </c>
      <c r="I3006" t="str">
        <f>HYPERLINK("#", "https://opac.libnet.pref.okayama.jp/licsxp-opac/WOpacMsgNewListToTifTilDetailAction.do?tilcod=2002222331424")</f>
        <v>https://opac.libnet.pref.okayama.jp/licsxp-opac/WOpacMsgNewListToTifTilDetailAction.do?tilcod=2002222331424</v>
      </c>
    </row>
    <row r="3007" spans="1:9" x14ac:dyDescent="0.4">
      <c r="A3007" t="str">
        <f>"社内報パレット"</f>
        <v>社内報パレット</v>
      </c>
      <c r="B3007" s="1" t="str">
        <f t="shared" si="162"/>
        <v>社内報パレット</v>
      </c>
      <c r="C3007" t="str">
        <f>"シャナイホウ パレット"</f>
        <v>シャナイホウ パレット</v>
      </c>
      <c r="D3007" t="str">
        <f>"中国画材株式会社"</f>
        <v>中国画材株式会社</v>
      </c>
      <c r="E3007" t="str">
        <f>"チュウゴク ガザイ カブシキ ガイシャ"</f>
        <v>チュウゴク ガザイ カブシキ ガイシャ</v>
      </c>
      <c r="F3007" t="str">
        <f t="shared" si="163"/>
        <v>岡山</v>
      </c>
      <c r="G3007" t="str">
        <f>"月刊"</f>
        <v>月刊</v>
      </c>
      <c r="H3007" t="str">
        <f>"2002222319348"</f>
        <v>2002222319348</v>
      </c>
      <c r="I3007" t="str">
        <f>HYPERLINK("#", "https://opac.libnet.pref.okayama.jp/licsxp-opac/WOpacMsgNewListToTifTilDetailAction.do?tilcod=2002222319348")</f>
        <v>https://opac.libnet.pref.okayama.jp/licsxp-opac/WOpacMsgNewListToTifTilDetailAction.do?tilcod=2002222319348</v>
      </c>
    </row>
    <row r="3008" spans="1:9" x14ac:dyDescent="0.4">
      <c r="A3008" t="str">
        <f>"JAPAN MOVE UP WEST(ジャパンムーブアップウエスト)"</f>
        <v>JAPAN MOVE UP WEST(ジャパンムーブアップウエスト)</v>
      </c>
      <c r="B3008" s="1" t="str">
        <f t="shared" si="162"/>
        <v>JAPAN MOVE UP WEST(ジャパンムーブアップウエスト)</v>
      </c>
      <c r="C3008" t="str">
        <f>"ジャパン ムーブ アップ　ウエスト"</f>
        <v>ジャパン ムーブ アップ　ウエスト</v>
      </c>
      <c r="D3008" t="str">
        <f>"Headline"</f>
        <v>Headline</v>
      </c>
      <c r="E3008" t="str">
        <f>"ヘッドライン"</f>
        <v>ヘッドライン</v>
      </c>
      <c r="F3008" t="str">
        <f t="shared" si="163"/>
        <v>岡山</v>
      </c>
      <c r="G3008" t="str">
        <f>"隔月刊"</f>
        <v>隔月刊</v>
      </c>
      <c r="H3008" t="str">
        <f>"2002222330627"</f>
        <v>2002222330627</v>
      </c>
      <c r="I3008" t="str">
        <f>HYPERLINK("#", "https://opac.libnet.pref.okayama.jp/licsxp-opac/WOpacMsgNewListToTifTilDetailAction.do?tilcod=2002222330627")</f>
        <v>https://opac.libnet.pref.okayama.jp/licsxp-opac/WOpacMsgNewListToTifTilDetailAction.do?tilcod=2002222330627</v>
      </c>
    </row>
    <row r="3009" spans="1:9" x14ac:dyDescent="0.4">
      <c r="A3009" t="str">
        <f>"社報　いわさか"</f>
        <v>社報　いわさか</v>
      </c>
      <c r="B3009" s="1" t="str">
        <f t="shared" si="162"/>
        <v>社報　いわさか</v>
      </c>
      <c r="C3009" t="str">
        <f>"シャホウ　イワサカ"</f>
        <v>シャホウ　イワサカ</v>
      </c>
      <c r="D3009" t="str">
        <f>"阿智神社"</f>
        <v>阿智神社</v>
      </c>
      <c r="E3009" t="str">
        <f>"アチジンジャ"</f>
        <v>アチジンジャ</v>
      </c>
      <c r="F3009" t="str">
        <f>"倉敷"</f>
        <v>倉敷</v>
      </c>
      <c r="G3009" t="str">
        <f>"頻度不明"</f>
        <v>頻度不明</v>
      </c>
      <c r="H3009" t="str">
        <f>"2002222328887"</f>
        <v>2002222328887</v>
      </c>
      <c r="I3009" t="str">
        <f>HYPERLINK("#", "https://opac.libnet.pref.okayama.jp/licsxp-opac/WOpacMsgNewListToTifTilDetailAction.do?tilcod=2002222328887")</f>
        <v>https://opac.libnet.pref.okayama.jp/licsxp-opac/WOpacMsgNewListToTifTilDetailAction.do?tilcod=2002222328887</v>
      </c>
    </row>
    <row r="3010" spans="1:9" x14ac:dyDescent="0.4">
      <c r="A3010" t="str">
        <f>"社報　天に満つ"</f>
        <v>社報　天に満つ</v>
      </c>
      <c r="B3010" s="1" t="str">
        <f t="shared" si="162"/>
        <v>社報　天に満つ</v>
      </c>
      <c r="C3010" t="str">
        <f>"シャホウ　テンニ　ミツ"</f>
        <v>シャホウ　テンニ　ミツ</v>
      </c>
      <c r="D3010" t="str">
        <f>"天満屋"</f>
        <v>天満屋</v>
      </c>
      <c r="E3010" t="str">
        <f>"テンマヤ"</f>
        <v>テンマヤ</v>
      </c>
      <c r="F3010" t="str">
        <f>"岡山"</f>
        <v>岡山</v>
      </c>
      <c r="G3010" t="str">
        <f>"頻度不明"</f>
        <v>頻度不明</v>
      </c>
      <c r="H3010" t="str">
        <f>"2002222323887"</f>
        <v>2002222323887</v>
      </c>
      <c r="I3010" t="str">
        <f>HYPERLINK("#", "https://opac.libnet.pref.okayama.jp/licsxp-opac/WOpacMsgNewListToTifTilDetailAction.do?tilcod=2002222323887")</f>
        <v>https://opac.libnet.pref.okayama.jp/licsxp-opac/WOpacMsgNewListToTifTilDetailAction.do?tilcod=2002222323887</v>
      </c>
    </row>
    <row r="3011" spans="1:9" x14ac:dyDescent="0.4">
      <c r="A3011" t="str">
        <f>"社報　やまびこ"</f>
        <v>社報　やまびこ</v>
      </c>
      <c r="B3011" s="1" t="str">
        <f t="shared" si="162"/>
        <v>社報　やまびこ</v>
      </c>
      <c r="C3011" t="str">
        <f>"シャホウ ヤマビコ"</f>
        <v>シャホウ ヤマビコ</v>
      </c>
      <c r="D3011" t="str">
        <f>"福武観光"</f>
        <v>福武観光</v>
      </c>
      <c r="E3011" t="str">
        <f>"フクタケ カンコウ"</f>
        <v>フクタケ カンコウ</v>
      </c>
      <c r="F3011" t="str">
        <f>"岡山"</f>
        <v>岡山</v>
      </c>
      <c r="G3011" t="str">
        <f>"不定期刊"</f>
        <v>不定期刊</v>
      </c>
      <c r="H3011" t="str">
        <f>"2002222314826"</f>
        <v>2002222314826</v>
      </c>
      <c r="I3011" t="str">
        <f>HYPERLINK("#", "https://opac.libnet.pref.okayama.jp/licsxp-opac/WOpacMsgNewListToTifTilDetailAction.do?tilcod=2002222314826")</f>
        <v>https://opac.libnet.pref.okayama.jp/licsxp-opac/WOpacMsgNewListToTifTilDetailAction.do?tilcod=2002222314826</v>
      </c>
    </row>
    <row r="3012" spans="1:9" x14ac:dyDescent="0.4">
      <c r="A3012" t="str">
        <f>"しゃむねこ通信"</f>
        <v>しゃむねこ通信</v>
      </c>
      <c r="B3012" s="1" t="str">
        <f t="shared" ref="B3012:B3075" si="164">HYPERLINK("#", A3012)</f>
        <v>しゃむねこ通信</v>
      </c>
      <c r="C3012" t="str">
        <f>"シャムネコ　ツウシン"</f>
        <v>シャムネコ　ツウシン</v>
      </c>
      <c r="D3012" t="str">
        <f>"井原線まちおこしネット"</f>
        <v>井原線まちおこしネット</v>
      </c>
      <c r="E3012" t="str">
        <f>"イバラセンマチオコシネット"</f>
        <v>イバラセンマチオコシネット</v>
      </c>
      <c r="F3012" t="str">
        <f>"井原"</f>
        <v>井原</v>
      </c>
      <c r="G3012" t="str">
        <f>"隔月刊"</f>
        <v>隔月刊</v>
      </c>
      <c r="H3012" t="str">
        <f>"2002222285421"</f>
        <v>2002222285421</v>
      </c>
      <c r="I3012" t="str">
        <f>HYPERLINK("#", "https://opac.libnet.pref.okayama.jp/licsxp-opac/WOpacMsgNewListToTifTilDetailAction.do?tilcod=2002222285421")</f>
        <v>https://opac.libnet.pref.okayama.jp/licsxp-opac/WOpacMsgNewListToTifTilDetailAction.do?tilcod=2002222285421</v>
      </c>
    </row>
    <row r="3013" spans="1:9" x14ac:dyDescent="0.4">
      <c r="A3013" t="str">
        <f>"史友；岡山県立博物館友の会だより"</f>
        <v>史友；岡山県立博物館友の会だより</v>
      </c>
      <c r="B3013" s="1" t="str">
        <f t="shared" si="164"/>
        <v>史友；岡山県立博物館友の会だより</v>
      </c>
      <c r="C3013" t="str">
        <f>"シユウ＊オカヤマ　ケンリツ　ハクブツカン　トモ　ノ　カイ　ダヨリ"</f>
        <v>シユウ＊オカヤマ　ケンリツ　ハクブツカン　トモ　ノ　カイ　ダヨリ</v>
      </c>
      <c r="D3013" t="str">
        <f>"岡山県立博物館友の会"</f>
        <v>岡山県立博物館友の会</v>
      </c>
      <c r="E3013" t="str">
        <f>"オカヤマケンリツハクブツカントモノカイ"</f>
        <v>オカヤマケンリツハクブツカントモノカイ</v>
      </c>
      <c r="F3013" t="str">
        <f>"岡山"</f>
        <v>岡山</v>
      </c>
      <c r="G3013" t="str">
        <f>"季刊"</f>
        <v>季刊</v>
      </c>
      <c r="H3013" t="str">
        <f>"2002222302310"</f>
        <v>2002222302310</v>
      </c>
      <c r="I3013" t="str">
        <f>HYPERLINK("#", "https://opac.libnet.pref.okayama.jp/licsxp-opac/WOpacMsgNewListToTifTilDetailAction.do?tilcod=2002222302310")</f>
        <v>https://opac.libnet.pref.okayama.jp/licsxp-opac/WOpacMsgNewListToTifTilDetailAction.do?tilcod=2002222302310</v>
      </c>
    </row>
    <row r="3014" spans="1:9" x14ac:dyDescent="0.4">
      <c r="A3014" t="str">
        <f>"週刊岡山"</f>
        <v>週刊岡山</v>
      </c>
      <c r="B3014" s="1" t="str">
        <f t="shared" si="164"/>
        <v>週刊岡山</v>
      </c>
      <c r="C3014" t="str">
        <f>"シュウカン　オカヤマ"</f>
        <v>シュウカン　オカヤマ</v>
      </c>
      <c r="D3014" t="str">
        <f>"週刊岡山社"</f>
        <v>週刊岡山社</v>
      </c>
      <c r="E3014" t="str">
        <f>"シュウカンオカヤマシャ"</f>
        <v>シュウカンオカヤマシャ</v>
      </c>
      <c r="F3014" t="str">
        <f>""</f>
        <v/>
      </c>
      <c r="G3014" t="str">
        <f>"頻度不明"</f>
        <v>頻度不明</v>
      </c>
      <c r="H3014" t="str">
        <f>"2002222287133"</f>
        <v>2002222287133</v>
      </c>
      <c r="I3014" t="str">
        <f>HYPERLINK("#", "https://opac.libnet.pref.okayama.jp/licsxp-opac/WOpacMsgNewListToTifTilDetailAction.do?tilcod=2002222287133")</f>
        <v>https://opac.libnet.pref.okayama.jp/licsxp-opac/WOpacMsgNewListToTifTilDetailAction.do?tilcod=2002222287133</v>
      </c>
    </row>
    <row r="3015" spans="1:9" x14ac:dyDescent="0.4">
      <c r="A3015" t="str">
        <f>"週刊クイックリィ : 岡山東, 東備版"</f>
        <v>週刊クイックリィ : 岡山東, 東備版</v>
      </c>
      <c r="B3015" s="1" t="str">
        <f t="shared" si="164"/>
        <v>週刊クイックリィ : 岡山東, 東備版</v>
      </c>
      <c r="C3015" t="str">
        <f>"シュウカン クイックリィ オカヤマシガシ トウビバン"</f>
        <v>シュウカン クイックリィ オカヤマシガシ トウビバン</v>
      </c>
      <c r="D3015" t="str">
        <f>"ティーアイシー"</f>
        <v>ティーアイシー</v>
      </c>
      <c r="E3015" t="str">
        <f>"ティーアイシー"</f>
        <v>ティーアイシー</v>
      </c>
      <c r="F3015" t="str">
        <f>"備前"</f>
        <v>備前</v>
      </c>
      <c r="G3015" t="str">
        <f>"週刊"</f>
        <v>週刊</v>
      </c>
      <c r="H3015" t="str">
        <f>"2002222340610"</f>
        <v>2002222340610</v>
      </c>
      <c r="I3015" t="str">
        <f>HYPERLINK("#", "https://opac.libnet.pref.okayama.jp/licsxp-opac/WOpacMsgNewListToTifTilDetailAction.do?tilcod=2002222340610")</f>
        <v>https://opac.libnet.pref.okayama.jp/licsxp-opac/WOpacMsgNewListToTifTilDetailAction.do?tilcod=2002222340610</v>
      </c>
    </row>
    <row r="3016" spans="1:9" x14ac:dyDescent="0.4">
      <c r="A3016" t="str">
        <f>"週刊ジョブゲイツ岡山・倉敷版；ＷＥＥＫＬＹ　ＪＯＢ　ＧＡＴＥＳ　ＯＫＡＹＡＭＡ　ＫＵＲＡＳＨＩＫＩ（ウィークリー　ジョブ　ゲイツ　オカヤマ　クラシキ）"</f>
        <v>週刊ジョブゲイツ岡山・倉敷版；ＷＥＥＫＬＹ　ＪＯＢ　ＧＡＴＥＳ　ＯＫＡＹＡＭＡ　ＫＵＲＡＳＨＩＫＩ（ウィークリー　ジョブ　ゲイツ　オカヤマ　クラシキ）</v>
      </c>
      <c r="B3016" s="1" t="str">
        <f t="shared" si="164"/>
        <v>週刊ジョブゲイツ岡山・倉敷版；ＷＥＥＫＬＹ　ＪＯＢ　ＧＡＴＥＳ　ＯＫＡＹＡＭＡ　ＫＵＲＡＳＨＩＫＩ（ウィークリー　ジョブ　ゲイツ　オカヤマ　クラシキ）</v>
      </c>
      <c r="C3016" t="str">
        <f>"シュウカン　ジョブ　ゲイツ　オカヤマ　クラシキ　バン＊ウィークリー　ジョブ　ゲイツ　オカヤマ　クラシキ"</f>
        <v>シュウカン　ジョブ　ゲイツ　オカヤマ　クラシキ　バン＊ウィークリー　ジョブ　ゲイツ　オカヤマ　クラシキ</v>
      </c>
      <c r="D3016" t="str">
        <f>"情報サービス"</f>
        <v>情報サービス</v>
      </c>
      <c r="E3016" t="str">
        <f>"ジョウホウサービス"</f>
        <v>ジョウホウサービス</v>
      </c>
      <c r="F3016" t="str">
        <f>"岡山"</f>
        <v>岡山</v>
      </c>
      <c r="G3016" t="str">
        <f>"週刊"</f>
        <v>週刊</v>
      </c>
      <c r="H3016" t="str">
        <f>"2002222301048"</f>
        <v>2002222301048</v>
      </c>
      <c r="I3016" t="str">
        <f>HYPERLINK("#", "https://opac.libnet.pref.okayama.jp/licsxp-opac/WOpacMsgNewListToTifTilDetailAction.do?tilcod=2002222301048")</f>
        <v>https://opac.libnet.pref.okayama.jp/licsxp-opac/WOpacMsgNewListToTifTilDetailAction.do?tilcod=2002222301048</v>
      </c>
    </row>
    <row r="3017" spans="1:9" x14ac:dyDescent="0.4">
      <c r="A3017" t="str">
        <f>"週刊婦人ニュース"</f>
        <v>週刊婦人ニュース</v>
      </c>
      <c r="B3017" s="1" t="str">
        <f t="shared" si="164"/>
        <v>週刊婦人ニュース</v>
      </c>
      <c r="C3017" t="str">
        <f>"シュウカン　フジン　ニュース"</f>
        <v>シュウカン　フジン　ニュース</v>
      </c>
      <c r="D3017" t="str">
        <f>"週刊婦人ニュース"</f>
        <v>週刊婦人ニュース</v>
      </c>
      <c r="E3017" t="str">
        <f>"シュウカンフジンニュース"</f>
        <v>シュウカンフジンニュース</v>
      </c>
      <c r="F3017" t="str">
        <f>"岡山"</f>
        <v>岡山</v>
      </c>
      <c r="G3017" t="str">
        <f>"週刊"</f>
        <v>週刊</v>
      </c>
      <c r="H3017" t="str">
        <f>"2002222301534"</f>
        <v>2002222301534</v>
      </c>
      <c r="I3017" t="str">
        <f>HYPERLINK("#", "https://opac.libnet.pref.okayama.jp/licsxp-opac/WOpacMsgNewListToTifTilDetailAction.do?tilcod=2002222301534")</f>
        <v>https://opac.libnet.pref.okayama.jp/licsxp-opac/WOpacMsgNewListToTifTilDetailAction.do?tilcod=2002222301534</v>
      </c>
    </row>
    <row r="3018" spans="1:9" x14ac:dyDescent="0.4">
      <c r="A3018" t="str">
        <f>"衆議院小選挙区選出議員選挙公報"</f>
        <v>衆議院小選挙区選出議員選挙公報</v>
      </c>
      <c r="B3018" s="1" t="str">
        <f t="shared" si="164"/>
        <v>衆議院小選挙区選出議員選挙公報</v>
      </c>
      <c r="C3018" t="str">
        <f>"シュウギイン ショウセンキョク センシュツ ギイン センキョ コウホウ"</f>
        <v>シュウギイン ショウセンキョク センシュツ ギイン センキョ コウホウ</v>
      </c>
      <c r="D3018" t="str">
        <f>"岡山県選挙管理委員会"</f>
        <v>岡山県選挙管理委員会</v>
      </c>
      <c r="E3018" t="str">
        <f>"オカヤマケン センキョ カンリ イインカイ"</f>
        <v>オカヤマケン センキョ カンリ イインカイ</v>
      </c>
      <c r="F3018" t="str">
        <f>"岡山"</f>
        <v>岡山</v>
      </c>
      <c r="G3018" t="str">
        <f>"不定期刊"</f>
        <v>不定期刊</v>
      </c>
      <c r="H3018" t="str">
        <f>"2002222313966"</f>
        <v>2002222313966</v>
      </c>
      <c r="I3018" t="str">
        <f>HYPERLINK("#", "https://opac.libnet.pref.okayama.jp/licsxp-opac/WOpacMsgNewListToTifTilDetailAction.do?tilcod=2002222313966")</f>
        <v>https://opac.libnet.pref.okayama.jp/licsxp-opac/WOpacMsgNewListToTifTilDetailAction.do?tilcod=2002222313966</v>
      </c>
    </row>
    <row r="3019" spans="1:9" x14ac:dyDescent="0.4">
      <c r="A3019" t="str">
        <f>"宗教情操"</f>
        <v>宗教情操</v>
      </c>
      <c r="B3019" s="1" t="str">
        <f t="shared" si="164"/>
        <v>宗教情操</v>
      </c>
      <c r="C3019" t="str">
        <f>"シュウキョウ　ジョウソウ"</f>
        <v>シュウキョウ　ジョウソウ</v>
      </c>
      <c r="D3019" t="str">
        <f>"金光宗教情操教育研究会"</f>
        <v>金光宗教情操教育研究会</v>
      </c>
      <c r="E3019" t="str">
        <f>"コンコウシュウキョウジョウソウキョウイクケンキュウカイ"</f>
        <v>コンコウシュウキョウジョウソウキョウイクケンキュウカイ</v>
      </c>
      <c r="F3019" t="str">
        <f>""</f>
        <v/>
      </c>
      <c r="G3019" t="str">
        <f>"頻度不明"</f>
        <v>頻度不明</v>
      </c>
      <c r="H3019" t="str">
        <f>"2002222287153"</f>
        <v>2002222287153</v>
      </c>
      <c r="I3019" t="str">
        <f>HYPERLINK("#", "https://opac.libnet.pref.okayama.jp/licsxp-opac/WOpacMsgNewListToTifTilDetailAction.do?tilcod=2002222287153")</f>
        <v>https://opac.libnet.pref.okayama.jp/licsxp-opac/WOpacMsgNewListToTifTilDetailAction.do?tilcod=2002222287153</v>
      </c>
    </row>
    <row r="3020" spans="1:9" x14ac:dyDescent="0.4">
      <c r="A3020" t="str">
        <f>"習字教室"</f>
        <v>習字教室</v>
      </c>
      <c r="B3020" s="1" t="str">
        <f t="shared" si="164"/>
        <v>習字教室</v>
      </c>
      <c r="C3020" t="str">
        <f>"シュウジ　キョウシツ"</f>
        <v>シュウジ　キョウシツ</v>
      </c>
      <c r="D3020" t="str">
        <f>"習字教室本部"</f>
        <v>習字教室本部</v>
      </c>
      <c r="E3020" t="str">
        <f>"シュウジキョウシツホンブ"</f>
        <v>シュウジキョウシツホンブ</v>
      </c>
      <c r="F3020" t="str">
        <f>""</f>
        <v/>
      </c>
      <c r="G3020" t="str">
        <f>"月刊"</f>
        <v>月刊</v>
      </c>
      <c r="H3020" t="str">
        <f>"2002222287163"</f>
        <v>2002222287163</v>
      </c>
      <c r="I3020" t="str">
        <f>HYPERLINK("#", "https://opac.libnet.pref.okayama.jp/licsxp-opac/WOpacMsgNewListToTifTilDetailAction.do?tilcod=2002222287163")</f>
        <v>https://opac.libnet.pref.okayama.jp/licsxp-opac/WOpacMsgNewListToTifTilDetailAction.do?tilcod=2002222287163</v>
      </c>
    </row>
    <row r="3021" spans="1:9" x14ac:dyDescent="0.4">
      <c r="A3021" t="str">
        <f>"就実英学論集"</f>
        <v>就実英学論集</v>
      </c>
      <c r="B3021" s="1" t="str">
        <f t="shared" si="164"/>
        <v>就実英学論集</v>
      </c>
      <c r="C3021" t="str">
        <f>"シュウジツ　エイガク　ロンシュウ"</f>
        <v>シュウジツ　エイガク　ロンシュウ</v>
      </c>
      <c r="D3021" t="str">
        <f>"就実大学英文学会"</f>
        <v>就実大学英文学会</v>
      </c>
      <c r="E3021" t="str">
        <f>"シュウジツダイガクエイブンガッカイ"</f>
        <v>シュウジツダイガクエイブンガッカイ</v>
      </c>
      <c r="F3021" t="str">
        <f>"岡山"</f>
        <v>岡山</v>
      </c>
      <c r="G3021" t="str">
        <f>"年刊"</f>
        <v>年刊</v>
      </c>
      <c r="H3021" t="str">
        <f>"2002222294581"</f>
        <v>2002222294581</v>
      </c>
      <c r="I3021" t="str">
        <f>HYPERLINK("#", "https://opac.libnet.pref.okayama.jp/licsxp-opac/WOpacMsgNewListToTifTilDetailAction.do?tilcod=2002222294581")</f>
        <v>https://opac.libnet.pref.okayama.jp/licsxp-opac/WOpacMsgNewListToTifTilDetailAction.do?tilcod=2002222294581</v>
      </c>
    </row>
    <row r="3022" spans="1:9" x14ac:dyDescent="0.4">
      <c r="A3022" t="str">
        <f>"[就実学園] 学園要覧"</f>
        <v>[就実学園] 学園要覧</v>
      </c>
      <c r="B3022" s="1" t="str">
        <f t="shared" si="164"/>
        <v>[就実学園] 学園要覧</v>
      </c>
      <c r="C3022" t="str">
        <f>"シュウジツ ガクエン＊ガクエン ヨウラン"</f>
        <v>シュウジツ ガクエン＊ガクエン ヨウラン</v>
      </c>
      <c r="D3022" t="str">
        <f>"就実学園"</f>
        <v>就実学園</v>
      </c>
      <c r="E3022" t="str">
        <f>"シュウジツ ガクエン"</f>
        <v>シュウジツ ガクエン</v>
      </c>
      <c r="F3022" t="str">
        <f>"岡山"</f>
        <v>岡山</v>
      </c>
      <c r="G3022" t="str">
        <f>"年刊"</f>
        <v>年刊</v>
      </c>
      <c r="H3022" t="str">
        <f>"2002222300573"</f>
        <v>2002222300573</v>
      </c>
      <c r="I3022" t="str">
        <f>HYPERLINK("#", "https://opac.libnet.pref.okayama.jp/licsxp-opac/WOpacMsgNewListToTifTilDetailAction.do?tilcod=2002222300573")</f>
        <v>https://opac.libnet.pref.okayama.jp/licsxp-opac/WOpacMsgNewListToTifTilDetailAction.do?tilcod=2002222300573</v>
      </c>
    </row>
    <row r="3023" spans="1:9" x14ac:dyDescent="0.4">
      <c r="A3023" t="str">
        <f>"就実教育実践研究"</f>
        <v>就実教育実践研究</v>
      </c>
      <c r="B3023" s="1" t="str">
        <f t="shared" si="164"/>
        <v>就実教育実践研究</v>
      </c>
      <c r="C3023" t="str">
        <f>"シュウジツ　キョウイク　ジッセン　ケンキュウ"</f>
        <v>シュウジツ　キョウイク　ジッセン　ケンキュウ</v>
      </c>
      <c r="D3023" t="str">
        <f>"就実教育実践研究センター"</f>
        <v>就実教育実践研究センター</v>
      </c>
      <c r="E3023" t="str">
        <f>"シュウジツキョウイクジッセンケンキュウセンター"</f>
        <v>シュウジツキョウイクジッセンケンキュウセンター</v>
      </c>
      <c r="F3023" t="str">
        <f>"岡山"</f>
        <v>岡山</v>
      </c>
      <c r="G3023" t="str">
        <f>"年刊"</f>
        <v>年刊</v>
      </c>
      <c r="H3023" t="str">
        <f>"2002222301746"</f>
        <v>2002222301746</v>
      </c>
      <c r="I3023" t="str">
        <f>HYPERLINK("#", "https://opac.libnet.pref.okayama.jp/licsxp-opac/WOpacMsgNewListToTifTilDetailAction.do?tilcod=2002222301746")</f>
        <v>https://opac.libnet.pref.okayama.jp/licsxp-opac/WOpacMsgNewListToTifTilDetailAction.do?tilcod=2002222301746</v>
      </c>
    </row>
    <row r="3024" spans="1:9" x14ac:dyDescent="0.4">
      <c r="A3024" t="str">
        <f>"就実高等学校学校案内"</f>
        <v>就実高等学校学校案内</v>
      </c>
      <c r="B3024" s="1" t="str">
        <f t="shared" si="164"/>
        <v>就実高等学校学校案内</v>
      </c>
      <c r="C3024" t="str">
        <f>"シュウジツ　コウトウ　ガッコウ　ガッコウ　アンナイ"</f>
        <v>シュウジツ　コウトウ　ガッコウ　ガッコウ　アンナイ</v>
      </c>
      <c r="D3024" t="str">
        <f>"就実高等学校"</f>
        <v>就実高等学校</v>
      </c>
      <c r="E3024" t="str">
        <f>"シュウジツコウトウガッコウ"</f>
        <v>シュウジツコウトウガッコウ</v>
      </c>
      <c r="F3024" t="str">
        <f>"岡山"</f>
        <v>岡山</v>
      </c>
      <c r="G3024" t="str">
        <f>"年刊"</f>
        <v>年刊</v>
      </c>
      <c r="H3024" t="str">
        <f>"2002222301208"</f>
        <v>2002222301208</v>
      </c>
      <c r="I3024" t="str">
        <f>HYPERLINK("#", "https://opac.libnet.pref.okayama.jp/licsxp-opac/WOpacMsgNewListToTifTilDetailAction.do?tilcod=2002222301208")</f>
        <v>https://opac.libnet.pref.okayama.jp/licsxp-opac/WOpacMsgNewListToTifTilDetailAction.do?tilcod=2002222301208</v>
      </c>
    </row>
    <row r="3025" spans="1:9" x14ac:dyDescent="0.4">
      <c r="A3025" t="str">
        <f>"[就実高等学校JRC機関誌]　なでしこ"</f>
        <v>[就実高等学校JRC機関誌]　なでしこ</v>
      </c>
      <c r="B3025" s="1" t="str">
        <f t="shared" si="164"/>
        <v>[就実高等学校JRC機関誌]　なでしこ</v>
      </c>
      <c r="C3025" t="str">
        <f>"シュウジツ コウトウ ガッコウ ジェイ アール シー キカンシ ナデシコ"</f>
        <v>シュウジツ コウトウ ガッコウ ジェイ アール シー キカンシ ナデシコ</v>
      </c>
      <c r="D3025" t="str">
        <f>"就実高等学校JRC（青少年赤十字団）"</f>
        <v>就実高等学校JRC（青少年赤十字団）</v>
      </c>
      <c r="E3025" t="str">
        <f>"シュウジツ コウトウ ガッコウ ジェイ アール シー セイショウネン セキジュウジダン"</f>
        <v>シュウジツ コウトウ ガッコウ ジェイ アール シー セイショウネン セキジュウジダン</v>
      </c>
      <c r="F3025" t="str">
        <f>"岡山"</f>
        <v>岡山</v>
      </c>
      <c r="G3025" t="str">
        <f>"年２回刊"</f>
        <v>年２回刊</v>
      </c>
      <c r="H3025" t="str">
        <f>"2002222328461"</f>
        <v>2002222328461</v>
      </c>
      <c r="I3025" t="str">
        <f>HYPERLINK("#", "https://opac.libnet.pref.okayama.jp/licsxp-opac/WOpacMsgNewListToTifTilDetailAction.do?tilcod=2002222328461")</f>
        <v>https://opac.libnet.pref.okayama.jp/licsxp-opac/WOpacMsgNewListToTifTilDetailAction.do?tilcod=2002222328461</v>
      </c>
    </row>
    <row r="3026" spans="1:9" x14ac:dyDescent="0.4">
      <c r="A3026" t="str">
        <f>"[就実高等学校]図書館だより"</f>
        <v>[就実高等学校]図書館だより</v>
      </c>
      <c r="B3026" s="1" t="str">
        <f t="shared" si="164"/>
        <v>[就実高等学校]図書館だより</v>
      </c>
      <c r="C3026" t="str">
        <f>"シュウジツ コウトウ ガッコウ トショカン ダヨリ"</f>
        <v>シュウジツ コウトウ ガッコウ トショカン ダヨリ</v>
      </c>
      <c r="D3026" t="str">
        <f>"就実学園図書委員会"</f>
        <v>就実学園図書委員会</v>
      </c>
      <c r="E3026" t="str">
        <f>"シュウジツ ガクエン トショ イインカイ"</f>
        <v>シュウジツ ガクエン トショ イインカイ</v>
      </c>
      <c r="F3026" t="str">
        <f>""</f>
        <v/>
      </c>
      <c r="G3026" t="str">
        <f>"頻度不明"</f>
        <v>頻度不明</v>
      </c>
      <c r="H3026" t="str">
        <f>"2002222320349"</f>
        <v>2002222320349</v>
      </c>
      <c r="I3026" t="str">
        <f>HYPERLINK("#", "https://opac.libnet.pref.okayama.jp/licsxp-opac/WOpacMsgNewListToTifTilDetailAction.do?tilcod=2002222320349")</f>
        <v>https://opac.libnet.pref.okayama.jp/licsxp-opac/WOpacMsgNewListToTifTilDetailAction.do?tilcod=2002222320349</v>
      </c>
    </row>
    <row r="3027" spans="1:9" x14ac:dyDescent="0.4">
      <c r="A3027" t="str">
        <f>"〔就実高等学校〕授業の手引き"</f>
        <v>〔就実高等学校〕授業の手引き</v>
      </c>
      <c r="B3027" s="1" t="str">
        <f t="shared" si="164"/>
        <v>〔就実高等学校〕授業の手引き</v>
      </c>
      <c r="C3027" t="str">
        <f>"シュウジツ　コウトウ　ガッコウ＊ジュギョウ　ノ　テビキ"</f>
        <v>シュウジツ　コウトウ　ガッコウ＊ジュギョウ　ノ　テビキ</v>
      </c>
      <c r="D3027" t="str">
        <f>"就実高等学校"</f>
        <v>就実高等学校</v>
      </c>
      <c r="E3027" t="str">
        <f>"シュウジツコウトウガッコウ"</f>
        <v>シュウジツコウトウガッコウ</v>
      </c>
      <c r="F3027" t="str">
        <f t="shared" ref="F3027:F3042" si="165">"岡山"</f>
        <v>岡山</v>
      </c>
      <c r="G3027" t="str">
        <f>"年刊"</f>
        <v>年刊</v>
      </c>
      <c r="H3027" t="str">
        <f>"2002222301815"</f>
        <v>2002222301815</v>
      </c>
      <c r="I3027" t="str">
        <f>HYPERLINK("#", "https://opac.libnet.pref.okayama.jp/licsxp-opac/WOpacMsgNewListToTifTilDetailAction.do?tilcod=2002222301815")</f>
        <v>https://opac.libnet.pref.okayama.jp/licsxp-opac/WOpacMsgNewListToTifTilDetailAction.do?tilcod=2002222301815</v>
      </c>
    </row>
    <row r="3028" spans="1:9" x14ac:dyDescent="0.4">
      <c r="A3028" t="str">
        <f>"就実語文"</f>
        <v>就実語文</v>
      </c>
      <c r="B3028" s="1" t="str">
        <f t="shared" si="164"/>
        <v>就実語文</v>
      </c>
      <c r="C3028" t="str">
        <f>"シュウジツ　ゴブン"</f>
        <v>シュウジツ　ゴブン</v>
      </c>
      <c r="D3028" t="str">
        <f>"就実大学日本文学会"</f>
        <v>就実大学日本文学会</v>
      </c>
      <c r="E3028" t="str">
        <f>"シュウジツダイガクニホンブンガクカイ"</f>
        <v>シュウジツダイガクニホンブンガクカイ</v>
      </c>
      <c r="F3028" t="str">
        <f t="shared" si="165"/>
        <v>岡山</v>
      </c>
      <c r="G3028" t="str">
        <f>"年刊"</f>
        <v>年刊</v>
      </c>
      <c r="H3028" t="str">
        <f>"2002222293891"</f>
        <v>2002222293891</v>
      </c>
      <c r="I3028" t="str">
        <f>HYPERLINK("#", "https://opac.libnet.pref.okayama.jp/licsxp-opac/WOpacMsgNewListToTifTilDetailAction.do?tilcod=2002222293891")</f>
        <v>https://opac.libnet.pref.okayama.jp/licsxp-opac/WOpacMsgNewListToTifTilDetailAction.do?tilcod=2002222293891</v>
      </c>
    </row>
    <row r="3029" spans="1:9" x14ac:dyDescent="0.4">
      <c r="A3029" t="str">
        <f>"就実修士論文報"</f>
        <v>就実修士論文報</v>
      </c>
      <c r="B3029" s="1" t="str">
        <f t="shared" si="164"/>
        <v>就実修士論文報</v>
      </c>
      <c r="C3029" t="str">
        <f>"シュウジツ　シュウシ　ロンブン　ホウ"</f>
        <v>シュウジツ　シュウシ　ロンブン　ホウ</v>
      </c>
      <c r="D3029" t="str">
        <f>"就実大学大学院人文科学研究科"</f>
        <v>就実大学大学院人文科学研究科</v>
      </c>
      <c r="E3029" t="str">
        <f>"シュウジツダイガクダイガクインジンブンカガクケンキュウカ"</f>
        <v>シュウジツダイガクダイガクインジンブンカガクケンキュウカ</v>
      </c>
      <c r="F3029" t="str">
        <f t="shared" si="165"/>
        <v>岡山</v>
      </c>
      <c r="G3029" t="str">
        <f>"年刊"</f>
        <v>年刊</v>
      </c>
      <c r="H3029" t="str">
        <f>"2002222281234"</f>
        <v>2002222281234</v>
      </c>
      <c r="I3029" t="str">
        <f>HYPERLINK("#", "https://opac.libnet.pref.okayama.jp/licsxp-opac/WOpacMsgNewListToTifTilDetailAction.do?tilcod=2002222281234")</f>
        <v>https://opac.libnet.pref.okayama.jp/licsxp-opac/WOpacMsgNewListToTifTilDetailAction.do?tilcod=2002222281234</v>
      </c>
    </row>
    <row r="3030" spans="1:9" x14ac:dyDescent="0.4">
      <c r="A3030" t="str">
        <f>"〔就実女子大学教養課程〕研究年報"</f>
        <v>〔就実女子大学教養課程〕研究年報</v>
      </c>
      <c r="B3030" s="1" t="str">
        <f t="shared" si="164"/>
        <v>〔就実女子大学教養課程〕研究年報</v>
      </c>
      <c r="C3030" t="str">
        <f>"シュウジツ　ジョシ　ダイガク　キョウヨウ　カテイ＊ケンキュウ　ネンポウ"</f>
        <v>シュウジツ　ジョシ　ダイガク　キョウヨウ　カテイ＊ケンキュウ　ネンポウ</v>
      </c>
      <c r="D3030" t="str">
        <f>"就実女子大学教養課程"</f>
        <v>就実女子大学教養課程</v>
      </c>
      <c r="E3030" t="str">
        <f>"シュウジツジョシダイガクキョウヨウカテイ"</f>
        <v>シュウジツジョシダイガクキョウヨウカテイ</v>
      </c>
      <c r="F3030" t="str">
        <f t="shared" si="165"/>
        <v>岡山</v>
      </c>
      <c r="G3030" t="str">
        <f>"年刊"</f>
        <v>年刊</v>
      </c>
      <c r="H3030" t="str">
        <f>"2002222294591"</f>
        <v>2002222294591</v>
      </c>
      <c r="I3030" t="str">
        <f>HYPERLINK("#", "https://opac.libnet.pref.okayama.jp/licsxp-opac/WOpacMsgNewListToTifTilDetailAction.do?tilcod=2002222294591")</f>
        <v>https://opac.libnet.pref.okayama.jp/licsxp-opac/WOpacMsgNewListToTifTilDetailAction.do?tilcod=2002222294591</v>
      </c>
    </row>
    <row r="3031" spans="1:9" x14ac:dyDescent="0.4">
      <c r="A3031" t="str">
        <f>"就実女子大学史学論集"</f>
        <v>就実女子大学史学論集</v>
      </c>
      <c r="B3031" s="1" t="str">
        <f t="shared" si="164"/>
        <v>就実女子大学史学論集</v>
      </c>
      <c r="C3031" t="str">
        <f>"シュウジツ　ジョシ　ダイガク　シガク　ロンシュウ"</f>
        <v>シュウジツ　ジョシ　ダイガク　シガク　ロンシュウ</v>
      </c>
      <c r="D3031" t="str">
        <f>"就実女子大学史学科"</f>
        <v>就実女子大学史学科</v>
      </c>
      <c r="E3031" t="str">
        <f>"シュウジツジョシダイガクシガクカ"</f>
        <v>シュウジツジョシダイガクシガクカ</v>
      </c>
      <c r="F3031" t="str">
        <f t="shared" si="165"/>
        <v>岡山</v>
      </c>
      <c r="G3031" t="str">
        <f>"年刊"</f>
        <v>年刊</v>
      </c>
      <c r="H3031" t="str">
        <f>"2002222294601"</f>
        <v>2002222294601</v>
      </c>
      <c r="I3031" t="str">
        <f>HYPERLINK("#", "https://opac.libnet.pref.okayama.jp/licsxp-opac/WOpacMsgNewListToTifTilDetailAction.do?tilcod=2002222294601")</f>
        <v>https://opac.libnet.pref.okayama.jp/licsxp-opac/WOpacMsgNewListToTifTilDetailAction.do?tilcod=2002222294601</v>
      </c>
    </row>
    <row r="3032" spans="1:9" x14ac:dyDescent="0.4">
      <c r="A3032" t="str">
        <f>"就実女子大学文学部広報"</f>
        <v>就実女子大学文学部広報</v>
      </c>
      <c r="B3032" s="1" t="str">
        <f t="shared" si="164"/>
        <v>就実女子大学文学部広報</v>
      </c>
      <c r="C3032" t="str">
        <f>"シュウジツ　ジョシ　ダイガク　ブンガクブ　コウホウ"</f>
        <v>シュウジツ　ジョシ　ダイガク　ブンガクブ　コウホウ</v>
      </c>
      <c r="D3032" t="str">
        <f>"就実女子大学文学部事務室"</f>
        <v>就実女子大学文学部事務室</v>
      </c>
      <c r="E3032" t="str">
        <f>"シュウジツジョシダイガクブンガクブジムシツ"</f>
        <v>シュウジツジョシダイガクブンガクブジムシツ</v>
      </c>
      <c r="F3032" t="str">
        <f t="shared" si="165"/>
        <v>岡山</v>
      </c>
      <c r="G3032" t="str">
        <f>"年２回刊"</f>
        <v>年２回刊</v>
      </c>
      <c r="H3032" t="str">
        <f>"2002222300656"</f>
        <v>2002222300656</v>
      </c>
      <c r="I3032" t="str">
        <f>HYPERLINK("#", "https://opac.libnet.pref.okayama.jp/licsxp-opac/WOpacMsgNewListToTifTilDetailAction.do?tilcod=2002222300656")</f>
        <v>https://opac.libnet.pref.okayama.jp/licsxp-opac/WOpacMsgNewListToTifTilDetailAction.do?tilcod=2002222300656</v>
      </c>
    </row>
    <row r="3033" spans="1:9" x14ac:dyDescent="0.4">
      <c r="A3033" t="str">
        <f>"就実女子大学文学部史学科学報"</f>
        <v>就実女子大学文学部史学科学報</v>
      </c>
      <c r="B3033" s="1" t="str">
        <f t="shared" si="164"/>
        <v>就実女子大学文学部史学科学報</v>
      </c>
      <c r="C3033" t="str">
        <f>"シュウジツ　ジョシ　ダイガク　ブンガクブ　シガクカ　ガクホウ　"</f>
        <v>シュウジツ　ジョシ　ダイガク　ブンガクブ　シガクカ　ガクホウ　</v>
      </c>
      <c r="D3033" t="str">
        <f>"就実女子大学史学科"</f>
        <v>就実女子大学史学科</v>
      </c>
      <c r="E3033" t="str">
        <f>"シュウジツジョシダイガクシガクカ"</f>
        <v>シュウジツジョシダイガクシガクカ</v>
      </c>
      <c r="F3033" t="str">
        <f t="shared" si="165"/>
        <v>岡山</v>
      </c>
      <c r="G3033" t="str">
        <f>"年刊"</f>
        <v>年刊</v>
      </c>
      <c r="H3033" t="str">
        <f>"2002222327649"</f>
        <v>2002222327649</v>
      </c>
      <c r="I3033" t="str">
        <f>HYPERLINK("#", "https://opac.libnet.pref.okayama.jp/licsxp-opac/WOpacMsgNewListToTifTilDetailAction.do?tilcod=2002222327649")</f>
        <v>https://opac.libnet.pref.okayama.jp/licsxp-opac/WOpacMsgNewListToTifTilDetailAction.do?tilcod=2002222327649</v>
      </c>
    </row>
    <row r="3034" spans="1:9" x14ac:dyDescent="0.4">
      <c r="A3034" t="str">
        <f>"就実大学史学論集"</f>
        <v>就実大学史学論集</v>
      </c>
      <c r="B3034" s="1" t="str">
        <f t="shared" si="164"/>
        <v>就実大学史学論集</v>
      </c>
      <c r="C3034" t="str">
        <f>"シュウジツ　ダイガク　シガク　ロンシュウ"</f>
        <v>シュウジツ　ダイガク　シガク　ロンシュウ</v>
      </c>
      <c r="D3034" t="str">
        <f>"就実大学総合歴史学科"</f>
        <v>就実大学総合歴史学科</v>
      </c>
      <c r="E3034" t="str">
        <f>"シュウジツダイガクソウゴウレキシガッカ"</f>
        <v>シュウジツダイガクソウゴウレキシガッカ</v>
      </c>
      <c r="F3034" t="str">
        <f t="shared" si="165"/>
        <v>岡山</v>
      </c>
      <c r="G3034" t="str">
        <f>"年刊"</f>
        <v>年刊</v>
      </c>
      <c r="H3034" t="str">
        <f>"2002222300172"</f>
        <v>2002222300172</v>
      </c>
      <c r="I3034" t="str">
        <f>HYPERLINK("#", "https://opac.libnet.pref.okayama.jp/licsxp-opac/WOpacMsgNewListToTifTilDetailAction.do?tilcod=2002222300172")</f>
        <v>https://opac.libnet.pref.okayama.jp/licsxp-opac/WOpacMsgNewListToTifTilDetailAction.do?tilcod=2002222300172</v>
      </c>
    </row>
    <row r="3035" spans="1:9" x14ac:dyDescent="0.4">
      <c r="A3035" t="str">
        <f>"就実大学人文科学部総合歴史学科報"</f>
        <v>就実大学人文科学部総合歴史学科報</v>
      </c>
      <c r="B3035" s="1" t="str">
        <f t="shared" si="164"/>
        <v>就実大学人文科学部総合歴史学科報</v>
      </c>
      <c r="C3035" t="str">
        <f>"シュウジツ　ダイガク　ジンブン　カガクブ　ソウゴウ　レキシ　ガッカホウ"</f>
        <v>シュウジツ　ダイガク　ジンブン　カガクブ　ソウゴウ　レキシ　ガッカホウ</v>
      </c>
      <c r="D3035" t="str">
        <f>"就実大学総合歴史学科"</f>
        <v>就実大学総合歴史学科</v>
      </c>
      <c r="E3035" t="str">
        <f>"シュウジツダイガクソウゴウレキシガッカ"</f>
        <v>シュウジツダイガクソウゴウレキシガッカ</v>
      </c>
      <c r="F3035" t="str">
        <f t="shared" si="165"/>
        <v>岡山</v>
      </c>
      <c r="G3035" t="str">
        <f>"年刊"</f>
        <v>年刊</v>
      </c>
      <c r="H3035" t="str">
        <f>"2002222327626"</f>
        <v>2002222327626</v>
      </c>
      <c r="I3035" t="str">
        <f>HYPERLINK("#", "https://opac.libnet.pref.okayama.jp/licsxp-opac/WOpacMsgNewListToTifTilDetailAction.do?tilcod=2002222327626")</f>
        <v>https://opac.libnet.pref.okayama.jp/licsxp-opac/WOpacMsgNewListToTifTilDetailAction.do?tilcod=2002222327626</v>
      </c>
    </row>
    <row r="3036" spans="1:9" x14ac:dyDescent="0.4">
      <c r="A3036" t="str">
        <f>"就実大学大学院教育学研究科紀要"</f>
        <v>就実大学大学院教育学研究科紀要</v>
      </c>
      <c r="B3036" s="1" t="str">
        <f t="shared" si="164"/>
        <v>就実大学大学院教育学研究科紀要</v>
      </c>
      <c r="C3036" t="str">
        <f>"シュウジツ　ダイガク　ダイガクイン　キョウイクガク　ケンキュウカ　キヨウ"</f>
        <v>シュウジツ　ダイガク　ダイガクイン　キョウイクガク　ケンキュウカ　キヨウ</v>
      </c>
      <c r="D3036" t="str">
        <f>"就実大学大学院教育学研究科"</f>
        <v>就実大学大学院教育学研究科</v>
      </c>
      <c r="E3036" t="str">
        <f>"シュウジツ ダイガク ダイガクイン キョウイクガク ケンキュウカ"</f>
        <v>シュウジツ ダイガク ダイガクイン キョウイクガク ケンキュウカ</v>
      </c>
      <c r="F3036" t="str">
        <f t="shared" si="165"/>
        <v>岡山</v>
      </c>
      <c r="G3036" t="str">
        <f>"頻度不明"</f>
        <v>頻度不明</v>
      </c>
      <c r="H3036" t="str">
        <f>"2002222328586"</f>
        <v>2002222328586</v>
      </c>
      <c r="I3036" t="str">
        <f>HYPERLINK("#", "https://opac.libnet.pref.okayama.jp/licsxp-opac/WOpacMsgNewListToTifTilDetailAction.do?tilcod=2002222328586")</f>
        <v>https://opac.libnet.pref.okayama.jp/licsxp-opac/WOpacMsgNewListToTifTilDetailAction.do?tilcod=2002222328586</v>
      </c>
    </row>
    <row r="3037" spans="1:9" x14ac:dyDescent="0.4">
      <c r="A3037" t="str">
        <f>"就実中学校学校案内"</f>
        <v>就実中学校学校案内</v>
      </c>
      <c r="B3037" s="1" t="str">
        <f t="shared" si="164"/>
        <v>就実中学校学校案内</v>
      </c>
      <c r="C3037" t="str">
        <f>"シュウジツ　チュウガッコウ　ガッコウ　アンナイ"</f>
        <v>シュウジツ　チュウガッコウ　ガッコウ　アンナイ</v>
      </c>
      <c r="D3037" t="str">
        <f>"就実中学校"</f>
        <v>就実中学校</v>
      </c>
      <c r="E3037" t="str">
        <f>"シュウジツチュウガッコウ"</f>
        <v>シュウジツチュウガッコウ</v>
      </c>
      <c r="F3037" t="str">
        <f t="shared" si="165"/>
        <v>岡山</v>
      </c>
      <c r="G3037" t="str">
        <f>"年刊"</f>
        <v>年刊</v>
      </c>
      <c r="H3037" t="str">
        <f>"2002222302437"</f>
        <v>2002222302437</v>
      </c>
      <c r="I3037" t="str">
        <f>HYPERLINK("#", "https://opac.libnet.pref.okayama.jp/licsxp-opac/WOpacMsgNewListToTifTilDetailAction.do?tilcod=2002222302437")</f>
        <v>https://opac.libnet.pref.okayama.jp/licsxp-opac/WOpacMsgNewListToTifTilDetailAction.do?tilcod=2002222302437</v>
      </c>
    </row>
    <row r="3038" spans="1:9" x14ac:dyDescent="0.4">
      <c r="A3038" t="str">
        <f>"〔就実中学校高等学校〕就実学園新聞"</f>
        <v>〔就実中学校高等学校〕就実学園新聞</v>
      </c>
      <c r="B3038" s="1" t="str">
        <f t="shared" si="164"/>
        <v>〔就実中学校高等学校〕就実学園新聞</v>
      </c>
      <c r="C3038" t="str">
        <f>"シュウジツ　チュウガッコウ　コウトウ　ガッコウ＊シュウジツ　ガクエン　シンブン"</f>
        <v>シュウジツ　チュウガッコウ　コウトウ　ガッコウ＊シュウジツ　ガクエン　シンブン</v>
      </c>
      <c r="D3038" t="str">
        <f>"就実学園新聞委員会"</f>
        <v>就実学園新聞委員会</v>
      </c>
      <c r="E3038" t="str">
        <f>"シュウジツガクエンシンブンイインカイ"</f>
        <v>シュウジツガクエンシンブンイインカイ</v>
      </c>
      <c r="F3038" t="str">
        <f t="shared" si="165"/>
        <v>岡山</v>
      </c>
      <c r="G3038" t="str">
        <f>"頻度不明"</f>
        <v>頻度不明</v>
      </c>
      <c r="H3038" t="str">
        <f>"2002222301961"</f>
        <v>2002222301961</v>
      </c>
      <c r="I3038" t="str">
        <f>HYPERLINK("#", "https://opac.libnet.pref.okayama.jp/licsxp-opac/WOpacMsgNewListToTifTilDetailAction.do?tilcod=2002222301961")</f>
        <v>https://opac.libnet.pref.okayama.jp/licsxp-opac/WOpacMsgNewListToTifTilDetailAction.do?tilcod=2002222301961</v>
      </c>
    </row>
    <row r="3039" spans="1:9" x14ac:dyDescent="0.4">
      <c r="A3039" t="str">
        <f>"〔就実中学校高等学校生徒会〕あゆみ"</f>
        <v>〔就実中学校高等学校生徒会〕あゆみ</v>
      </c>
      <c r="B3039" s="1" t="str">
        <f t="shared" si="164"/>
        <v>〔就実中学校高等学校生徒会〕あゆみ</v>
      </c>
      <c r="C3039" t="str">
        <f>"シュウジツ　チュウガッコウ　コウトウガッコウ　セイトカイ　アユミ"</f>
        <v>シュウジツ　チュウガッコウ　コウトウガッコウ　セイトカイ　アユミ</v>
      </c>
      <c r="D3039" t="str">
        <f>"就実中学校高等学校生徒会"</f>
        <v>就実中学校高等学校生徒会</v>
      </c>
      <c r="E3039" t="str">
        <f>"シュウジツ チュウガッコウ コウトウ ガッコウ セイトカイ"</f>
        <v>シュウジツ チュウガッコウ コウトウ ガッコウ セイトカイ</v>
      </c>
      <c r="F3039" t="str">
        <f t="shared" si="165"/>
        <v>岡山</v>
      </c>
      <c r="G3039" t="str">
        <f>"年刊"</f>
        <v>年刊</v>
      </c>
      <c r="H3039" t="str">
        <f>"2002222301476"</f>
        <v>2002222301476</v>
      </c>
      <c r="I3039" t="str">
        <f>HYPERLINK("#", "https://opac.libnet.pref.okayama.jp/licsxp-opac/WOpacMsgNewListToTifTilDetailAction.do?tilcod=2002222301476")</f>
        <v>https://opac.libnet.pref.okayama.jp/licsxp-opac/WOpacMsgNewListToTifTilDetailAction.do?tilcod=2002222301476</v>
      </c>
    </row>
    <row r="3040" spans="1:9" x14ac:dyDescent="0.4">
      <c r="A3040" t="str">
        <f>"就実表現文化"</f>
        <v>就実表現文化</v>
      </c>
      <c r="B3040" s="1" t="str">
        <f t="shared" si="164"/>
        <v>就実表現文化</v>
      </c>
      <c r="C3040" t="str">
        <f>"シュウジツ　ヒョウゲン　ブンカ"</f>
        <v>シュウジツ　ヒョウゲン　ブンカ</v>
      </c>
      <c r="D3040" t="str">
        <f>"就実大学表現文化学会"</f>
        <v>就実大学表現文化学会</v>
      </c>
      <c r="E3040" t="str">
        <f>"シュウジツダイガクヒョウゲンブンカガッカイ"</f>
        <v>シュウジツダイガクヒョウゲンブンカガッカイ</v>
      </c>
      <c r="F3040" t="str">
        <f t="shared" si="165"/>
        <v>岡山</v>
      </c>
      <c r="G3040" t="str">
        <f>"年刊"</f>
        <v>年刊</v>
      </c>
      <c r="H3040" t="str">
        <f>"2002222301449"</f>
        <v>2002222301449</v>
      </c>
      <c r="I3040" t="str">
        <f>HYPERLINK("#", "https://opac.libnet.pref.okayama.jp/licsxp-opac/WOpacMsgNewListToTifTilDetailAction.do?tilcod=2002222301449")</f>
        <v>https://opac.libnet.pref.okayama.jp/licsxp-opac/WOpacMsgNewListToTifTilDetailAction.do?tilcod=2002222301449</v>
      </c>
    </row>
    <row r="3041" spans="1:9" x14ac:dyDescent="0.4">
      <c r="A3041" t="str">
        <f>"就実論叢"</f>
        <v>就実論叢</v>
      </c>
      <c r="B3041" s="1" t="str">
        <f t="shared" si="164"/>
        <v>就実論叢</v>
      </c>
      <c r="C3041" t="str">
        <f>"シュウジツ　ロンソウ"</f>
        <v>シュウジツ　ロンソウ</v>
      </c>
      <c r="D3041" t="str">
        <f>"就実大学・就実短期大学"</f>
        <v>就実大学・就実短期大学</v>
      </c>
      <c r="E3041" t="str">
        <f>"シュウジツ ダイガク シュウジツ タンキ ダイガク"</f>
        <v>シュウジツ ダイガク シュウジツ タンキ ダイガク</v>
      </c>
      <c r="F3041" t="str">
        <f t="shared" si="165"/>
        <v>岡山</v>
      </c>
      <c r="G3041" t="str">
        <f>"年刊"</f>
        <v>年刊</v>
      </c>
      <c r="H3041" t="str">
        <f>"2002222281621"</f>
        <v>2002222281621</v>
      </c>
      <c r="I3041" t="str">
        <f>HYPERLINK("#", "https://opac.libnet.pref.okayama.jp/licsxp-opac/WOpacMsgNewListToTifTilDetailAction.do?tilcod=2002222281621")</f>
        <v>https://opac.libnet.pref.okayama.jp/licsxp-opac/WOpacMsgNewListToTifTilDetailAction.do?tilcod=2002222281621</v>
      </c>
    </row>
    <row r="3042" spans="1:9" x14ac:dyDescent="0.4">
      <c r="A3042" t="str">
        <f>"ＳＨＵＪＩＴＳＵ　ＮＥＷＳ（シュウジツニュース）；就実高校新聞"</f>
        <v>ＳＨＵＪＩＴＳＵ　ＮＥＷＳ（シュウジツニュース）；就実高校新聞</v>
      </c>
      <c r="B3042" s="1" t="str">
        <f t="shared" si="164"/>
        <v>ＳＨＵＪＩＴＳＵ　ＮＥＷＳ（シュウジツニュース）；就実高校新聞</v>
      </c>
      <c r="C3042" t="str">
        <f>"シュウジツニュース＊シュウジツ　コウコウ　シンブン"</f>
        <v>シュウジツニュース＊シュウジツ　コウコウ　シンブン</v>
      </c>
      <c r="D3042" t="str">
        <f>"就実高等学校広報部"</f>
        <v>就実高等学校広報部</v>
      </c>
      <c r="E3042" t="str">
        <f>"シュウジツコウトウガッコウコウホウブ"</f>
        <v>シュウジツコウトウガッコウコウホウブ</v>
      </c>
      <c r="F3042" t="str">
        <f t="shared" si="165"/>
        <v>岡山</v>
      </c>
      <c r="G3042" t="str">
        <f>"頻度不明"</f>
        <v>頻度不明</v>
      </c>
      <c r="H3042" t="str">
        <f>"2002222302058"</f>
        <v>2002222302058</v>
      </c>
      <c r="I3042" t="str">
        <f>HYPERLINK("#", "https://opac.libnet.pref.okayama.jp/licsxp-opac/WOpacMsgNewListToTifTilDetailAction.do?tilcod=2002222302058")</f>
        <v>https://opac.libnet.pref.okayama.jp/licsxp-opac/WOpacMsgNewListToTifTilDetailAction.do?tilcod=2002222302058</v>
      </c>
    </row>
    <row r="3043" spans="1:9" x14ac:dyDescent="0.4">
      <c r="A3043" t="str">
        <f>"就職ガイド"</f>
        <v>就職ガイド</v>
      </c>
      <c r="B3043" s="1" t="str">
        <f t="shared" si="164"/>
        <v>就職ガイド</v>
      </c>
      <c r="C3043" t="str">
        <f>"シュウショク　ガイド"</f>
        <v>シュウショク　ガイド</v>
      </c>
      <c r="D3043" t="str">
        <f>"西日本広告"</f>
        <v>西日本広告</v>
      </c>
      <c r="E3043" t="str">
        <f>"ニシニホンコウコク"</f>
        <v>ニシニホンコウコク</v>
      </c>
      <c r="F3043" t="str">
        <f>""</f>
        <v/>
      </c>
      <c r="G3043" t="str">
        <f>"不定期刊"</f>
        <v>不定期刊</v>
      </c>
      <c r="H3043" t="str">
        <f>"2002222287173"</f>
        <v>2002222287173</v>
      </c>
      <c r="I3043" t="str">
        <f>HYPERLINK("#", "https://opac.libnet.pref.okayama.jp/licsxp-opac/WOpacMsgNewListToTifTilDetailAction.do?tilcod=2002222287173")</f>
        <v>https://opac.libnet.pref.okayama.jp/licsxp-opac/WOpacMsgNewListToTifTilDetailAction.do?tilcod=2002222287173</v>
      </c>
    </row>
    <row r="3044" spans="1:9" x14ac:dyDescent="0.4">
      <c r="A3044" t="str">
        <f>"住宅情報　賃貸版　岡山"</f>
        <v>住宅情報　賃貸版　岡山</v>
      </c>
      <c r="B3044" s="1" t="str">
        <f t="shared" si="164"/>
        <v>住宅情報　賃貸版　岡山</v>
      </c>
      <c r="C3044" t="str">
        <f>"ジュウタク　ジョウホウ　チンタイバン　オカヤマ"</f>
        <v>ジュウタク　ジョウホウ　チンタイバン　オカヤマ</v>
      </c>
      <c r="D3044" t="str">
        <f>"リクルート岡山支社"</f>
        <v>リクルート岡山支社</v>
      </c>
      <c r="E3044" t="str">
        <f>"リクルートオカヤマシシャ"</f>
        <v>リクルートオカヤマシシャ</v>
      </c>
      <c r="F3044" t="str">
        <f>"岡山"</f>
        <v>岡山</v>
      </c>
      <c r="G3044" t="str">
        <f>"月２回刊"</f>
        <v>月２回刊</v>
      </c>
      <c r="H3044" t="str">
        <f>"2002222282721"</f>
        <v>2002222282721</v>
      </c>
      <c r="I3044" t="str">
        <f>HYPERLINK("#", "https://opac.libnet.pref.okayama.jp/licsxp-opac/WOpacMsgNewListToTifTilDetailAction.do?tilcod=2002222282721")</f>
        <v>https://opac.libnet.pref.okayama.jp/licsxp-opac/WOpacMsgNewListToTifTilDetailAction.do?tilcod=2002222282721</v>
      </c>
    </row>
    <row r="3045" spans="1:9" x14ac:dyDescent="0.4">
      <c r="A3045" t="str">
        <f>"住宅情報タウンズ　岡山・倉敷"</f>
        <v>住宅情報タウンズ　岡山・倉敷</v>
      </c>
      <c r="B3045" s="1" t="str">
        <f t="shared" si="164"/>
        <v>住宅情報タウンズ　岡山・倉敷</v>
      </c>
      <c r="C3045" t="str">
        <f>"ジュウタク　ジョウホウ＊タウンズ　オカヤマ　クラシキ"</f>
        <v>ジュウタク　ジョウホウ＊タウンズ　オカヤマ　クラシキ</v>
      </c>
      <c r="D3045" t="str">
        <f>"リクルート住宅情報タウンズ岡山・倉敷編集部"</f>
        <v>リクルート住宅情報タウンズ岡山・倉敷編集部</v>
      </c>
      <c r="E3045" t="str">
        <f>"リクルートジュウタクジョウホウタウンズオカヤマクラシキヘンシュウブ"</f>
        <v>リクルートジュウタクジョウホウタウンズオカヤマクラシキヘンシュウブ</v>
      </c>
      <c r="F3045" t="str">
        <f>"岡山"</f>
        <v>岡山</v>
      </c>
      <c r="G3045" t="str">
        <f>"隔週刊"</f>
        <v>隔週刊</v>
      </c>
      <c r="H3045" t="str">
        <f>"2002222289903"</f>
        <v>2002222289903</v>
      </c>
      <c r="I3045" t="str">
        <f>HYPERLINK("#", "https://opac.libnet.pref.okayama.jp/licsxp-opac/WOpacMsgNewListToTifTilDetailAction.do?tilcod=2002222289903")</f>
        <v>https://opac.libnet.pref.okayama.jp/licsxp-opac/WOpacMsgNewListToTifTilDetailAction.do?tilcod=2002222289903</v>
      </c>
    </row>
    <row r="3046" spans="1:9" x14ac:dyDescent="0.4">
      <c r="A3046" t="str">
        <f>"住宅情報タウンズ買う　岡山・倉敷"</f>
        <v>住宅情報タウンズ買う　岡山・倉敷</v>
      </c>
      <c r="B3046" s="1" t="str">
        <f t="shared" si="164"/>
        <v>住宅情報タウンズ買う　岡山・倉敷</v>
      </c>
      <c r="C3046" t="str">
        <f>"ジュウタク　ジョウホウ＊タウンズ　カウ　オカヤマ　クラシキ"</f>
        <v>ジュウタク　ジョウホウ＊タウンズ　カウ　オカヤマ　クラシキ</v>
      </c>
      <c r="D3046" t="str">
        <f>"リクルート岡山支社"</f>
        <v>リクルート岡山支社</v>
      </c>
      <c r="E3046" t="str">
        <f>"リクルートオカヤマシシャ"</f>
        <v>リクルートオカヤマシシャ</v>
      </c>
      <c r="F3046" t="str">
        <f>"岡山"</f>
        <v>岡山</v>
      </c>
      <c r="G3046" t="str">
        <f>"隔週刊"</f>
        <v>隔週刊</v>
      </c>
      <c r="H3046" t="str">
        <f>"2002222301492"</f>
        <v>2002222301492</v>
      </c>
      <c r="I3046" t="str">
        <f>HYPERLINK("#", "https://opac.libnet.pref.okayama.jp/licsxp-opac/WOpacMsgNewListToTifTilDetailAction.do?tilcod=2002222301492")</f>
        <v>https://opac.libnet.pref.okayama.jp/licsxp-opac/WOpacMsgNewListToTifTilDetailAction.do?tilcod=2002222301492</v>
      </c>
    </row>
    <row r="3047" spans="1:9" x14ac:dyDescent="0.4">
      <c r="A3047" t="str">
        <f>"住宅情報タウンズ借りる　岡山・倉敷"</f>
        <v>住宅情報タウンズ借りる　岡山・倉敷</v>
      </c>
      <c r="B3047" s="1" t="str">
        <f t="shared" si="164"/>
        <v>住宅情報タウンズ借りる　岡山・倉敷</v>
      </c>
      <c r="C3047" t="str">
        <f>"ジュウタク　ジョウホウ＊タウンズ　カリル　オカヤマ　クラシキ"</f>
        <v>ジュウタク　ジョウホウ＊タウンズ　カリル　オカヤマ　クラシキ</v>
      </c>
      <c r="D3047" t="str">
        <f>"リクルート岡山支社"</f>
        <v>リクルート岡山支社</v>
      </c>
      <c r="E3047" t="str">
        <f>"リクルートオカヤマシシャ"</f>
        <v>リクルートオカヤマシシャ</v>
      </c>
      <c r="F3047" t="str">
        <f>"岡山"</f>
        <v>岡山</v>
      </c>
      <c r="G3047" t="str">
        <f>"隔週刊"</f>
        <v>隔週刊</v>
      </c>
      <c r="H3047" t="str">
        <f>"2002222301491"</f>
        <v>2002222301491</v>
      </c>
      <c r="I3047" t="str">
        <f>HYPERLINK("#", "https://opac.libnet.pref.okayama.jp/licsxp-opac/WOpacMsgNewListToTifTilDetailAction.do?tilcod=2002222301491")</f>
        <v>https://opac.libnet.pref.okayama.jp/licsxp-opac/WOpacMsgNewListToTifTilDetailAction.do?tilcod=2002222301491</v>
      </c>
    </row>
    <row r="3048" spans="1:9" x14ac:dyDescent="0.4">
      <c r="A3048" t="str">
        <f>"柔道岡山"</f>
        <v>柔道岡山</v>
      </c>
      <c r="B3048" s="1" t="str">
        <f t="shared" si="164"/>
        <v>柔道岡山</v>
      </c>
      <c r="C3048" t="str">
        <f>"ジュウドウ　オカヤマ"</f>
        <v>ジュウドウ　オカヤマ</v>
      </c>
      <c r="D3048" t="str">
        <f>"岡山県柔道連盟"</f>
        <v>岡山県柔道連盟</v>
      </c>
      <c r="E3048" t="str">
        <f>"オカヤマケン ジュウドウ レンメイ"</f>
        <v>オカヤマケン ジュウドウ レンメイ</v>
      </c>
      <c r="F3048" t="str">
        <f>"岡山"</f>
        <v>岡山</v>
      </c>
      <c r="G3048" t="str">
        <f>"年刊"</f>
        <v>年刊</v>
      </c>
      <c r="H3048" t="str">
        <f>"2002222302441"</f>
        <v>2002222302441</v>
      </c>
      <c r="I3048" t="str">
        <f>HYPERLINK("#", "https://opac.libnet.pref.okayama.jp/licsxp-opac/WOpacMsgNewListToTifTilDetailAction.do?tilcod=2002222302441")</f>
        <v>https://opac.libnet.pref.okayama.jp/licsxp-opac/WOpacMsgNewListToTifTilDetailAction.do?tilcod=2002222302441</v>
      </c>
    </row>
    <row r="3049" spans="1:9" x14ac:dyDescent="0.4">
      <c r="A3049" t="str">
        <f>"鷲風"</f>
        <v>鷲風</v>
      </c>
      <c r="B3049" s="1" t="str">
        <f t="shared" si="164"/>
        <v>鷲風</v>
      </c>
      <c r="C3049" t="str">
        <f>"シュウフウ"</f>
        <v>シュウフウ</v>
      </c>
      <c r="D3049" t="str">
        <f>"鷲風社"</f>
        <v>鷲風社</v>
      </c>
      <c r="E3049" t="str">
        <f>"シュウフウシャ"</f>
        <v>シュウフウシャ</v>
      </c>
      <c r="F3049" t="str">
        <f>""</f>
        <v/>
      </c>
      <c r="G3049" t="str">
        <f>"不定期刊"</f>
        <v>不定期刊</v>
      </c>
      <c r="H3049" t="str">
        <f>"2002222287193"</f>
        <v>2002222287193</v>
      </c>
      <c r="I3049" t="str">
        <f>HYPERLINK("#", "https://opac.libnet.pref.okayama.jp/licsxp-opac/WOpacMsgNewListToTifTilDetailAction.do?tilcod=2002222287193")</f>
        <v>https://opac.libnet.pref.okayama.jp/licsxp-opac/WOpacMsgNewListToTifTilDetailAction.do?tilcod=2002222287193</v>
      </c>
    </row>
    <row r="3050" spans="1:9" x14ac:dyDescent="0.4">
      <c r="A3050" t="str">
        <f>"しゅうほう早島"</f>
        <v>しゅうほう早島</v>
      </c>
      <c r="B3050" s="1" t="str">
        <f t="shared" si="164"/>
        <v>しゅうほう早島</v>
      </c>
      <c r="C3050" t="str">
        <f>"シュウホウ　ハヤシマ"</f>
        <v>シュウホウ　ハヤシマ</v>
      </c>
      <c r="D3050" t="str">
        <f>"早島町"</f>
        <v>早島町</v>
      </c>
      <c r="E3050" t="str">
        <f>"ハヤシマチョウ"</f>
        <v>ハヤシマチョウ</v>
      </c>
      <c r="F3050" t="str">
        <f>"早島町（都窪郡）"</f>
        <v>早島町（都窪郡）</v>
      </c>
      <c r="G3050" t="str">
        <f>"月２回刊"</f>
        <v>月２回刊</v>
      </c>
      <c r="H3050" t="str">
        <f>"2002222301678"</f>
        <v>2002222301678</v>
      </c>
      <c r="I3050" t="str">
        <f>HYPERLINK("#", "https://opac.libnet.pref.okayama.jp/licsxp-opac/WOpacMsgNewListToTifTilDetailAction.do?tilcod=2002222301678")</f>
        <v>https://opac.libnet.pref.okayama.jp/licsxp-opac/WOpacMsgNewListToTifTilDetailAction.do?tilcod=2002222301678</v>
      </c>
    </row>
    <row r="3051" spans="1:9" x14ac:dyDescent="0.4">
      <c r="A3051" t="str">
        <f>"秀芳；金川高校校友会報"</f>
        <v>秀芳；金川高校校友会報</v>
      </c>
      <c r="B3051" s="1" t="str">
        <f t="shared" si="164"/>
        <v>秀芳；金川高校校友会報</v>
      </c>
      <c r="C3051" t="str">
        <f>"シュウホウ＊カナガワ　コウコウ　コウユウカイホウ"</f>
        <v>シュウホウ＊カナガワ　コウコウ　コウユウカイホウ</v>
      </c>
      <c r="D3051" t="str">
        <f>"金川高等学校校友会"</f>
        <v>金川高等学校校友会</v>
      </c>
      <c r="E3051" t="str">
        <f>"カナガワ コウトウ ガッコウ コウユウカイ"</f>
        <v>カナガワ コウトウ ガッコウ コウユウカイ</v>
      </c>
      <c r="F3051" t="str">
        <f>"御津町（御津郡）"</f>
        <v>御津町（御津郡）</v>
      </c>
      <c r="G3051" t="str">
        <f>"頻度不明"</f>
        <v>頻度不明</v>
      </c>
      <c r="H3051" t="str">
        <f>"2002222301976"</f>
        <v>2002222301976</v>
      </c>
      <c r="I3051" t="str">
        <f>HYPERLINK("#", "https://opac.libnet.pref.okayama.jp/licsxp-opac/WOpacMsgNewListToTifTilDetailAction.do?tilcod=2002222301976")</f>
        <v>https://opac.libnet.pref.okayama.jp/licsxp-opac/WOpacMsgNewListToTifTilDetailAction.do?tilcod=2002222301976</v>
      </c>
    </row>
    <row r="3052" spans="1:9" x14ac:dyDescent="0.4">
      <c r="A3052" t="str">
        <f>"住民と自治 岡山版"</f>
        <v>住民と自治 岡山版</v>
      </c>
      <c r="B3052" s="1" t="str">
        <f t="shared" si="164"/>
        <v>住民と自治 岡山版</v>
      </c>
      <c r="C3052" t="str">
        <f>"ジュウミン ト ジチ オカヤマ バン"</f>
        <v>ジュウミン ト ジチ オカヤマ バン</v>
      </c>
      <c r="D3052" t="str">
        <f>"岡山県　自治体　問題研究所"</f>
        <v>岡山県　自治体　問題研究所</v>
      </c>
      <c r="E3052" t="str">
        <f>"オカヤマケン ジチタイ モンダイ ケンキュウジョ"</f>
        <v>オカヤマケン ジチタイ モンダイ ケンキュウジョ</v>
      </c>
      <c r="F3052" t="str">
        <f>"岡山"</f>
        <v>岡山</v>
      </c>
      <c r="G3052" t="str">
        <f>"月刊"</f>
        <v>月刊</v>
      </c>
      <c r="H3052" t="str">
        <f>"2002222314166"</f>
        <v>2002222314166</v>
      </c>
      <c r="I3052" t="str">
        <f>HYPERLINK("#", "https://opac.libnet.pref.okayama.jp/licsxp-opac/WOpacMsgNewListToTifTilDetailAction.do?tilcod=2002222314166")</f>
        <v>https://opac.libnet.pref.okayama.jp/licsxp-opac/WOpacMsgNewListToTifTilDetailAction.do?tilcod=2002222314166</v>
      </c>
    </row>
    <row r="3053" spans="1:9" x14ac:dyDescent="0.4">
      <c r="A3053" t="str">
        <f>"集落協定だより；中山間地域等直接支払制度通信"</f>
        <v>集落協定だより；中山間地域等直接支払制度通信</v>
      </c>
      <c r="B3053" s="1" t="str">
        <f t="shared" si="164"/>
        <v>集落協定だより；中山間地域等直接支払制度通信</v>
      </c>
      <c r="C3053" t="str">
        <f>"シュウラク　キョウテイ　ダヨリ＊チュウサンカン　チイキ　トウ　チョクセツ　シハライ　セイド　ツウシン"</f>
        <v>シュウラク　キョウテイ　ダヨリ＊チュウサンカン　チイキ　トウ　チョクセツ　シハライ　セイド　ツウシン</v>
      </c>
      <c r="D3053" t="str">
        <f>"岡山県農林水産部農村振興課"</f>
        <v>岡山県農林水産部農村振興課</v>
      </c>
      <c r="E3053" t="str">
        <f>"オカヤマケン ノウリン スイサンブ ノウソン シンコウカ"</f>
        <v>オカヤマケン ノウリン スイサンブ ノウソン シンコウカ</v>
      </c>
      <c r="F3053" t="str">
        <f>"岡山"</f>
        <v>岡山</v>
      </c>
      <c r="G3053" t="str">
        <f>"季刊"</f>
        <v>季刊</v>
      </c>
      <c r="H3053" t="str">
        <f>"2002222281524"</f>
        <v>2002222281524</v>
      </c>
      <c r="I3053" t="str">
        <f>HYPERLINK("#", "https://opac.libnet.pref.okayama.jp/licsxp-opac/WOpacMsgNewListToTifTilDetailAction.do?tilcod=2002222281524")</f>
        <v>https://opac.libnet.pref.okayama.jp/licsxp-opac/WOpacMsgNewListToTifTilDetailAction.do?tilcod=2002222281524</v>
      </c>
    </row>
    <row r="3054" spans="1:9" x14ac:dyDescent="0.4">
      <c r="A3054" t="str">
        <f>"樹苑"</f>
        <v>樹苑</v>
      </c>
      <c r="B3054" s="1" t="str">
        <f t="shared" si="164"/>
        <v>樹苑</v>
      </c>
      <c r="C3054" t="str">
        <f>"ジュエン"</f>
        <v>ジュエン</v>
      </c>
      <c r="D3054" t="str">
        <f>"傷痍軍人岡山療養所早島寮友会文芸部"</f>
        <v>傷痍軍人岡山療養所早島寮友会文芸部</v>
      </c>
      <c r="E3054" t="str">
        <f>"ショウイグンジンオカヤマリョウヨウジョハヤシマリョウユウカイブンゲイブ"</f>
        <v>ショウイグンジンオカヤマリョウヨウジョハヤシマリョウユウカイブンゲイブ</v>
      </c>
      <c r="F3054" t="str">
        <f>"岡山市"</f>
        <v>岡山市</v>
      </c>
      <c r="G3054" t="str">
        <f>"月刊"</f>
        <v>月刊</v>
      </c>
      <c r="H3054" t="str">
        <f>"2002222302144"</f>
        <v>2002222302144</v>
      </c>
      <c r="I3054" t="str">
        <f>HYPERLINK("#", "https://opac.libnet.pref.okayama.jp/licsxp-opac/WOpacMsgNewListToTifTilDetailAction.do?tilcod=2002222302144")</f>
        <v>https://opac.libnet.pref.okayama.jp/licsxp-opac/WOpacMsgNewListToTifTilDetailAction.do?tilcod=2002222302144</v>
      </c>
    </row>
    <row r="3055" spans="1:9" x14ac:dyDescent="0.4">
      <c r="A3055" t="str">
        <f>"縮刷版広報かも"</f>
        <v>縮刷版広報かも</v>
      </c>
      <c r="B3055" s="1" t="str">
        <f t="shared" si="164"/>
        <v>縮刷版広報かも</v>
      </c>
      <c r="C3055" t="str">
        <f>"シュクサツバン　コウホウ　カモ"</f>
        <v>シュクサツバン　コウホウ　カモ</v>
      </c>
      <c r="D3055" t="str">
        <f>"岡山県苫田郡加茂町"</f>
        <v>岡山県苫田郡加茂町</v>
      </c>
      <c r="E3055" t="str">
        <f>"オカヤマケン　トマダグン　カモチョウ"</f>
        <v>オカヤマケン　トマダグン　カモチョウ</v>
      </c>
      <c r="F3055" t="str">
        <f>"加茂町"</f>
        <v>加茂町</v>
      </c>
      <c r="G3055" t="str">
        <f>"不定期刊"</f>
        <v>不定期刊</v>
      </c>
      <c r="H3055" t="str">
        <f>"2002222311486"</f>
        <v>2002222311486</v>
      </c>
      <c r="I3055" t="str">
        <f>HYPERLINK("#", "https://opac.libnet.pref.okayama.jp/licsxp-opac/WOpacMsgNewListToTifTilDetailAction.do?tilcod=2002222311486")</f>
        <v>https://opac.libnet.pref.okayama.jp/licsxp-opac/WOpacMsgNewListToTifTilDetailAction.do?tilcod=2002222311486</v>
      </c>
    </row>
    <row r="3056" spans="1:9" x14ac:dyDescent="0.4">
      <c r="A3056" t="str">
        <f>"宿根草"</f>
        <v>宿根草</v>
      </c>
      <c r="B3056" s="1" t="str">
        <f t="shared" si="164"/>
        <v>宿根草</v>
      </c>
      <c r="C3056" t="str">
        <f>"シュッコンソウ"</f>
        <v>シュッコンソウ</v>
      </c>
      <c r="D3056" t="str">
        <f>"備前エッセイの会"</f>
        <v>備前エッセイの会</v>
      </c>
      <c r="E3056" t="str">
        <f>"ビゼンエッセイノカイ"</f>
        <v>ビゼンエッセイノカイ</v>
      </c>
      <c r="F3056" t="str">
        <f>"備前"</f>
        <v>備前</v>
      </c>
      <c r="G3056" t="str">
        <f>"年刊"</f>
        <v>年刊</v>
      </c>
      <c r="H3056" t="str">
        <f>"2002222280441"</f>
        <v>2002222280441</v>
      </c>
      <c r="I3056" t="str">
        <f>HYPERLINK("#", "https://opac.libnet.pref.okayama.jp/licsxp-opac/WOpacMsgNewListToTifTilDetailAction.do?tilcod=2002222280441")</f>
        <v>https://opac.libnet.pref.okayama.jp/licsxp-opac/WOpacMsgNewListToTifTilDetailAction.do?tilcod=2002222280441</v>
      </c>
    </row>
    <row r="3057" spans="1:9" x14ac:dyDescent="0.4">
      <c r="A3057" t="str">
        <f>"Ｊｅｕｄｉ（ジュディ）"</f>
        <v>Ｊｅｕｄｉ（ジュディ）</v>
      </c>
      <c r="B3057" s="1" t="str">
        <f t="shared" si="164"/>
        <v>Ｊｅｕｄｉ（ジュディ）</v>
      </c>
      <c r="C3057" t="str">
        <f>"ジュディ"</f>
        <v>ジュディ</v>
      </c>
      <c r="D3057" t="str">
        <f>"山陽新聞カルチャープラザ現代詩教室"</f>
        <v>山陽新聞カルチャープラザ現代詩教室</v>
      </c>
      <c r="E3057" t="str">
        <f>"サンヨウシンブンカルチャープラザゲンダイシキョウシツ"</f>
        <v>サンヨウシンブンカルチャープラザゲンダイシキョウシツ</v>
      </c>
      <c r="F3057" t="str">
        <f>""</f>
        <v/>
      </c>
      <c r="G3057" t="str">
        <f>"頻度不明"</f>
        <v>頻度不明</v>
      </c>
      <c r="H3057" t="str">
        <f>"2002222287203"</f>
        <v>2002222287203</v>
      </c>
      <c r="I3057" t="str">
        <f>HYPERLINK("#", "https://opac.libnet.pref.okayama.jp/licsxp-opac/WOpacMsgNewListToTifTilDetailAction.do?tilcod=2002222287203")</f>
        <v>https://opac.libnet.pref.okayama.jp/licsxp-opac/WOpacMsgNewListToTifTilDetailAction.do?tilcod=2002222287203</v>
      </c>
    </row>
    <row r="3058" spans="1:9" x14ac:dyDescent="0.4">
      <c r="A3058" t="str">
        <f>"酒呑"</f>
        <v>酒呑</v>
      </c>
      <c r="B3058" s="1" t="str">
        <f t="shared" si="164"/>
        <v>酒呑</v>
      </c>
      <c r="C3058" t="str">
        <f>"シュテン"</f>
        <v>シュテン</v>
      </c>
      <c r="D3058" t="str">
        <f>"ジャックポット酒呑本部"</f>
        <v>ジャックポット酒呑本部</v>
      </c>
      <c r="E3058" t="str">
        <f>"ジャックポットシュテンホンブ"</f>
        <v>ジャックポットシュテンホンブ</v>
      </c>
      <c r="F3058" t="str">
        <f>"美咲町（久米郡）"</f>
        <v>美咲町（久米郡）</v>
      </c>
      <c r="G3058" t="str">
        <f>"季刊"</f>
        <v>季刊</v>
      </c>
      <c r="H3058" t="str">
        <f>"2002222300621"</f>
        <v>2002222300621</v>
      </c>
      <c r="I3058" t="str">
        <f>HYPERLINK("#", "https://opac.libnet.pref.okayama.jp/licsxp-opac/WOpacMsgNewListToTifTilDetailAction.do?tilcod=2002222300621")</f>
        <v>https://opac.libnet.pref.okayama.jp/licsxp-opac/WOpacMsgNewListToTifTilDetailAction.do?tilcod=2002222300621</v>
      </c>
    </row>
    <row r="3059" spans="1:9" x14ac:dyDescent="0.4">
      <c r="A3059" t="str">
        <f>"趣味と学問"</f>
        <v>趣味と学問</v>
      </c>
      <c r="B3059" s="1" t="str">
        <f t="shared" si="164"/>
        <v>趣味と学問</v>
      </c>
      <c r="C3059" t="str">
        <f>"シュミ　ト　ガクモン"</f>
        <v>シュミ　ト　ガクモン</v>
      </c>
      <c r="D3059" t="str">
        <f>"文献書房"</f>
        <v>文献書房</v>
      </c>
      <c r="E3059" t="str">
        <f>"ブンケン ショボウ"</f>
        <v>ブンケン ショボウ</v>
      </c>
      <c r="F3059" t="str">
        <f>""</f>
        <v/>
      </c>
      <c r="G3059" t="str">
        <f>"頻度不明"</f>
        <v>頻度不明</v>
      </c>
      <c r="H3059" t="str">
        <f>"2002222287213"</f>
        <v>2002222287213</v>
      </c>
      <c r="I3059" t="str">
        <f>HYPERLINK("#", "https://opac.libnet.pref.okayama.jp/licsxp-opac/WOpacMsgNewListToTifTilDetailAction.do?tilcod=2002222287213")</f>
        <v>https://opac.libnet.pref.okayama.jp/licsxp-opac/WOpacMsgNewListToTifTilDetailAction.do?tilcod=2002222287213</v>
      </c>
    </row>
    <row r="3060" spans="1:9" x14ac:dyDescent="0.4">
      <c r="A3060" t="str">
        <f>"趣味之友"</f>
        <v>趣味之友</v>
      </c>
      <c r="B3060" s="1" t="str">
        <f t="shared" si="164"/>
        <v>趣味之友</v>
      </c>
      <c r="C3060" t="str">
        <f>"シュミ ノ トモ"</f>
        <v>シュミ ノ トモ</v>
      </c>
      <c r="D3060" t="str">
        <f>"実業之岡山社"</f>
        <v>実業之岡山社</v>
      </c>
      <c r="E3060" t="str">
        <f>"ジツギョウノオカヤマシャ"</f>
        <v>ジツギョウノオカヤマシャ</v>
      </c>
      <c r="F3060" t="str">
        <f>"岡山"</f>
        <v>岡山</v>
      </c>
      <c r="G3060" t="str">
        <f>"頻度不明"</f>
        <v>頻度不明</v>
      </c>
      <c r="H3060" t="str">
        <f>"2002222328430"</f>
        <v>2002222328430</v>
      </c>
      <c r="I3060" t="str">
        <f>HYPERLINK("#", "https://opac.libnet.pref.okayama.jp/licsxp-opac/WOpacMsgNewListToTifTilDetailAction.do?tilcod=2002222328430")</f>
        <v>https://opac.libnet.pref.okayama.jp/licsxp-opac/WOpacMsgNewListToTifTilDetailAction.do?tilcod=2002222328430</v>
      </c>
    </row>
    <row r="3061" spans="1:9" x14ac:dyDescent="0.4">
      <c r="A3061" t="str">
        <f>"樹林"</f>
        <v>樹林</v>
      </c>
      <c r="B3061" s="1" t="str">
        <f t="shared" si="164"/>
        <v>樹林</v>
      </c>
      <c r="C3061" t="str">
        <f>"ジュリン"</f>
        <v>ジュリン</v>
      </c>
      <c r="D3061" t="str">
        <f>"樹林俳句会"</f>
        <v>樹林俳句会</v>
      </c>
      <c r="E3061" t="str">
        <f>"ジュリンハイクカイ"</f>
        <v>ジュリンハイクカイ</v>
      </c>
      <c r="F3061" t="str">
        <f>""</f>
        <v/>
      </c>
      <c r="G3061" t="str">
        <f>"不定期刊"</f>
        <v>不定期刊</v>
      </c>
      <c r="H3061" t="str">
        <f>"2002222287223"</f>
        <v>2002222287223</v>
      </c>
      <c r="I3061" t="str">
        <f>HYPERLINK("#", "https://opac.libnet.pref.okayama.jp/licsxp-opac/WOpacMsgNewListToTifTilDetailAction.do?tilcod=2002222287223")</f>
        <v>https://opac.libnet.pref.okayama.jp/licsxp-opac/WOpacMsgNewListToTifTilDetailAction.do?tilcod=2002222287223</v>
      </c>
    </row>
    <row r="3062" spans="1:9" x14ac:dyDescent="0.4">
      <c r="A3062" t="str">
        <f>"樹林"</f>
        <v>樹林</v>
      </c>
      <c r="B3062" s="1" t="str">
        <f t="shared" si="164"/>
        <v>樹林</v>
      </c>
      <c r="C3062" t="str">
        <f>"ジュリン"</f>
        <v>ジュリン</v>
      </c>
      <c r="D3062" t="str">
        <f>"岡北中学校文学演劇クラブ"</f>
        <v>岡北中学校文学演劇クラブ</v>
      </c>
      <c r="E3062" t="str">
        <f>"コウホク チュウガッコウ ブンガク エンゲキ クラブ"</f>
        <v>コウホク チュウガッコウ ブンガク エンゲキ クラブ</v>
      </c>
      <c r="F3062" t="str">
        <f>"岡山"</f>
        <v>岡山</v>
      </c>
      <c r="G3062" t="str">
        <f>"頻度不明"</f>
        <v>頻度不明</v>
      </c>
      <c r="H3062" t="str">
        <f>"2002222313328"</f>
        <v>2002222313328</v>
      </c>
      <c r="I3062" t="str">
        <f>HYPERLINK("#", "https://opac.libnet.pref.okayama.jp/licsxp-opac/WOpacMsgNewListToTifTilDetailAction.do?tilcod=2002222313328")</f>
        <v>https://opac.libnet.pref.okayama.jp/licsxp-opac/WOpacMsgNewListToTifTilDetailAction.do?tilcod=2002222313328</v>
      </c>
    </row>
    <row r="3063" spans="1:9" x14ac:dyDescent="0.4">
      <c r="A3063" t="str">
        <f>"樹林"</f>
        <v>樹林</v>
      </c>
      <c r="B3063" s="1" t="str">
        <f t="shared" si="164"/>
        <v>樹林</v>
      </c>
      <c r="C3063" t="str">
        <f>"ジュリン"</f>
        <v>ジュリン</v>
      </c>
      <c r="D3063" t="str">
        <f>"樹林俳句会"</f>
        <v>樹林俳句会</v>
      </c>
      <c r="E3063" t="str">
        <f>"ジュリンハイクカイ"</f>
        <v>ジュリンハイクカイ</v>
      </c>
      <c r="F3063" t="str">
        <f>"岡山"</f>
        <v>岡山</v>
      </c>
      <c r="G3063" t="str">
        <f>"年２回刊"</f>
        <v>年２回刊</v>
      </c>
      <c r="H3063" t="str">
        <f>"2002222311166"</f>
        <v>2002222311166</v>
      </c>
      <c r="I3063" t="str">
        <f>HYPERLINK("#", "https://opac.libnet.pref.okayama.jp/licsxp-opac/WOpacMsgNewListToTifTilDetailAction.do?tilcod=2002222311166")</f>
        <v>https://opac.libnet.pref.okayama.jp/licsxp-opac/WOpacMsgNewListToTifTilDetailAction.do?tilcod=2002222311166</v>
      </c>
    </row>
    <row r="3064" spans="1:9" x14ac:dyDescent="0.4">
      <c r="A3064" t="str">
        <f>"春靄"</f>
        <v>春靄</v>
      </c>
      <c r="B3064" s="1" t="str">
        <f t="shared" si="164"/>
        <v>春靄</v>
      </c>
      <c r="C3064" t="str">
        <f>"シュンアイ"</f>
        <v>シュンアイ</v>
      </c>
      <c r="D3064" t="str">
        <f>"春靄学舎天真会"</f>
        <v>春靄学舎天真会</v>
      </c>
      <c r="E3064" t="str">
        <f>"シュウアイガクシャテンシンカイ"</f>
        <v>シュウアイガクシャテンシンカイ</v>
      </c>
      <c r="F3064" t="str">
        <f>""</f>
        <v/>
      </c>
      <c r="G3064" t="str">
        <f>"頻度不明"</f>
        <v>頻度不明</v>
      </c>
      <c r="H3064" t="str">
        <f>"2002222287233"</f>
        <v>2002222287233</v>
      </c>
      <c r="I3064" t="str">
        <f>HYPERLINK("#", "https://opac.libnet.pref.okayama.jp/licsxp-opac/WOpacMsgNewListToTifTilDetailAction.do?tilcod=2002222287233")</f>
        <v>https://opac.libnet.pref.okayama.jp/licsxp-opac/WOpacMsgNewListToTifTilDetailAction.do?tilcod=2002222287233</v>
      </c>
    </row>
    <row r="3065" spans="1:9" x14ac:dyDescent="0.4">
      <c r="A3065" t="str">
        <f>"旬刊烏城"</f>
        <v>旬刊烏城</v>
      </c>
      <c r="B3065" s="1" t="str">
        <f t="shared" si="164"/>
        <v>旬刊烏城</v>
      </c>
      <c r="C3065" t="str">
        <f>"ジュンカン　ウジョウ"</f>
        <v>ジュンカン　ウジョウ</v>
      </c>
      <c r="D3065" t="str">
        <f>"旬刊烏城社"</f>
        <v>旬刊烏城社</v>
      </c>
      <c r="E3065" t="str">
        <f>"ジュンカンウジョウシャ"</f>
        <v>ジュンカンウジョウシャ</v>
      </c>
      <c r="F3065" t="str">
        <f>"岡山"</f>
        <v>岡山</v>
      </c>
      <c r="G3065" t="str">
        <f>"旬刊"</f>
        <v>旬刊</v>
      </c>
      <c r="H3065" t="str">
        <f>"2002222300918"</f>
        <v>2002222300918</v>
      </c>
      <c r="I3065" t="str">
        <f>HYPERLINK("#", "https://opac.libnet.pref.okayama.jp/licsxp-opac/WOpacMsgNewListToTifTilDetailAction.do?tilcod=2002222300918")</f>
        <v>https://opac.libnet.pref.okayama.jp/licsxp-opac/WOpacMsgNewListToTifTilDetailAction.do?tilcod=2002222300918</v>
      </c>
    </row>
    <row r="3066" spans="1:9" x14ac:dyDescent="0.4">
      <c r="A3066" t="str">
        <f>"春秋くらしき"</f>
        <v>春秋くらしき</v>
      </c>
      <c r="B3066" s="1" t="str">
        <f t="shared" si="164"/>
        <v>春秋くらしき</v>
      </c>
      <c r="C3066" t="str">
        <f>"シュンジュウ　クラシキ"</f>
        <v>シュンジュウ　クラシキ</v>
      </c>
      <c r="D3066" t="str">
        <f>"倉敷市文化連盟"</f>
        <v>倉敷市文化連盟</v>
      </c>
      <c r="E3066" t="str">
        <f>"クラシキシブンカレンメイ"</f>
        <v>クラシキシブンカレンメイ</v>
      </c>
      <c r="F3066" t="str">
        <f>"〔倉敷〕"</f>
        <v>〔倉敷〕</v>
      </c>
      <c r="G3066" t="str">
        <f>"年２回刊"</f>
        <v>年２回刊</v>
      </c>
      <c r="H3066" t="str">
        <f>"2002222300623"</f>
        <v>2002222300623</v>
      </c>
      <c r="I3066" t="str">
        <f>HYPERLINK("#", "https://opac.libnet.pref.okayama.jp/licsxp-opac/WOpacMsgNewListToTifTilDetailAction.do?tilcod=2002222300623")</f>
        <v>https://opac.libnet.pref.okayama.jp/licsxp-opac/WOpacMsgNewListToTifTilDetailAction.do?tilcod=2002222300623</v>
      </c>
    </row>
    <row r="3067" spans="1:9" x14ac:dyDescent="0.4">
      <c r="A3067" t="str">
        <f>"順正短期大学研究紀要"</f>
        <v>順正短期大学研究紀要</v>
      </c>
      <c r="B3067" s="1" t="str">
        <f t="shared" si="164"/>
        <v>順正短期大学研究紀要</v>
      </c>
      <c r="C3067" t="str">
        <f>"ジュンセイ　タンキ　ダイガク　ケンキュウ　キヨウ"</f>
        <v>ジュンセイ　タンキ　ダイガク　ケンキュウ　キヨウ</v>
      </c>
      <c r="D3067" t="str">
        <f>"順正短期大学"</f>
        <v>順正短期大学</v>
      </c>
      <c r="E3067" t="str">
        <f>"ジュンセイタンキダイガク"</f>
        <v>ジュンセイタンキダイガク</v>
      </c>
      <c r="F3067" t="str">
        <f>"高梁"</f>
        <v>高梁</v>
      </c>
      <c r="G3067" t="str">
        <f>"年刊"</f>
        <v>年刊</v>
      </c>
      <c r="H3067" t="str">
        <f>"2002222294501"</f>
        <v>2002222294501</v>
      </c>
      <c r="I3067" t="str">
        <f>HYPERLINK("#", "https://opac.libnet.pref.okayama.jp/licsxp-opac/WOpacMsgNewListToTifTilDetailAction.do?tilcod=2002222294501")</f>
        <v>https://opac.libnet.pref.okayama.jp/licsxp-opac/WOpacMsgNewListToTifTilDetailAction.do?tilcod=2002222294501</v>
      </c>
    </row>
    <row r="3068" spans="1:9" x14ac:dyDescent="0.4">
      <c r="A3068" t="str">
        <f>"春潮"</f>
        <v>春潮</v>
      </c>
      <c r="B3068" s="1" t="str">
        <f t="shared" si="164"/>
        <v>春潮</v>
      </c>
      <c r="C3068" t="str">
        <f>"シュンチョウ"</f>
        <v>シュンチョウ</v>
      </c>
      <c r="D3068" t="str">
        <f>"春潮俳句会"</f>
        <v>春潮俳句会</v>
      </c>
      <c r="E3068" t="str">
        <f>"シュンチョウハイクカイ"</f>
        <v>シュンチョウハイクカイ</v>
      </c>
      <c r="F3068" t="str">
        <f>""</f>
        <v/>
      </c>
      <c r="G3068" t="str">
        <f>"隔月刊"</f>
        <v>隔月刊</v>
      </c>
      <c r="H3068" t="str">
        <f>"2002222287243"</f>
        <v>2002222287243</v>
      </c>
      <c r="I3068" t="str">
        <f>HYPERLINK("#", "https://opac.libnet.pref.okayama.jp/licsxp-opac/WOpacMsgNewListToTifTilDetailAction.do?tilcod=2002222287243")</f>
        <v>https://opac.libnet.pref.okayama.jp/licsxp-opac/WOpacMsgNewListToTifTilDetailAction.do?tilcod=2002222287243</v>
      </c>
    </row>
    <row r="3069" spans="1:9" x14ac:dyDescent="0.4">
      <c r="A3069" t="str">
        <f>"淳風"</f>
        <v>淳風</v>
      </c>
      <c r="B3069" s="1" t="str">
        <f t="shared" si="164"/>
        <v>淳風</v>
      </c>
      <c r="C3069" t="str">
        <f>"ジュンプウ"</f>
        <v>ジュンプウ</v>
      </c>
      <c r="D3069" t="str">
        <f>"淳風会健康管理センター"</f>
        <v>淳風会健康管理センター</v>
      </c>
      <c r="E3069" t="str">
        <f>"ジュンプウカイ ケンコウ カンリ センター"</f>
        <v>ジュンプウカイ ケンコウ カンリ センター</v>
      </c>
      <c r="F3069" t="str">
        <f>"岡山"</f>
        <v>岡山</v>
      </c>
      <c r="G3069" t="str">
        <f>"季刊"</f>
        <v>季刊</v>
      </c>
      <c r="H3069" t="str">
        <f>"2002222336587"</f>
        <v>2002222336587</v>
      </c>
      <c r="I3069" t="str">
        <f>HYPERLINK("#", "https://opac.libnet.pref.okayama.jp/licsxp-opac/WOpacMsgNewListToTifTilDetailAction.do?tilcod=2002222336587")</f>
        <v>https://opac.libnet.pref.okayama.jp/licsxp-opac/WOpacMsgNewListToTifTilDetailAction.do?tilcod=2002222336587</v>
      </c>
    </row>
    <row r="3070" spans="1:9" x14ac:dyDescent="0.4">
      <c r="A3070" t="str">
        <f>"ｊｏｉｎ（ジョイン）"</f>
        <v>ｊｏｉｎ（ジョイン）</v>
      </c>
      <c r="B3070" s="1" t="str">
        <f t="shared" si="164"/>
        <v>ｊｏｉｎ（ジョイン）</v>
      </c>
      <c r="C3070" t="str">
        <f>"ジョイン"</f>
        <v>ジョイン</v>
      </c>
      <c r="D3070" t="str">
        <f>"犬猫愛護会ワンパーク"</f>
        <v>犬猫愛護会ワンパーク</v>
      </c>
      <c r="E3070" t="str">
        <f>"イヌ ネコ アイゴカイ ワンパーク"</f>
        <v>イヌ ネコ アイゴカイ ワンパーク</v>
      </c>
      <c r="F3070" t="str">
        <f>"岡山"</f>
        <v>岡山</v>
      </c>
      <c r="G3070" t="str">
        <f>"頻度不明"</f>
        <v>頻度不明</v>
      </c>
      <c r="H3070" t="str">
        <f>"2002222302353"</f>
        <v>2002222302353</v>
      </c>
      <c r="I3070" t="str">
        <f>HYPERLINK("#", "https://opac.libnet.pref.okayama.jp/licsxp-opac/WOpacMsgNewListToTifTilDetailAction.do?tilcod=2002222302353")</f>
        <v>https://opac.libnet.pref.okayama.jp/licsxp-opac/WOpacMsgNewListToTifTilDetailAction.do?tilcod=2002222302353</v>
      </c>
    </row>
    <row r="3071" spans="1:9" x14ac:dyDescent="0.4">
      <c r="A3071" t="str">
        <f>"翔エアポートおかやま"</f>
        <v>翔エアポートおかやま</v>
      </c>
      <c r="B3071" s="1" t="str">
        <f t="shared" si="164"/>
        <v>翔エアポートおかやま</v>
      </c>
      <c r="C3071" t="str">
        <f>"ショウ　エアポート　オカヤマ"</f>
        <v>ショウ　エアポート　オカヤマ</v>
      </c>
      <c r="D3071" t="str">
        <f>"岡山県・空路利用を促進する会"</f>
        <v>岡山県・空路利用を促進する会</v>
      </c>
      <c r="E3071" t="str">
        <f>"オカヤマケンクウロリヨウオソクシンスルカイ"</f>
        <v>オカヤマケンクウロリヨウオソクシンスルカイ</v>
      </c>
      <c r="F3071" t="str">
        <f>"岡山"</f>
        <v>岡山</v>
      </c>
      <c r="G3071" t="str">
        <f>"年２回刊"</f>
        <v>年２回刊</v>
      </c>
      <c r="H3071" t="str">
        <f>"2002222292671"</f>
        <v>2002222292671</v>
      </c>
      <c r="I3071" t="str">
        <f>HYPERLINK("#", "https://opac.libnet.pref.okayama.jp/licsxp-opac/WOpacMsgNewListToTifTilDetailAction.do?tilcod=2002222292671")</f>
        <v>https://opac.libnet.pref.okayama.jp/licsxp-opac/WOpacMsgNewListToTifTilDetailAction.do?tilcod=2002222292671</v>
      </c>
    </row>
    <row r="3072" spans="1:9" x14ac:dyDescent="0.4">
      <c r="A3072" t="str">
        <f>"小宇宙"</f>
        <v>小宇宙</v>
      </c>
      <c r="B3072" s="1" t="str">
        <f t="shared" si="164"/>
        <v>小宇宙</v>
      </c>
      <c r="C3072" t="str">
        <f>"ショウウチュウ"</f>
        <v>ショウウチュウ</v>
      </c>
      <c r="D3072" t="str">
        <f>"岡山大学医学部内小宇宙出版"</f>
        <v>岡山大学医学部内小宇宙出版</v>
      </c>
      <c r="E3072" t="str">
        <f>"オカヤマダイガクイガクブナイショウウチュウシュッパン"</f>
        <v>オカヤマダイガクイガクブナイショウウチュウシュッパン</v>
      </c>
      <c r="F3072" t="str">
        <f>""</f>
        <v/>
      </c>
      <c r="G3072" t="str">
        <f>"頻度不明"</f>
        <v>頻度不明</v>
      </c>
      <c r="H3072" t="str">
        <f>"2002222287253"</f>
        <v>2002222287253</v>
      </c>
      <c r="I3072" t="str">
        <f>HYPERLINK("#", "https://opac.libnet.pref.okayama.jp/licsxp-opac/WOpacMsgNewListToTifTilDetailAction.do?tilcod=2002222287253")</f>
        <v>https://opac.libnet.pref.okayama.jp/licsxp-opac/WOpacMsgNewListToTifTilDetailAction.do?tilcod=2002222287253</v>
      </c>
    </row>
    <row r="3073" spans="1:9" x14ac:dyDescent="0.4">
      <c r="A3073" t="str">
        <f>"勝英だより"</f>
        <v>勝英だより</v>
      </c>
      <c r="B3073" s="1" t="str">
        <f t="shared" si="164"/>
        <v>勝英だより</v>
      </c>
      <c r="C3073" t="str">
        <f>"ショウエイ　ダヨリ"</f>
        <v>ショウエイ　ダヨリ</v>
      </c>
      <c r="D3073" t="str">
        <f>"岡山県勝英地方振興局"</f>
        <v>岡山県勝英地方振興局</v>
      </c>
      <c r="E3073" t="str">
        <f>"オカヤマケンショウエイチホウシンコウキョク"</f>
        <v>オカヤマケンショウエイチホウシンコウキョク</v>
      </c>
      <c r="F3073" t="str">
        <f>"美作町（英田郡）"</f>
        <v>美作町（英田郡）</v>
      </c>
      <c r="G3073" t="str">
        <f>"頻度不明"</f>
        <v>頻度不明</v>
      </c>
      <c r="H3073" t="str">
        <f>"2002222301346"</f>
        <v>2002222301346</v>
      </c>
      <c r="I3073" t="str">
        <f>HYPERLINK("#", "https://opac.libnet.pref.okayama.jp/licsxp-opac/WOpacMsgNewListToTifTilDetailAction.do?tilcod=2002222301346")</f>
        <v>https://opac.libnet.pref.okayama.jp/licsxp-opac/WOpacMsgNewListToTifTilDetailAction.do?tilcod=2002222301346</v>
      </c>
    </row>
    <row r="3074" spans="1:9" x14ac:dyDescent="0.4">
      <c r="A3074" t="str">
        <f>"勝英ニュース；Ｓｈｏｅｉ（しょうえい）"</f>
        <v>勝英ニュース；Ｓｈｏｅｉ（しょうえい）</v>
      </c>
      <c r="B3074" s="1" t="str">
        <f t="shared" si="164"/>
        <v>勝英ニュース；Ｓｈｏｅｉ（しょうえい）</v>
      </c>
      <c r="C3074" t="str">
        <f>"ショウエイ　ニュース"</f>
        <v>ショウエイ　ニュース</v>
      </c>
      <c r="D3074" t="str">
        <f>"岡山県勝英地方振興局地域振興室"</f>
        <v>岡山県勝英地方振興局地域振興室</v>
      </c>
      <c r="E3074" t="str">
        <f>"オカヤマケン ショウエイ チホウ シンコウキョク チイキ シンコウシツ"</f>
        <v>オカヤマケン ショウエイ チホウ シンコウキョク チイキ シンコウシツ</v>
      </c>
      <c r="F3074" t="str">
        <f>"美作町（英田郡）"</f>
        <v>美作町（英田郡）</v>
      </c>
      <c r="G3074" t="str">
        <f>"頻度不明"</f>
        <v>頻度不明</v>
      </c>
      <c r="H3074" t="str">
        <f>"2002222300891"</f>
        <v>2002222300891</v>
      </c>
      <c r="I3074" t="str">
        <f>HYPERLINK("#", "https://opac.libnet.pref.okayama.jp/licsxp-opac/WOpacMsgNewListToTifTilDetailAction.do?tilcod=2002222300891")</f>
        <v>https://opac.libnet.pref.okayama.jp/licsxp-opac/WOpacMsgNewListToTifTilDetailAction.do?tilcod=2002222300891</v>
      </c>
    </row>
    <row r="3075" spans="1:9" x14ac:dyDescent="0.4">
      <c r="A3075" t="str">
        <f>"[勝央]美術文学館だより"</f>
        <v>[勝央]美術文学館だより</v>
      </c>
      <c r="B3075" s="1" t="str">
        <f t="shared" si="164"/>
        <v>[勝央]美術文学館だより</v>
      </c>
      <c r="C3075" t="str">
        <f>"ショウオウ ビジュツ ブンガクカン ダヨリ"</f>
        <v>ショウオウ ビジュツ ブンガクカン ダヨリ</v>
      </c>
      <c r="D3075" t="str">
        <f>"勝央美術文学館"</f>
        <v>勝央美術文学館</v>
      </c>
      <c r="E3075" t="str">
        <f>"ショウオウ ビジュツ ブンガクカン"</f>
        <v>ショウオウ ビジュツ ブンガクカン</v>
      </c>
      <c r="F3075" t="str">
        <f>"勝央町(勝田郡)"</f>
        <v>勝央町(勝田郡)</v>
      </c>
      <c r="G3075" t="str">
        <f>"年刊"</f>
        <v>年刊</v>
      </c>
      <c r="H3075" t="str">
        <f>"2002222331418"</f>
        <v>2002222331418</v>
      </c>
      <c r="I3075" t="str">
        <f>HYPERLINK("#", "https://opac.libnet.pref.okayama.jp/licsxp-opac/WOpacMsgNewListToTifTilDetailAction.do?tilcod=2002222331418")</f>
        <v>https://opac.libnet.pref.okayama.jp/licsxp-opac/WOpacMsgNewListToTifTilDetailAction.do?tilcod=2002222331418</v>
      </c>
    </row>
    <row r="3076" spans="1:9" x14ac:dyDescent="0.4">
      <c r="A3076" t="str">
        <f>"勝央文化会報"</f>
        <v>勝央文化会報</v>
      </c>
      <c r="B3076" s="1" t="str">
        <f t="shared" ref="B3076:B3139" si="166">HYPERLINK("#", A3076)</f>
        <v>勝央文化会報</v>
      </c>
      <c r="C3076" t="str">
        <f>"ショウオウ ブンカ カイホウ"</f>
        <v>ショウオウ ブンカ カイホウ</v>
      </c>
      <c r="D3076" t="str">
        <f>"勝央町文化協会"</f>
        <v>勝央町文化協会</v>
      </c>
      <c r="E3076" t="str">
        <f>"ショウオウチョウ ブンカ キョウカイ"</f>
        <v>ショウオウチョウ ブンカ キョウカイ</v>
      </c>
      <c r="F3076" t="str">
        <f>"勝央町(勝田郡)"</f>
        <v>勝央町(勝田郡)</v>
      </c>
      <c r="G3076" t="str">
        <f>"年刊"</f>
        <v>年刊</v>
      </c>
      <c r="H3076" t="str">
        <f>"2002222312406"</f>
        <v>2002222312406</v>
      </c>
      <c r="I3076" t="str">
        <f>HYPERLINK("#", "https://opac.libnet.pref.okayama.jp/licsxp-opac/WOpacMsgNewListToTifTilDetailAction.do?tilcod=2002222312406")</f>
        <v>https://opac.libnet.pref.okayama.jp/licsxp-opac/WOpacMsgNewListToTifTilDetailAction.do?tilcod=2002222312406</v>
      </c>
    </row>
    <row r="3077" spans="1:9" x14ac:dyDescent="0.4">
      <c r="A3077" t="str">
        <f>"勝央町・英田町合併協議会だより"</f>
        <v>勝央町・英田町合併協議会だより</v>
      </c>
      <c r="B3077" s="1" t="str">
        <f t="shared" si="166"/>
        <v>勝央町・英田町合併協議会だより</v>
      </c>
      <c r="C3077" t="str">
        <f>"ショウオウチョウ　アイダチョウ　ガッペイ　キョウギカイ　ダヨリ"</f>
        <v>ショウオウチョウ　アイダチョウ　ガッペイ　キョウギカイ　ダヨリ</v>
      </c>
      <c r="D3077" t="str">
        <f>"勝央町・英田町合併協議会事務局"</f>
        <v>勝央町・英田町合併協議会事務局</v>
      </c>
      <c r="E3077" t="str">
        <f>"ショウオウチョウアイダチョウガッペイキョウギカイジムキョク"</f>
        <v>ショウオウチョウアイダチョウガッペイキョウギカイジムキョク</v>
      </c>
      <c r="F3077" t="str">
        <f>"勝央町（勝田郡）"</f>
        <v>勝央町（勝田郡）</v>
      </c>
      <c r="G3077" t="str">
        <f>"頻度不明"</f>
        <v>頻度不明</v>
      </c>
      <c r="H3077" t="str">
        <f>"2002222300181"</f>
        <v>2002222300181</v>
      </c>
      <c r="I3077" t="str">
        <f>HYPERLINK("#", "https://opac.libnet.pref.okayama.jp/licsxp-opac/WOpacMsgNewListToTifTilDetailAction.do?tilcod=2002222300181")</f>
        <v>https://opac.libnet.pref.okayama.jp/licsxp-opac/WOpacMsgNewListToTifTilDetailAction.do?tilcod=2002222300181</v>
      </c>
    </row>
    <row r="3078" spans="1:9" x14ac:dyDescent="0.4">
      <c r="A3078" t="str">
        <f>"情歌奴"</f>
        <v>情歌奴</v>
      </c>
      <c r="B3078" s="1" t="str">
        <f t="shared" si="166"/>
        <v>情歌奴</v>
      </c>
      <c r="C3078" t="str">
        <f>"ジョウカ　ヤツ"</f>
        <v>ジョウカ　ヤツ</v>
      </c>
      <c r="D3078" t="str">
        <f>"情歌正調社"</f>
        <v>情歌正調社</v>
      </c>
      <c r="E3078" t="str">
        <f>"ジョウカセイチョウシャ"</f>
        <v>ジョウカセイチョウシャ</v>
      </c>
      <c r="F3078" t="str">
        <f>""</f>
        <v/>
      </c>
      <c r="G3078" t="str">
        <f>"その他"</f>
        <v>その他</v>
      </c>
      <c r="H3078" t="str">
        <f>"2002222287303"</f>
        <v>2002222287303</v>
      </c>
      <c r="I3078" t="str">
        <f>HYPERLINK("#", "https://opac.libnet.pref.okayama.jp/licsxp-opac/WOpacMsgNewListToTifTilDetailAction.do?tilcod=2002222287303")</f>
        <v>https://opac.libnet.pref.okayama.jp/licsxp-opac/WOpacMsgNewListToTifTilDetailAction.do?tilcod=2002222287303</v>
      </c>
    </row>
    <row r="3079" spans="1:9" x14ac:dyDescent="0.4">
      <c r="A3079" t="str">
        <f>"生涯学習かもがた"</f>
        <v>生涯学習かもがた</v>
      </c>
      <c r="B3079" s="1" t="str">
        <f t="shared" si="166"/>
        <v>生涯学習かもがた</v>
      </c>
      <c r="C3079" t="str">
        <f>"ショウガイ　ガクシュウ　カモガタ"</f>
        <v>ショウガイ　ガクシュウ　カモガタ</v>
      </c>
      <c r="D3079" t="str">
        <f>"鴨方町生涯学習推進本部"</f>
        <v>鴨方町生涯学習推進本部</v>
      </c>
      <c r="E3079" t="str">
        <f>"カモガタチョウショウガイガクシュウスイシンホンブ"</f>
        <v>カモガタチョウショウガイガクシュウスイシンホンブ</v>
      </c>
      <c r="F3079" t="str">
        <f>"鴨方町（浅口郡）"</f>
        <v>鴨方町（浅口郡）</v>
      </c>
      <c r="G3079" t="str">
        <f>"年２回刊"</f>
        <v>年２回刊</v>
      </c>
      <c r="H3079" t="str">
        <f>"2002222282761"</f>
        <v>2002222282761</v>
      </c>
      <c r="I3079" t="str">
        <f>HYPERLINK("#", "https://opac.libnet.pref.okayama.jp/licsxp-opac/WOpacMsgNewListToTifTilDetailAction.do?tilcod=2002222282761")</f>
        <v>https://opac.libnet.pref.okayama.jp/licsxp-opac/WOpacMsgNewListToTifTilDetailAction.do?tilcod=2002222282761</v>
      </c>
    </row>
    <row r="3080" spans="1:9" x14ac:dyDescent="0.4">
      <c r="A3080" t="str">
        <f>"生涯学習通信まなびぃ"</f>
        <v>生涯学習通信まなびぃ</v>
      </c>
      <c r="B3080" s="1" t="str">
        <f t="shared" si="166"/>
        <v>生涯学習通信まなびぃ</v>
      </c>
      <c r="C3080" t="str">
        <f>"ショウガイ　ガクシュウ　ツウシン　マナビィ"</f>
        <v>ショウガイ　ガクシュウ　ツウシン　マナビィ</v>
      </c>
      <c r="D3080" t="str">
        <f>"津山市教育委員会生涯学習部生涯学習課"</f>
        <v>津山市教育委員会生涯学習部生涯学習課</v>
      </c>
      <c r="E3080" t="str">
        <f>"ツヤマシ キョウイク イインカイ ショウガイ ガクシュウブ ショウガイ ガクシュウカ"</f>
        <v>ツヤマシ キョウイク イインカイ ショウガイ ガクシュウブ ショウガイ ガクシュウカ</v>
      </c>
      <c r="F3080" t="str">
        <f>"津山"</f>
        <v>津山</v>
      </c>
      <c r="G3080" t="str">
        <f>"年２回刊"</f>
        <v>年２回刊</v>
      </c>
      <c r="H3080" t="str">
        <f>"2002222293931"</f>
        <v>2002222293931</v>
      </c>
      <c r="I3080" t="str">
        <f>HYPERLINK("#", "https://opac.libnet.pref.okayama.jp/licsxp-opac/WOpacMsgNewListToTifTilDetailAction.do?tilcod=2002222293931")</f>
        <v>https://opac.libnet.pref.okayama.jp/licsxp-opac/WOpacMsgNewListToTifTilDetailAction.do?tilcod=2002222293931</v>
      </c>
    </row>
    <row r="3081" spans="1:9" x14ac:dyDescent="0.4">
      <c r="A3081" t="str">
        <f>"生涯教育情報おかやま"</f>
        <v>生涯教育情報おかやま</v>
      </c>
      <c r="B3081" s="1" t="str">
        <f t="shared" si="166"/>
        <v>生涯教育情報おかやま</v>
      </c>
      <c r="C3081" t="str">
        <f>"ショウガイ キョウイク ジョウホウ オカヤマ"</f>
        <v>ショウガイ キョウイク ジョウホウ オカヤマ</v>
      </c>
      <c r="D3081" t="str">
        <f>"岡山県教育委員会"</f>
        <v>岡山県教育委員会</v>
      </c>
      <c r="E3081" t="str">
        <f>"オカヤマケン キョウイク イインカイ"</f>
        <v>オカヤマケン キョウイク イインカイ</v>
      </c>
      <c r="F3081" t="str">
        <f>"岡山"</f>
        <v>岡山</v>
      </c>
      <c r="G3081" t="str">
        <f>"不定期刊"</f>
        <v>不定期刊</v>
      </c>
      <c r="H3081" t="str">
        <f>"2002222287263"</f>
        <v>2002222287263</v>
      </c>
      <c r="I3081" t="str">
        <f>HYPERLINK("#", "https://opac.libnet.pref.okayama.jp/licsxp-opac/WOpacMsgNewListToTifTilDetailAction.do?tilcod=2002222287263")</f>
        <v>https://opac.libnet.pref.okayama.jp/licsxp-opac/WOpacMsgNewListToTifTilDetailAction.do?tilcod=2002222287263</v>
      </c>
    </row>
    <row r="3082" spans="1:9" x14ac:dyDescent="0.4">
      <c r="A3082" t="str">
        <f>"生涯学習あさくち"</f>
        <v>生涯学習あさくち</v>
      </c>
      <c r="B3082" s="1" t="str">
        <f t="shared" si="166"/>
        <v>生涯学習あさくち</v>
      </c>
      <c r="C3082" t="str">
        <f>"ショウガイガクシュウ　アサクチ"</f>
        <v>ショウガイガクシュウ　アサクチ</v>
      </c>
      <c r="D3082" t="str">
        <f>"浅口市生涯学習推進本部"</f>
        <v>浅口市生涯学習推進本部</v>
      </c>
      <c r="E3082" t="str">
        <f>"アサクチシショウガイガクシュウスイシンホンブ"</f>
        <v>アサクチシショウガイガクシュウスイシンホンブ</v>
      </c>
      <c r="F3082" t="str">
        <f>"浅口"</f>
        <v>浅口</v>
      </c>
      <c r="G3082" t="str">
        <f>"年２回刊"</f>
        <v>年２回刊</v>
      </c>
      <c r="H3082" t="str">
        <f>"2002222301429"</f>
        <v>2002222301429</v>
      </c>
      <c r="I3082" t="str">
        <f>HYPERLINK("#", "https://opac.libnet.pref.okayama.jp/licsxp-opac/WOpacMsgNewListToTifTilDetailAction.do?tilcod=2002222301429")</f>
        <v>https://opac.libnet.pref.okayama.jp/licsxp-opac/WOpacMsgNewListToTifTilDetailAction.do?tilcod=2002222301429</v>
      </c>
    </row>
    <row r="3083" spans="1:9" x14ac:dyDescent="0.4">
      <c r="A3083" t="str">
        <f>"障害児教育つうしん"</f>
        <v>障害児教育つうしん</v>
      </c>
      <c r="B3083" s="1" t="str">
        <f t="shared" si="166"/>
        <v>障害児教育つうしん</v>
      </c>
      <c r="C3083" t="str">
        <f>"ショウガイジ　キョウイク　ツウシン"</f>
        <v>ショウガイジ　キョウイク　ツウシン</v>
      </c>
      <c r="D3083" t="str">
        <f>"岡山県教育センター"</f>
        <v>岡山県教育センター</v>
      </c>
      <c r="E3083" t="str">
        <f>"オカヤマケンキョウイクセンター"</f>
        <v>オカヤマケンキョウイクセンター</v>
      </c>
      <c r="F3083" t="str">
        <f>"岡山"</f>
        <v>岡山</v>
      </c>
      <c r="G3083" t="str">
        <f>"年刊"</f>
        <v>年刊</v>
      </c>
      <c r="H3083" t="str">
        <f>"2002222292691"</f>
        <v>2002222292691</v>
      </c>
      <c r="I3083" t="str">
        <f>HYPERLINK("#", "https://opac.libnet.pref.okayama.jp/licsxp-opac/WOpacMsgNewListToTifTilDetailAction.do?tilcod=2002222292691")</f>
        <v>https://opac.libnet.pref.okayama.jp/licsxp-opac/WOpacMsgNewListToTifTilDetailAction.do?tilcod=2002222292691</v>
      </c>
    </row>
    <row r="3084" spans="1:9" x14ac:dyDescent="0.4">
      <c r="A3084" t="str">
        <f>"障害者の記録"</f>
        <v>障害者の記録</v>
      </c>
      <c r="B3084" s="1" t="str">
        <f t="shared" si="166"/>
        <v>障害者の記録</v>
      </c>
      <c r="C3084" t="str">
        <f>"ショウガイシャ　ノ　キロク"</f>
        <v>ショウガイシャ　ノ　キロク</v>
      </c>
      <c r="D3084" t="str">
        <f>"岡山県障害者雇用促進協会"</f>
        <v>岡山県障害者雇用促進協会</v>
      </c>
      <c r="E3084" t="str">
        <f>"オカヤマケン ショウガイシャ コヨウ ソクシン キョウカイ"</f>
        <v>オカヤマケン ショウガイシャ コヨウ ソクシン キョウカイ</v>
      </c>
      <c r="F3084" t="str">
        <f>""</f>
        <v/>
      </c>
      <c r="G3084" t="str">
        <f>"頻度不明"</f>
        <v>頻度不明</v>
      </c>
      <c r="H3084" t="str">
        <f>"2002222287273"</f>
        <v>2002222287273</v>
      </c>
      <c r="I3084" t="str">
        <f>HYPERLINK("#", "https://opac.libnet.pref.okayama.jp/licsxp-opac/WOpacMsgNewListToTifTilDetailAction.do?tilcod=2002222287273")</f>
        <v>https://opac.libnet.pref.okayama.jp/licsxp-opac/WOpacMsgNewListToTifTilDetailAction.do?tilcod=2002222287273</v>
      </c>
    </row>
    <row r="3085" spans="1:9" x14ac:dyDescent="0.4">
      <c r="A3085" t="str">
        <f>"城郭研究"</f>
        <v>城郭研究</v>
      </c>
      <c r="B3085" s="1" t="str">
        <f t="shared" si="166"/>
        <v>城郭研究</v>
      </c>
      <c r="C3085" t="str">
        <f>"ジョウカク　ケンキュウ"</f>
        <v>ジョウカク　ケンキュウ</v>
      </c>
      <c r="D3085" t="str">
        <f>"西日本古城研究会"</f>
        <v>西日本古城研究会</v>
      </c>
      <c r="E3085" t="str">
        <f>"ニシニホンコジョウケンキュウカイ"</f>
        <v>ニシニホンコジョウケンキュウカイ</v>
      </c>
      <c r="F3085" t="str">
        <f>""</f>
        <v/>
      </c>
      <c r="G3085" t="str">
        <f>"月刊"</f>
        <v>月刊</v>
      </c>
      <c r="H3085" t="str">
        <f>"2002222287283"</f>
        <v>2002222287283</v>
      </c>
      <c r="I3085" t="str">
        <f>HYPERLINK("#", "https://opac.libnet.pref.okayama.jp/licsxp-opac/WOpacMsgNewListToTifTilDetailAction.do?tilcod=2002222287283")</f>
        <v>https://opac.libnet.pref.okayama.jp/licsxp-opac/WOpacMsgNewListToTifTilDetailAction.do?tilcod=2002222287283</v>
      </c>
    </row>
    <row r="3086" spans="1:9" x14ac:dyDescent="0.4">
      <c r="A3086" t="str">
        <f>"城郭と姓氏研究"</f>
        <v>城郭と姓氏研究</v>
      </c>
      <c r="B3086" s="1" t="str">
        <f t="shared" si="166"/>
        <v>城郭と姓氏研究</v>
      </c>
      <c r="C3086" t="str">
        <f>"ジョウカク　ト　セイシ　ケンキュウ"</f>
        <v>ジョウカク　ト　セイシ　ケンキュウ</v>
      </c>
      <c r="D3086" t="str">
        <f>"岡山史談会"</f>
        <v>岡山史談会</v>
      </c>
      <c r="E3086" t="str">
        <f>"オカヤマシダンカイ"</f>
        <v>オカヤマシダンカイ</v>
      </c>
      <c r="F3086" t="str">
        <f>""</f>
        <v/>
      </c>
      <c r="G3086" t="str">
        <f>"頻度不明"</f>
        <v>頻度不明</v>
      </c>
      <c r="H3086" t="str">
        <f>"2002222287293"</f>
        <v>2002222287293</v>
      </c>
      <c r="I3086" t="str">
        <f>HYPERLINK("#", "https://opac.libnet.pref.okayama.jp/licsxp-opac/WOpacMsgNewListToTifTilDetailAction.do?tilcod=2002222287293")</f>
        <v>https://opac.libnet.pref.okayama.jp/licsxp-opac/WOpacMsgNewListToTifTilDetailAction.do?tilcod=2002222287293</v>
      </c>
    </row>
    <row r="3087" spans="1:9" x14ac:dyDescent="0.4">
      <c r="A3087" t="str">
        <f>"商業教育"</f>
        <v>商業教育</v>
      </c>
      <c r="B3087" s="1" t="str">
        <f t="shared" si="166"/>
        <v>商業教育</v>
      </c>
      <c r="C3087" t="str">
        <f>"ショウギョウ　キョウイク"</f>
        <v>ショウギョウ　キョウイク</v>
      </c>
      <c r="D3087" t="str">
        <f>"岡山県高等学校教育研究会商業部会"</f>
        <v>岡山県高等学校教育研究会商業部会</v>
      </c>
      <c r="E3087" t="str">
        <f>"オカヤマケンコウトウガッコウキョウイクケンキュウカイショウギョウブカイ"</f>
        <v>オカヤマケンコウトウガッコウキョウイクケンキュウカイショウギョウブカイ</v>
      </c>
      <c r="F3087" t="str">
        <f>"岡山"</f>
        <v>岡山</v>
      </c>
      <c r="G3087" t="str">
        <f>"年刊"</f>
        <v>年刊</v>
      </c>
      <c r="H3087" t="str">
        <f>"2002222280451"</f>
        <v>2002222280451</v>
      </c>
      <c r="I3087" t="str">
        <f>HYPERLINK("#", "https://opac.libnet.pref.okayama.jp/licsxp-opac/WOpacMsgNewListToTifTilDetailAction.do?tilcod=2002222280451")</f>
        <v>https://opac.libnet.pref.okayama.jp/licsxp-opac/WOpacMsgNewListToTifTilDetailAction.do?tilcod=2002222280451</v>
      </c>
    </row>
    <row r="3088" spans="1:9" x14ac:dyDescent="0.4">
      <c r="A3088" t="str">
        <f>"商業統計調査結果表（速報）"</f>
        <v>商業統計調査結果表（速報）</v>
      </c>
      <c r="B3088" s="1" t="str">
        <f t="shared" si="166"/>
        <v>商業統計調査結果表（速報）</v>
      </c>
      <c r="C3088" t="str">
        <f>"ショウギョウ　トウケイ　チョウサ　ケッカヒョウ　ソクホウ"</f>
        <v>ショウギョウ　トウケイ　チョウサ　ケッカヒョウ　ソクホウ</v>
      </c>
      <c r="D3088" t="str">
        <f>"岡山県企画振興部"</f>
        <v>岡山県企画振興部</v>
      </c>
      <c r="E3088" t="str">
        <f>"オカヤマケンキカクシンコウブ"</f>
        <v>オカヤマケンキカクシンコウブ</v>
      </c>
      <c r="F3088" t="str">
        <f>"岡山"</f>
        <v>岡山</v>
      </c>
      <c r="G3088" t="str">
        <f>"その他"</f>
        <v>その他</v>
      </c>
      <c r="H3088" t="str">
        <f>"2002222283111"</f>
        <v>2002222283111</v>
      </c>
      <c r="I3088" t="str">
        <f>HYPERLINK("#", "https://opac.libnet.pref.okayama.jp/licsxp-opac/WOpacMsgNewListToTifTilDetailAction.do?tilcod=2002222283111")</f>
        <v>https://opac.libnet.pref.okayama.jp/licsxp-opac/WOpacMsgNewListToTifTilDetailAction.do?tilcod=2002222283111</v>
      </c>
    </row>
    <row r="3089" spans="1:9" x14ac:dyDescent="0.4">
      <c r="A3089" t="str">
        <f>"商業美術研究"</f>
        <v>商業美術研究</v>
      </c>
      <c r="B3089" s="1" t="str">
        <f t="shared" si="166"/>
        <v>商業美術研究</v>
      </c>
      <c r="C3089" t="str">
        <f>"ショウギョウ ビジュツ ケンキュウ "</f>
        <v xml:space="preserve">ショウギョウ ビジュツ ケンキュウ </v>
      </c>
      <c r="D3089" t="str">
        <f>"岡山県倉敷商業学校商業美術研究部"</f>
        <v>岡山県倉敷商業学校商業美術研究部</v>
      </c>
      <c r="E3089" t="str">
        <f>"オカヤマケン クラシキ ショウギョウ ガッコウ ショウギョウ ビジュツ ケンキュウブ"</f>
        <v>オカヤマケン クラシキ ショウギョウ ガッコウ ショウギョウ ビジュツ ケンキュウブ</v>
      </c>
      <c r="F3089" t="str">
        <f>"倉敷"</f>
        <v>倉敷</v>
      </c>
      <c r="G3089" t="str">
        <f>"頻度不明"</f>
        <v>頻度不明</v>
      </c>
      <c r="H3089" t="str">
        <f>"2002222322369"</f>
        <v>2002222322369</v>
      </c>
      <c r="I3089" t="str">
        <f>HYPERLINK("#", "https://opac.libnet.pref.okayama.jp/licsxp-opac/WOpacMsgNewListToTifTilDetailAction.do?tilcod=2002222322369")</f>
        <v>https://opac.libnet.pref.okayama.jp/licsxp-opac/WOpacMsgNewListToTifTilDetailAction.do?tilcod=2002222322369</v>
      </c>
    </row>
    <row r="3090" spans="1:9" x14ac:dyDescent="0.4">
      <c r="A3090" t="str">
        <f>"商工往来"</f>
        <v>商工往来</v>
      </c>
      <c r="B3090" s="1" t="str">
        <f t="shared" si="166"/>
        <v>商工往来</v>
      </c>
      <c r="C3090" t="str">
        <f>"ショウコウ オウライ"</f>
        <v>ショウコウ オウライ</v>
      </c>
      <c r="D3090" t="str">
        <f>"岡山商工協会"</f>
        <v>岡山商工協会</v>
      </c>
      <c r="E3090" t="str">
        <f>"オカヤマ ショウコウ キョウカイ"</f>
        <v>オカヤマ ショウコウ キョウカイ</v>
      </c>
      <c r="F3090" t="str">
        <f>"岡山"</f>
        <v>岡山</v>
      </c>
      <c r="G3090" t="str">
        <f>"月刊"</f>
        <v>月刊</v>
      </c>
      <c r="H3090" t="str">
        <f>"2002222317946"</f>
        <v>2002222317946</v>
      </c>
      <c r="I3090" t="str">
        <f>HYPERLINK("#", "https://opac.libnet.pref.okayama.jp/licsxp-opac/WOpacMsgNewListToTifTilDetailAction.do?tilcod=2002222317946")</f>
        <v>https://opac.libnet.pref.okayama.jp/licsxp-opac/WOpacMsgNewListToTifTilDetailAction.do?tilcod=2002222317946</v>
      </c>
    </row>
    <row r="3091" spans="1:9" x14ac:dyDescent="0.4">
      <c r="A3091" t="str">
        <f>"商工の窓"</f>
        <v>商工の窓</v>
      </c>
      <c r="B3091" s="1" t="str">
        <f t="shared" si="166"/>
        <v>商工の窓</v>
      </c>
      <c r="C3091" t="str">
        <f>"ショウコウ　ノ　マド"</f>
        <v>ショウコウ　ノ　マド</v>
      </c>
      <c r="D3091" t="str">
        <f>"岡山県商工部"</f>
        <v>岡山県商工部</v>
      </c>
      <c r="E3091" t="str">
        <f>"オカヤマケン ショウコウブ"</f>
        <v>オカヤマケン ショウコウブ</v>
      </c>
      <c r="F3091" t="str">
        <f>"岡山"</f>
        <v>岡山</v>
      </c>
      <c r="G3091" t="str">
        <f>"頻度不明"</f>
        <v>頻度不明</v>
      </c>
      <c r="H3091" t="str">
        <f>"2002222287313"</f>
        <v>2002222287313</v>
      </c>
      <c r="I3091" t="str">
        <f>HYPERLINK("#", "https://opac.libnet.pref.okayama.jp/licsxp-opac/WOpacMsgNewListToTifTilDetailAction.do?tilcod=2002222287313")</f>
        <v>https://opac.libnet.pref.okayama.jp/licsxp-opac/WOpacMsgNewListToTifTilDetailAction.do?tilcod=2002222287313</v>
      </c>
    </row>
    <row r="3092" spans="1:9" x14ac:dyDescent="0.4">
      <c r="A3092" t="str">
        <f>"尚志会雑誌（「烏城」を含む）"</f>
        <v>尚志会雑誌（「烏城」を含む）</v>
      </c>
      <c r="B3092" s="1" t="str">
        <f t="shared" si="166"/>
        <v>尚志会雑誌（「烏城」を含む）</v>
      </c>
      <c r="C3092" t="str">
        <f>"ショウシカイ　ザッシ　ウジョウ　オ　フクム"</f>
        <v>ショウシカイ　ザッシ　ウジョウ　オ　フクム</v>
      </c>
      <c r="D3092" t="str">
        <f>"尚志会"</f>
        <v>尚志会</v>
      </c>
      <c r="E3092" t="str">
        <f>"ショウシカイ"</f>
        <v>ショウシカイ</v>
      </c>
      <c r="F3092" t="str">
        <f>"岡山"</f>
        <v>岡山</v>
      </c>
      <c r="G3092" t="str">
        <f>"隔月刊"</f>
        <v>隔月刊</v>
      </c>
      <c r="H3092" t="str">
        <f>"2002222287323"</f>
        <v>2002222287323</v>
      </c>
      <c r="I3092" t="str">
        <f>HYPERLINK("#", "https://opac.libnet.pref.okayama.jp/licsxp-opac/WOpacMsgNewListToTifTilDetailAction.do?tilcod=2002222287323")</f>
        <v>https://opac.libnet.pref.okayama.jp/licsxp-opac/WOpacMsgNewListToTifTilDetailAction.do?tilcod=2002222287323</v>
      </c>
    </row>
    <row r="3093" spans="1:9" x14ac:dyDescent="0.4">
      <c r="A3093" t="str">
        <f>"樵蘇"</f>
        <v>樵蘇</v>
      </c>
      <c r="B3093" s="1" t="str">
        <f t="shared" si="166"/>
        <v>樵蘇</v>
      </c>
      <c r="C3093" t="str">
        <f>"ショウソ"</f>
        <v>ショウソ</v>
      </c>
      <c r="D3093" t="str">
        <f>"作東交友会"</f>
        <v>作東交友会</v>
      </c>
      <c r="E3093" t="str">
        <f>"サクトウコウユウカイ"</f>
        <v>サクトウコウユウカイ</v>
      </c>
      <c r="F3093" t="str">
        <f>""</f>
        <v/>
      </c>
      <c r="G3093" t="str">
        <f>"頻度不明"</f>
        <v>頻度不明</v>
      </c>
      <c r="H3093" t="str">
        <f>"2002222287353"</f>
        <v>2002222287353</v>
      </c>
      <c r="I3093" t="str">
        <f>HYPERLINK("#", "https://opac.libnet.pref.okayama.jp/licsxp-opac/WOpacMsgNewListToTifTilDetailAction.do?tilcod=2002222287353")</f>
        <v>https://opac.libnet.pref.okayama.jp/licsxp-opac/WOpacMsgNewListToTifTilDetailAction.do?tilcod=2002222287353</v>
      </c>
    </row>
    <row r="3094" spans="1:9" x14ac:dyDescent="0.4">
      <c r="A3094" t="str">
        <f>"樵蘇（岡山県勝田郡英田郡組合立農林学校樵蘇会会誌）"</f>
        <v>樵蘇（岡山県勝田郡英田郡組合立農林学校樵蘇会会誌）</v>
      </c>
      <c r="B3094" s="1" t="str">
        <f t="shared" si="166"/>
        <v>樵蘇（岡山県勝田郡英田郡組合立農林学校樵蘇会会誌）</v>
      </c>
      <c r="C3094" t="str">
        <f>"ショウソ　オカヤマケン　カツタグン　アイダグン　クミアイリツ　ノウリン　ガッコウ　ショウソカイ　カイシ"</f>
        <v>ショウソ　オカヤマケン　カツタグン　アイダグン　クミアイリツ　ノウリン　ガッコウ　ショウソカイ　カイシ</v>
      </c>
      <c r="D3094" t="str">
        <f>"樵蘇会学芸部"</f>
        <v>樵蘇会学芸部</v>
      </c>
      <c r="E3094" t="str">
        <f>"ショウソカイガクゲイブ"</f>
        <v>ショウソカイガクゲイブ</v>
      </c>
      <c r="F3094" t="str">
        <f>""</f>
        <v/>
      </c>
      <c r="G3094" t="str">
        <f>"頻度不明"</f>
        <v>頻度不明</v>
      </c>
      <c r="H3094" t="str">
        <f>"2002222287343"</f>
        <v>2002222287343</v>
      </c>
      <c r="I3094" t="str">
        <f>HYPERLINK("#", "https://opac.libnet.pref.okayama.jp/licsxp-opac/WOpacMsgNewListToTifTilDetailAction.do?tilcod=2002222287343")</f>
        <v>https://opac.libnet.pref.okayama.jp/licsxp-opac/WOpacMsgNewListToTifTilDetailAction.do?tilcod=2002222287343</v>
      </c>
    </row>
    <row r="3095" spans="1:9" x14ac:dyDescent="0.4">
      <c r="A3095" t="str">
        <f>"Shodai365;岡山商科大学学報"</f>
        <v>Shodai365;岡山商科大学学報</v>
      </c>
      <c r="B3095" s="1" t="str">
        <f t="shared" si="166"/>
        <v>Shodai365;岡山商科大学学報</v>
      </c>
      <c r="C3095" t="str">
        <f>"ショウダイ サン ロク ゴ＊オカヤマ ショウカ ダイガク ガクホウ"</f>
        <v>ショウダイ サン ロク ゴ＊オカヤマ ショウカ ダイガク ガクホウ</v>
      </c>
      <c r="D3095" t="str">
        <f>"岡山商科大学"</f>
        <v>岡山商科大学</v>
      </c>
      <c r="E3095" t="str">
        <f>"オカヤマ ショウカ ダイガク"</f>
        <v>オカヤマ ショウカ ダイガク</v>
      </c>
      <c r="F3095" t="str">
        <f>"岡山"</f>
        <v>岡山</v>
      </c>
      <c r="G3095" t="str">
        <f>"年２回刊"</f>
        <v>年２回刊</v>
      </c>
      <c r="H3095" t="str">
        <f>"2002222294361"</f>
        <v>2002222294361</v>
      </c>
      <c r="I3095" t="str">
        <f>HYPERLINK("#", "https://opac.libnet.pref.okayama.jp/licsxp-opac/WOpacMsgNewListToTifTilDetailAction.do?tilcod=2002222294361")</f>
        <v>https://opac.libnet.pref.okayama.jp/licsxp-opac/WOpacMsgNewListToTifTilDetailAction.do?tilcod=2002222294361</v>
      </c>
    </row>
    <row r="3096" spans="1:9" x14ac:dyDescent="0.4">
      <c r="A3096" t="str">
        <f>"商大レビュー"</f>
        <v>商大レビュー</v>
      </c>
      <c r="B3096" s="1" t="str">
        <f t="shared" si="166"/>
        <v>商大レビュー</v>
      </c>
      <c r="C3096" t="str">
        <f>"ショウダイ　レビュー"</f>
        <v>ショウダイ　レビュー</v>
      </c>
      <c r="D3096" t="str">
        <f>"岡山商科大学"</f>
        <v>岡山商科大学</v>
      </c>
      <c r="E3096" t="str">
        <f>"オカヤマ ショウカ ダイガク"</f>
        <v>オカヤマ ショウカ ダイガク</v>
      </c>
      <c r="F3096" t="str">
        <f>"岡山"</f>
        <v>岡山</v>
      </c>
      <c r="G3096" t="str">
        <f>"不定期刊"</f>
        <v>不定期刊</v>
      </c>
      <c r="H3096" t="str">
        <f>"2002222294391"</f>
        <v>2002222294391</v>
      </c>
      <c r="I3096" t="str">
        <f>HYPERLINK("#", "https://opac.libnet.pref.okayama.jp/licsxp-opac/WOpacMsgNewListToTifTilDetailAction.do?tilcod=2002222294391")</f>
        <v>https://opac.libnet.pref.okayama.jp/licsxp-opac/WOpacMsgNewListToTifTilDetailAction.do?tilcod=2002222294391</v>
      </c>
    </row>
    <row r="3097" spans="1:9" x14ac:dyDescent="0.4">
      <c r="A3097" t="str">
        <f>"上道公民館だより"</f>
        <v>上道公民館だより</v>
      </c>
      <c r="B3097" s="1" t="str">
        <f t="shared" si="166"/>
        <v>上道公民館だより</v>
      </c>
      <c r="C3097" t="str">
        <f>"ジョウトウ コウミンカン ダヨリ"</f>
        <v>ジョウトウ コウミンカン ダヨリ</v>
      </c>
      <c r="D3097" t="str">
        <f>"岡山市立上道公民館"</f>
        <v>岡山市立上道公民館</v>
      </c>
      <c r="E3097" t="str">
        <f>"オカヤマシリツ ジョウトウ コウミンカン"</f>
        <v>オカヤマシリツ ジョウトウ コウミンカン</v>
      </c>
      <c r="F3097" t="str">
        <f>"岡山"</f>
        <v>岡山</v>
      </c>
      <c r="G3097" t="str">
        <f>"月刊"</f>
        <v>月刊</v>
      </c>
      <c r="H3097" t="str">
        <f>"2002222341385"</f>
        <v>2002222341385</v>
      </c>
      <c r="I3097" t="str">
        <f>HYPERLINK("#", "https://opac.libnet.pref.okayama.jp/licsxp-opac/WOpacMsgNewListToTifTilDetailAction.do?tilcod=2002222341385")</f>
        <v>https://opac.libnet.pref.okayama.jp/licsxp-opac/WOpacMsgNewListToTifTilDetailAction.do?tilcod=2002222341385</v>
      </c>
    </row>
    <row r="3098" spans="1:9" x14ac:dyDescent="0.4">
      <c r="A3098" t="str">
        <f>"上道町広報"</f>
        <v>上道町広報</v>
      </c>
      <c r="B3098" s="1" t="str">
        <f t="shared" si="166"/>
        <v>上道町広報</v>
      </c>
      <c r="C3098" t="str">
        <f>"ジョウトウチョウ コウホウ"</f>
        <v>ジョウトウチョウ コウホウ</v>
      </c>
      <c r="D3098" t="str">
        <f>"上道町"</f>
        <v>上道町</v>
      </c>
      <c r="E3098" t="str">
        <f>"ジョウドウチョウ"</f>
        <v>ジョウドウチョウ</v>
      </c>
      <c r="F3098" t="str">
        <f>"上道町(岡山県)"</f>
        <v>上道町(岡山県)</v>
      </c>
      <c r="G3098" t="str">
        <f>"頻度不明"</f>
        <v>頻度不明</v>
      </c>
      <c r="H3098" t="str">
        <f>"2002222334853"</f>
        <v>2002222334853</v>
      </c>
      <c r="I3098" t="str">
        <f>HYPERLINK("#", "https://opac.libnet.pref.okayama.jp/licsxp-opac/WOpacMsgNewListToTifTilDetailAction.do?tilcod=2002222334853")</f>
        <v>https://opac.libnet.pref.okayama.jp/licsxp-opac/WOpacMsgNewListToTifTilDetailAction.do?tilcod=2002222334853</v>
      </c>
    </row>
    <row r="3099" spans="1:9" x14ac:dyDescent="0.4">
      <c r="A3099" t="str">
        <f>"翔南"</f>
        <v>翔南</v>
      </c>
      <c r="B3099" s="1" t="str">
        <f t="shared" si="166"/>
        <v>翔南</v>
      </c>
      <c r="C3099" t="str">
        <f>"ショウナン"</f>
        <v>ショウナン</v>
      </c>
      <c r="D3099" t="str">
        <f>"倉敷市立倉敷翔南高等学校"</f>
        <v>倉敷市立倉敷翔南高等学校</v>
      </c>
      <c r="E3099" t="str">
        <f>"クラシキシリツ クラシキ ショウナン コウトウ ガッコウ"</f>
        <v>クラシキシリツ クラシキ ショウナン コウトウ ガッコウ</v>
      </c>
      <c r="F3099" t="str">
        <f>"倉敷"</f>
        <v>倉敷</v>
      </c>
      <c r="G3099" t="str">
        <f>"年刊"</f>
        <v>年刊</v>
      </c>
      <c r="H3099" t="str">
        <f>"2002222307053"</f>
        <v>2002222307053</v>
      </c>
      <c r="I3099" t="str">
        <f>HYPERLINK("#", "https://opac.libnet.pref.okayama.jp/licsxp-opac/WOpacMsgNewListToTifTilDetailAction.do?tilcod=2002222307053")</f>
        <v>https://opac.libnet.pref.okayama.jp/licsxp-opac/WOpacMsgNewListToTifTilDetailAction.do?tilcod=2002222307053</v>
      </c>
    </row>
    <row r="3100" spans="1:9" x14ac:dyDescent="0.4">
      <c r="A3100" t="str">
        <f>"上南だより"</f>
        <v>上南だより</v>
      </c>
      <c r="B3100" s="1" t="str">
        <f t="shared" si="166"/>
        <v>上南だより</v>
      </c>
      <c r="C3100" t="str">
        <f>"ジョウナン ダヨリ"</f>
        <v>ジョウナン ダヨリ</v>
      </c>
      <c r="D3100" t="str">
        <f>"岡山市立上南公民館"</f>
        <v>岡山市立上南公民館</v>
      </c>
      <c r="E3100" t="str">
        <f>"オカヤマシリツ ジョウナン コウミンカン"</f>
        <v>オカヤマシリツ ジョウナン コウミンカン</v>
      </c>
      <c r="F3100" t="str">
        <f>"岡山"</f>
        <v>岡山</v>
      </c>
      <c r="G3100" t="str">
        <f>"月刊"</f>
        <v>月刊</v>
      </c>
      <c r="H3100" t="str">
        <f>"2002222341376"</f>
        <v>2002222341376</v>
      </c>
      <c r="I3100" t="str">
        <f>HYPERLINK("#", "https://opac.libnet.pref.okayama.jp/licsxp-opac/WOpacMsgNewListToTifTilDetailAction.do?tilcod=2002222341376")</f>
        <v>https://opac.libnet.pref.okayama.jp/licsxp-opac/WOpacMsgNewListToTifTilDetailAction.do?tilcod=2002222341376</v>
      </c>
    </row>
    <row r="3101" spans="1:9" x14ac:dyDescent="0.4">
      <c r="A3101" t="str">
        <f>"翔南ヒルズライブラリー"</f>
        <v>翔南ヒルズライブラリー</v>
      </c>
      <c r="B3101" s="1" t="str">
        <f t="shared" si="166"/>
        <v>翔南ヒルズライブラリー</v>
      </c>
      <c r="C3101" t="str">
        <f>"ショウナン　ヒルズ　ライブラリー"</f>
        <v>ショウナン　ヒルズ　ライブラリー</v>
      </c>
      <c r="D3101" t="str">
        <f>"倉敷市立倉敷翔南高等学校"</f>
        <v>倉敷市立倉敷翔南高等学校</v>
      </c>
      <c r="E3101" t="str">
        <f>"クラシキシリツ クラシキ ショウナン コウトウ ガッコウ"</f>
        <v>クラシキシリツ クラシキ ショウナン コウトウ ガッコウ</v>
      </c>
      <c r="F3101" t="str">
        <f>"倉敷"</f>
        <v>倉敷</v>
      </c>
      <c r="G3101" t="str">
        <f>"頻度不明"</f>
        <v>頻度不明</v>
      </c>
      <c r="H3101" t="str">
        <f>"2002222323786"</f>
        <v>2002222323786</v>
      </c>
      <c r="I3101" t="str">
        <f>HYPERLINK("#", "https://opac.libnet.pref.okayama.jp/licsxp-opac/WOpacMsgNewListToTifTilDetailAction.do?tilcod=2002222323786")</f>
        <v>https://opac.libnet.pref.okayama.jp/licsxp-opac/WOpacMsgNewListToTifTilDetailAction.do?tilcod=2002222323786</v>
      </c>
    </row>
    <row r="3102" spans="1:9" x14ac:dyDescent="0.4">
      <c r="A3102" t="str">
        <f>"少年の丘"</f>
        <v>少年の丘</v>
      </c>
      <c r="B3102" s="1" t="str">
        <f t="shared" si="166"/>
        <v>少年の丘</v>
      </c>
      <c r="C3102" t="str">
        <f>"ショウネン　ノ　オカ"</f>
        <v>ショウネン　ノ　オカ</v>
      </c>
      <c r="D3102" t="str">
        <f>"少年の丘後援会"</f>
        <v>少年の丘後援会</v>
      </c>
      <c r="E3102" t="str">
        <f>"ショウネンノオカコウエンカイ"</f>
        <v>ショウネンノオカコウエンカイ</v>
      </c>
      <c r="F3102" t="str">
        <f>"岡山"</f>
        <v>岡山</v>
      </c>
      <c r="G3102" t="str">
        <f>"季刊"</f>
        <v>季刊</v>
      </c>
      <c r="H3102" t="str">
        <f>"2002222287363"</f>
        <v>2002222287363</v>
      </c>
      <c r="I3102" t="str">
        <f>HYPERLINK("#", "https://opac.libnet.pref.okayama.jp/licsxp-opac/WOpacMsgNewListToTifTilDetailAction.do?tilcod=2002222287363")</f>
        <v>https://opac.libnet.pref.okayama.jp/licsxp-opac/WOpacMsgNewListToTifTilDetailAction.do?tilcod=2002222287363</v>
      </c>
    </row>
    <row r="3103" spans="1:9" x14ac:dyDescent="0.4">
      <c r="A3103" t="str">
        <f>"少年団"</f>
        <v>少年団</v>
      </c>
      <c r="B3103" s="1" t="str">
        <f t="shared" si="166"/>
        <v>少年団</v>
      </c>
      <c r="C3103" t="str">
        <f>"ショウネンダン"</f>
        <v>ショウネンダン</v>
      </c>
      <c r="D3103" t="str">
        <f>"奥田金正堂"</f>
        <v>奥田金正堂</v>
      </c>
      <c r="E3103" t="str">
        <f>"オクダキンセイドウ"</f>
        <v>オクダキンセイドウ</v>
      </c>
      <c r="F3103" t="str">
        <f>""</f>
        <v/>
      </c>
      <c r="G3103" t="str">
        <f>"月刊"</f>
        <v>月刊</v>
      </c>
      <c r="H3103" t="str">
        <f>"2002222336972"</f>
        <v>2002222336972</v>
      </c>
      <c r="I3103" t="str">
        <f>HYPERLINK("#", "https://opac.libnet.pref.okayama.jp/licsxp-opac/WOpacMsgNewListToTifTilDetailAction.do?tilcod=2002222336972")</f>
        <v>https://opac.libnet.pref.okayama.jp/licsxp-opac/WOpacMsgNewListToTifTilDetailAction.do?tilcod=2002222336972</v>
      </c>
    </row>
    <row r="3104" spans="1:9" x14ac:dyDescent="0.4">
      <c r="A3104" t="str">
        <f>"勝美"</f>
        <v>勝美</v>
      </c>
      <c r="B3104" s="1" t="str">
        <f t="shared" si="166"/>
        <v>勝美</v>
      </c>
      <c r="C3104" t="str">
        <f>"ショウビ"</f>
        <v>ショウビ</v>
      </c>
      <c r="D3104" t="str">
        <f>"岡山県勝間田農林学校勝美会"</f>
        <v>岡山県勝間田農林学校勝美会</v>
      </c>
      <c r="E3104" t="str">
        <f>"オカヤマケン カツマダ ノウリン ガッコウ ショウビカイ"</f>
        <v>オカヤマケン カツマダ ノウリン ガッコウ ショウビカイ</v>
      </c>
      <c r="F3104" t="str">
        <f>"[岡山]"</f>
        <v>[岡山]</v>
      </c>
      <c r="G3104" t="str">
        <f>"頻度不明"</f>
        <v>頻度不明</v>
      </c>
      <c r="H3104" t="str">
        <f>"2002222331941"</f>
        <v>2002222331941</v>
      </c>
      <c r="I3104" t="str">
        <f>HYPERLINK("#", "https://opac.libnet.pref.okayama.jp/licsxp-opac/WOpacMsgNewListToTifTilDetailAction.do?tilcod=2002222331941")</f>
        <v>https://opac.libnet.pref.okayama.jp/licsxp-opac/WOpacMsgNewListToTifTilDetailAction.do?tilcod=2002222331941</v>
      </c>
    </row>
    <row r="3105" spans="1:9" x14ac:dyDescent="0.4">
      <c r="A3105" t="str">
        <f>"勝美会々報"</f>
        <v>勝美会々報</v>
      </c>
      <c r="B3105" s="1" t="str">
        <f t="shared" si="166"/>
        <v>勝美会々報</v>
      </c>
      <c r="C3105" t="str">
        <f>"ショウビカイ　カイホウ"</f>
        <v>ショウビカイ　カイホウ</v>
      </c>
      <c r="D3105" t="str">
        <f>"岡山県勝田郡英田郡組合立農林学校"</f>
        <v>岡山県勝田郡英田郡組合立農林学校</v>
      </c>
      <c r="E3105" t="str">
        <f>"オカヤマケンカツタグンアイダグンクミアイリツノウリンガッコウ"</f>
        <v>オカヤマケンカツタグンアイダグンクミアイリツノウリンガッコウ</v>
      </c>
      <c r="F3105" t="str">
        <f>""</f>
        <v/>
      </c>
      <c r="G3105" t="str">
        <f>"年刊"</f>
        <v>年刊</v>
      </c>
      <c r="H3105" t="str">
        <f>"2002222287373"</f>
        <v>2002222287373</v>
      </c>
      <c r="I3105" t="str">
        <f>HYPERLINK("#", "https://opac.libnet.pref.okayama.jp/licsxp-opac/WOpacMsgNewListToTifTilDetailAction.do?tilcod=2002222287373")</f>
        <v>https://opac.libnet.pref.okayama.jp/licsxp-opac/WOpacMsgNewListToTifTilDetailAction.do?tilcod=2002222287373</v>
      </c>
    </row>
    <row r="3106" spans="1:9" x14ac:dyDescent="0.4">
      <c r="A3106" t="str">
        <f>"勝美会雑誌"</f>
        <v>勝美会雑誌</v>
      </c>
      <c r="B3106" s="1" t="str">
        <f t="shared" si="166"/>
        <v>勝美会雑誌</v>
      </c>
      <c r="C3106" t="str">
        <f>"ショウビカイ ザッシ"</f>
        <v>ショウビカイ ザッシ</v>
      </c>
      <c r="D3106" t="str">
        <f>"岡山県勝間田農林学校勝美会"</f>
        <v>岡山県勝間田農林学校勝美会</v>
      </c>
      <c r="E3106" t="str">
        <f>"オカヤマケン カツマダ ノウリン ガッコウ ショウビカイ"</f>
        <v>オカヤマケン カツマダ ノウリン ガッコウ ショウビカイ</v>
      </c>
      <c r="F3106" t="str">
        <f>""</f>
        <v/>
      </c>
      <c r="G3106" t="str">
        <f>"頻度不明"</f>
        <v>頻度不明</v>
      </c>
      <c r="H3106" t="str">
        <f>"2002222327910"</f>
        <v>2002222327910</v>
      </c>
      <c r="I3106" t="str">
        <f>HYPERLINK("#", "https://opac.libnet.pref.okayama.jp/licsxp-opac/WOpacMsgNewListToTifTilDetailAction.do?tilcod=2002222327910")</f>
        <v>https://opac.libnet.pref.okayama.jp/licsxp-opac/WOpacMsgNewListToTifTilDetailAction.do?tilcod=2002222327910</v>
      </c>
    </row>
    <row r="3107" spans="1:9" x14ac:dyDescent="0.4">
      <c r="A3107" t="str">
        <f>"じょうほう"</f>
        <v>じょうほう</v>
      </c>
      <c r="B3107" s="1" t="str">
        <f t="shared" si="166"/>
        <v>じょうほう</v>
      </c>
      <c r="C3107" t="str">
        <f>"ジョウホウ"</f>
        <v>ジョウホウ</v>
      </c>
      <c r="D3107" t="str">
        <f>"岡山県中小企業団体中央会"</f>
        <v>岡山県中小企業団体中央会</v>
      </c>
      <c r="E3107" t="str">
        <f>"オカヤマケン チュウショウ キギョウ ダンタイ チュウオウカイ"</f>
        <v>オカヤマケン チュウショウ キギョウ ダンタイ チュウオウカイ</v>
      </c>
      <c r="F3107" t="str">
        <f>"岡山"</f>
        <v>岡山</v>
      </c>
      <c r="G3107" t="str">
        <f>"頻度不明"</f>
        <v>頻度不明</v>
      </c>
      <c r="H3107" t="str">
        <f>"2002222337092"</f>
        <v>2002222337092</v>
      </c>
      <c r="I3107" t="str">
        <f>HYPERLINK("#", "https://opac.libnet.pref.okayama.jp/licsxp-opac/WOpacMsgNewListToTifTilDetailAction.do?tilcod=2002222337092")</f>
        <v>https://opac.libnet.pref.okayama.jp/licsxp-opac/WOpacMsgNewListToTifTilDetailAction.do?tilcod=2002222337092</v>
      </c>
    </row>
    <row r="3108" spans="1:9" x14ac:dyDescent="0.4">
      <c r="A3108" t="str">
        <f>"消防１１９広報；つやまけんいきしょうぼうくみあい"</f>
        <v>消防１１９広報；つやまけんいきしょうぼうくみあい</v>
      </c>
      <c r="B3108" s="1" t="str">
        <f t="shared" si="166"/>
        <v>消防１１９広報；つやまけんいきしょうぼうくみあい</v>
      </c>
      <c r="C3108" t="str">
        <f>"ショウボウ　イチイチキュウ　コウホウ＊ツヤマ　ケンイキ　ショウボウ　クミアイ"</f>
        <v>ショウボウ　イチイチキュウ　コウホウ＊ツヤマ　ケンイキ　ショウボウ　クミアイ</v>
      </c>
      <c r="D3108" t="str">
        <f>"津山圏域消防組合"</f>
        <v>津山圏域消防組合</v>
      </c>
      <c r="E3108" t="str">
        <f>"ツヤマケンイキ ショウボウ クミアイ"</f>
        <v>ツヤマケンイキ ショウボウ クミアイ</v>
      </c>
      <c r="F3108" t="str">
        <f>"〔出版地不明〕"</f>
        <v>〔出版地不明〕</v>
      </c>
      <c r="G3108" t="str">
        <f>"年刊"</f>
        <v>年刊</v>
      </c>
      <c r="H3108" t="str">
        <f>"2002222281674"</f>
        <v>2002222281674</v>
      </c>
      <c r="I3108" t="str">
        <f>HYPERLINK("#", "https://opac.libnet.pref.okayama.jp/licsxp-opac/WOpacMsgNewListToTifTilDetailAction.do?tilcod=2002222281674")</f>
        <v>https://opac.libnet.pref.okayama.jp/licsxp-opac/WOpacMsgNewListToTifTilDetailAction.do?tilcod=2002222281674</v>
      </c>
    </row>
    <row r="3109" spans="1:9" x14ac:dyDescent="0.4">
      <c r="A3109" t="str">
        <f>"消防岡山"</f>
        <v>消防岡山</v>
      </c>
      <c r="B3109" s="1" t="str">
        <f t="shared" si="166"/>
        <v>消防岡山</v>
      </c>
      <c r="C3109" t="str">
        <f>"ショウボウ　オカヤマ"</f>
        <v>ショウボウ　オカヤマ</v>
      </c>
      <c r="D3109" t="str">
        <f>"岡山県消防協会"</f>
        <v>岡山県消防協会</v>
      </c>
      <c r="E3109" t="str">
        <f>"オカヤマケンショウボウキョウカイ"</f>
        <v>オカヤマケンショウボウキョウカイ</v>
      </c>
      <c r="F3109" t="str">
        <f>"岡山"</f>
        <v>岡山</v>
      </c>
      <c r="G3109" t="str">
        <f>"不定期刊"</f>
        <v>不定期刊</v>
      </c>
      <c r="H3109" t="str">
        <f>"2002222300919"</f>
        <v>2002222300919</v>
      </c>
      <c r="I3109" t="str">
        <f>HYPERLINK("#", "https://opac.libnet.pref.okayama.jp/licsxp-opac/WOpacMsgNewListToTifTilDetailAction.do?tilcod=2002222300919")</f>
        <v>https://opac.libnet.pref.okayama.jp/licsxp-opac/WOpacMsgNewListToTifTilDetailAction.do?tilcod=2002222300919</v>
      </c>
    </row>
    <row r="3110" spans="1:9" x14ac:dyDescent="0.4">
      <c r="A3110" t="str">
        <f>"消防かわら版"</f>
        <v>消防かわら版</v>
      </c>
      <c r="B3110" s="1" t="str">
        <f t="shared" si="166"/>
        <v>消防かわら版</v>
      </c>
      <c r="C3110" t="str">
        <f>"ショウボウ　カワラバン"</f>
        <v>ショウボウ　カワラバン</v>
      </c>
      <c r="D3110" t="str">
        <f>"岡山市北消防署学区防火委員会"</f>
        <v>岡山市北消防署学区防火委員会</v>
      </c>
      <c r="E3110" t="str">
        <f>"オカヤマシキタショウボウショガックボウカイインカイ"</f>
        <v>オカヤマシキタショウボウショガックボウカイインカイ</v>
      </c>
      <c r="F3110" t="str">
        <f>"岡山"</f>
        <v>岡山</v>
      </c>
      <c r="G3110" t="str">
        <f>"不定期刊"</f>
        <v>不定期刊</v>
      </c>
      <c r="H3110" t="str">
        <f>"2002222300923"</f>
        <v>2002222300923</v>
      </c>
      <c r="I3110" t="str">
        <f>HYPERLINK("#", "https://opac.libnet.pref.okayama.jp/licsxp-opac/WOpacMsgNewListToTifTilDetailAction.do?tilcod=2002222300923")</f>
        <v>https://opac.libnet.pref.okayama.jp/licsxp-opac/WOpacMsgNewListToTifTilDetailAction.do?tilcod=2002222300923</v>
      </c>
    </row>
    <row r="3111" spans="1:9" x14ac:dyDescent="0.4">
      <c r="A3111" t="str">
        <f>"情報教育センターだより"</f>
        <v>情報教育センターだより</v>
      </c>
      <c r="B3111" s="1" t="str">
        <f t="shared" si="166"/>
        <v>情報教育センターだより</v>
      </c>
      <c r="C3111" t="str">
        <f>"ジョウホウ　キョウイク　センター　ダヨリ"</f>
        <v>ジョウホウ　キョウイク　センター　ダヨリ</v>
      </c>
      <c r="D3111" t="str">
        <f>"岡山県情報教育センター"</f>
        <v>岡山県情報教育センター</v>
      </c>
      <c r="E3111" t="str">
        <f>"オカヤマケンジョウホウキョウイクセンター"</f>
        <v>オカヤマケンジョウホウキョウイクセンター</v>
      </c>
      <c r="F3111" t="str">
        <f>"岡山"</f>
        <v>岡山</v>
      </c>
      <c r="G3111" t="str">
        <f>"頻度不明"</f>
        <v>頻度不明</v>
      </c>
      <c r="H3111" t="str">
        <f>"2002222284311"</f>
        <v>2002222284311</v>
      </c>
      <c r="I3111" t="str">
        <f>HYPERLINK("#", "https://opac.libnet.pref.okayama.jp/licsxp-opac/WOpacMsgNewListToTifTilDetailAction.do?tilcod=2002222284311")</f>
        <v>https://opac.libnet.pref.okayama.jp/licsxp-opac/WOpacMsgNewListToTifTilDetailAction.do?tilcod=2002222284311</v>
      </c>
    </row>
    <row r="3112" spans="1:9" x14ac:dyDescent="0.4">
      <c r="A3112" t="str">
        <f>"情報公社"</f>
        <v>情報公社</v>
      </c>
      <c r="B3112" s="1" t="str">
        <f t="shared" si="166"/>
        <v>情報公社</v>
      </c>
      <c r="C3112" t="str">
        <f>"ジョウホウ　コウシャ"</f>
        <v>ジョウホウ　コウシャ</v>
      </c>
      <c r="D3112" t="str">
        <f>"岡山中央総合情報公社"</f>
        <v>岡山中央総合情報公社</v>
      </c>
      <c r="E3112" t="str">
        <f>"オカヤマチュウオウソウゴウジョウホウコウシャ"</f>
        <v>オカヤマチュウオウソウゴウジョウホウコウシャ</v>
      </c>
      <c r="F3112" t="str">
        <f>"久米郡"</f>
        <v>久米郡</v>
      </c>
      <c r="G3112" t="str">
        <f>"季刊"</f>
        <v>季刊</v>
      </c>
      <c r="H3112" t="str">
        <f>"2002222292721"</f>
        <v>2002222292721</v>
      </c>
      <c r="I3112" t="str">
        <f>HYPERLINK("#", "https://opac.libnet.pref.okayama.jp/licsxp-opac/WOpacMsgNewListToTifTilDetailAction.do?tilcod=2002222292721")</f>
        <v>https://opac.libnet.pref.okayama.jp/licsxp-opac/WOpacMsgNewListToTifTilDetailAction.do?tilcod=2002222292721</v>
      </c>
    </row>
    <row r="3113" spans="1:9" x14ac:dyDescent="0.4">
      <c r="A3113" t="str">
        <f>"消防広報紙"</f>
        <v>消防広報紙</v>
      </c>
      <c r="B3113" s="1" t="str">
        <f t="shared" si="166"/>
        <v>消防広報紙</v>
      </c>
      <c r="C3113" t="str">
        <f>"ショウボウ　コウホウシ"</f>
        <v>ショウボウ　コウホウシ</v>
      </c>
      <c r="D3113" t="str">
        <f>"岡山市北消防署学区防火委員会"</f>
        <v>岡山市北消防署学区防火委員会</v>
      </c>
      <c r="E3113" t="str">
        <f>"オカヤマシキタショウボウショガックボウカイインカイ"</f>
        <v>オカヤマシキタショウボウショガックボウカイインカイ</v>
      </c>
      <c r="F3113" t="str">
        <f>"岡山"</f>
        <v>岡山</v>
      </c>
      <c r="G3113" t="str">
        <f>"不定期刊"</f>
        <v>不定期刊</v>
      </c>
      <c r="H3113" t="str">
        <f>"2002222300921"</f>
        <v>2002222300921</v>
      </c>
      <c r="I3113" t="str">
        <f>HYPERLINK("#", "https://opac.libnet.pref.okayama.jp/licsxp-opac/WOpacMsgNewListToTifTilDetailAction.do?tilcod=2002222300921")</f>
        <v>https://opac.libnet.pref.okayama.jp/licsxp-opac/WOpacMsgNewListToTifTilDetailAction.do?tilcod=2002222300921</v>
      </c>
    </row>
    <row r="3114" spans="1:9" x14ac:dyDescent="0.4">
      <c r="A3114" t="str">
        <f>"消防広報版"</f>
        <v>消防広報版</v>
      </c>
      <c r="B3114" s="1" t="str">
        <f t="shared" si="166"/>
        <v>消防広報版</v>
      </c>
      <c r="C3114" t="str">
        <f>"ショウボウ　コウホウバン"</f>
        <v>ショウボウ　コウホウバン</v>
      </c>
      <c r="D3114" t="str">
        <f>"岡山市北消防署学区防火委員会"</f>
        <v>岡山市北消防署学区防火委員会</v>
      </c>
      <c r="E3114" t="str">
        <f>"オカヤマシキタショウボウショガックボウカイインカイ"</f>
        <v>オカヤマシキタショウボウショガックボウカイインカイ</v>
      </c>
      <c r="F3114" t="str">
        <f>"岡山"</f>
        <v>岡山</v>
      </c>
      <c r="G3114" t="str">
        <f>"不定期刊"</f>
        <v>不定期刊</v>
      </c>
      <c r="H3114" t="str">
        <f>"2002222300922"</f>
        <v>2002222300922</v>
      </c>
      <c r="I3114" t="str">
        <f>HYPERLINK("#", "https://opac.libnet.pref.okayama.jp/licsxp-opac/WOpacMsgNewListToTifTilDetailAction.do?tilcod=2002222300922")</f>
        <v>https://opac.libnet.pref.okayama.jp/licsxp-opac/WOpacMsgNewListToTifTilDetailAction.do?tilcod=2002222300922</v>
      </c>
    </row>
    <row r="3115" spans="1:9" x14ac:dyDescent="0.4">
      <c r="A3115" t="str">
        <f>"情報統括センター年報"</f>
        <v>情報統括センター年報</v>
      </c>
      <c r="B3115" s="1" t="str">
        <f t="shared" si="166"/>
        <v>情報統括センター年報</v>
      </c>
      <c r="C3115" t="str">
        <f>"ジョウホウ トウカツ センター ネンポウ"</f>
        <v>ジョウホウ トウカツ センター ネンポウ</v>
      </c>
      <c r="D3115" t="str">
        <f>"岡山大学情報統括センター"</f>
        <v>岡山大学情報統括センター</v>
      </c>
      <c r="E3115" t="str">
        <f>"オカヤマ ダイガク ジョウホウ トウカツ センター"</f>
        <v>オカヤマ ダイガク ジョウホウ トウカツ センター</v>
      </c>
      <c r="F3115" t="str">
        <f>"岡山"</f>
        <v>岡山</v>
      </c>
      <c r="G3115" t="str">
        <f>"年刊"</f>
        <v>年刊</v>
      </c>
      <c r="H3115" t="str">
        <f>"2002222313547"</f>
        <v>2002222313547</v>
      </c>
      <c r="I3115" t="str">
        <f>HYPERLINK("#", "https://opac.libnet.pref.okayama.jp/licsxp-opac/WOpacMsgNewListToTifTilDetailAction.do?tilcod=2002222313547")</f>
        <v>https://opac.libnet.pref.okayama.jp/licsxp-opac/WOpacMsgNewListToTifTilDetailAction.do?tilcod=2002222313547</v>
      </c>
    </row>
    <row r="3116" spans="1:9" x14ac:dyDescent="0.4">
      <c r="A3116" t="str">
        <f>"上房郡賀陽町立竹荘中学校学校要覧"</f>
        <v>上房郡賀陽町立竹荘中学校学校要覧</v>
      </c>
      <c r="B3116" s="1" t="str">
        <f t="shared" si="166"/>
        <v>上房郡賀陽町立竹荘中学校学校要覧</v>
      </c>
      <c r="C3116" t="str">
        <f>"ジョウボウグン　カヨウチョウリツ　タケノショウ　チュウガッコウ　ヨウラン"</f>
        <v>ジョウボウグン　カヨウチョウリツ　タケノショウ　チュウガッコウ　ヨウラン</v>
      </c>
      <c r="D3116" t="str">
        <f>"上房郡賀陽町立竹荘中学校"</f>
        <v>上房郡賀陽町立竹荘中学校</v>
      </c>
      <c r="E3116" t="str">
        <f>"ジョウボウグンカヨウチョウリツタケノショウチュウガッコウ"</f>
        <v>ジョウボウグンカヨウチョウリツタケノショウチュウガッコウ</v>
      </c>
      <c r="F3116" t="str">
        <f>"上房"</f>
        <v>上房</v>
      </c>
      <c r="G3116" t="str">
        <f>"年刊"</f>
        <v>年刊</v>
      </c>
      <c r="H3116" t="str">
        <f>"2002222302473"</f>
        <v>2002222302473</v>
      </c>
      <c r="I3116" t="str">
        <f>HYPERLINK("#", "https://opac.libnet.pref.okayama.jp/licsxp-opac/WOpacMsgNewListToTifTilDetailAction.do?tilcod=2002222302473")</f>
        <v>https://opac.libnet.pref.okayama.jp/licsxp-opac/WOpacMsgNewListToTifTilDetailAction.do?tilcod=2002222302473</v>
      </c>
    </row>
    <row r="3117" spans="1:9" x14ac:dyDescent="0.4">
      <c r="A3117" t="str">
        <f>"上房郡教育会誌"</f>
        <v>上房郡教育会誌</v>
      </c>
      <c r="B3117" s="1" t="str">
        <f t="shared" si="166"/>
        <v>上房郡教育会誌</v>
      </c>
      <c r="C3117" t="str">
        <f>"ジョウボウグン　キョウイクカイシ"</f>
        <v>ジョウボウグン　キョウイクカイシ</v>
      </c>
      <c r="D3117" t="str">
        <f>"私立上房郡教育会"</f>
        <v>私立上房郡教育会</v>
      </c>
      <c r="E3117" t="str">
        <f>"シリツジョウボウグンキョウイクカイ"</f>
        <v>シリツジョウボウグンキョウイクカイ</v>
      </c>
      <c r="F3117" t="str">
        <f>""</f>
        <v/>
      </c>
      <c r="G3117" t="str">
        <f>"頻度不明"</f>
        <v>頻度不明</v>
      </c>
      <c r="H3117" t="str">
        <f>"2002222287383"</f>
        <v>2002222287383</v>
      </c>
      <c r="I3117" t="str">
        <f>HYPERLINK("#", "https://opac.libnet.pref.okayama.jp/licsxp-opac/WOpacMsgNewListToTifTilDetailAction.do?tilcod=2002222287383")</f>
        <v>https://opac.libnet.pref.okayama.jp/licsxp-opac/WOpacMsgNewListToTifTilDetailAction.do?tilcod=2002222287383</v>
      </c>
    </row>
    <row r="3118" spans="1:9" x14ac:dyDescent="0.4">
      <c r="A3118" t="str">
        <f>"情報誌アルス"</f>
        <v>情報誌アルス</v>
      </c>
      <c r="B3118" s="1" t="str">
        <f t="shared" si="166"/>
        <v>情報誌アルス</v>
      </c>
      <c r="C3118" t="str">
        <f>"ジョウホウシ アルス"</f>
        <v>ジョウホウシ アルス</v>
      </c>
      <c r="D3118" t="str">
        <f>"倉敷市文化振興財団"</f>
        <v>倉敷市文化振興財団</v>
      </c>
      <c r="E3118" t="str">
        <f>"クラシキシ ブンカ シンコウ ザイダン"</f>
        <v>クラシキシ ブンカ シンコウ ザイダン</v>
      </c>
      <c r="F3118" t="str">
        <f>"倉敷"</f>
        <v>倉敷</v>
      </c>
      <c r="G3118" t="str">
        <f>"月刊"</f>
        <v>月刊</v>
      </c>
      <c r="H3118" t="str">
        <f>"2002222319909"</f>
        <v>2002222319909</v>
      </c>
      <c r="I3118" t="str">
        <f>HYPERLINK("#", "https://opac.libnet.pref.okayama.jp/licsxp-opac/WOpacMsgNewListToTifTilDetailAction.do?tilcod=2002222319909")</f>
        <v>https://opac.libnet.pref.okayama.jp/licsxp-opac/WOpacMsgNewListToTifTilDetailAction.do?tilcod=2002222319909</v>
      </c>
    </row>
    <row r="3119" spans="1:9" x14ac:dyDescent="0.4">
      <c r="A3119" t="str">
        <f>"勝北明治青年の生きがい"</f>
        <v>勝北明治青年の生きがい</v>
      </c>
      <c r="B3119" s="1" t="str">
        <f t="shared" si="166"/>
        <v>勝北明治青年の生きがい</v>
      </c>
      <c r="C3119" t="str">
        <f>"ショウボク　メイジ　セイネン　ノ　イキガイ"</f>
        <v>ショウボク　メイジ　セイネン　ノ　イキガイ</v>
      </c>
      <c r="D3119" t="str">
        <f>"勝北町教育委員会"</f>
        <v>勝北町教育委員会</v>
      </c>
      <c r="E3119" t="str">
        <f>"ショウボクチョウ キョウイク イインカイ"</f>
        <v>ショウボクチョウ キョウイク イインカイ</v>
      </c>
      <c r="F3119" t="str">
        <f>""</f>
        <v/>
      </c>
      <c r="G3119" t="str">
        <f>"年刊"</f>
        <v>年刊</v>
      </c>
      <c r="H3119" t="str">
        <f>"2002222287393"</f>
        <v>2002222287393</v>
      </c>
      <c r="I3119" t="str">
        <f>HYPERLINK("#", "https://opac.libnet.pref.okayama.jp/licsxp-opac/WOpacMsgNewListToTifTilDetailAction.do?tilcod=2002222287393")</f>
        <v>https://opac.libnet.pref.okayama.jp/licsxp-opac/WOpacMsgNewListToTifTilDetailAction.do?tilcod=2002222287393</v>
      </c>
    </row>
    <row r="3120" spans="1:9" x14ac:dyDescent="0.4">
      <c r="A3120" t="str">
        <f>"勝北老人の生きがい"</f>
        <v>勝北老人の生きがい</v>
      </c>
      <c r="B3120" s="1" t="str">
        <f t="shared" si="166"/>
        <v>勝北老人の生きがい</v>
      </c>
      <c r="C3120" t="str">
        <f>"ショウボク　ロウジン　ノ　イキガイ"</f>
        <v>ショウボク　ロウジン　ノ　イキガイ</v>
      </c>
      <c r="D3120" t="str">
        <f>"勝北町老人クラブ連合会"</f>
        <v>勝北町老人クラブ連合会</v>
      </c>
      <c r="E3120" t="str">
        <f>"ショウボクチョウロウジンクラブレンゴウカイ"</f>
        <v>ショウボクチョウロウジンクラブレンゴウカイ</v>
      </c>
      <c r="F3120" t="str">
        <f>""</f>
        <v/>
      </c>
      <c r="G3120" t="str">
        <f>"頻度不明"</f>
        <v>頻度不明</v>
      </c>
      <c r="H3120" t="str">
        <f>"2002222287403"</f>
        <v>2002222287403</v>
      </c>
      <c r="I3120" t="str">
        <f>HYPERLINK("#", "https://opac.libnet.pref.okayama.jp/licsxp-opac/WOpacMsgNewListToTifTilDetailAction.do?tilcod=2002222287403")</f>
        <v>https://opac.libnet.pref.okayama.jp/licsxp-opac/WOpacMsgNewListToTifTilDetailAction.do?tilcod=2002222287403</v>
      </c>
    </row>
    <row r="3121" spans="1:9" x14ac:dyDescent="0.4">
      <c r="A3121" t="str">
        <f>"商友"</f>
        <v>商友</v>
      </c>
      <c r="B3121" s="1" t="str">
        <f t="shared" si="166"/>
        <v>商友</v>
      </c>
      <c r="C3121" t="str">
        <f>"ショウユウ"</f>
        <v>ショウユウ</v>
      </c>
      <c r="D3121" t="str">
        <f>"岡山商業学校商友会"</f>
        <v>岡山商業学校商友会</v>
      </c>
      <c r="E3121" t="str">
        <f>"オカヤマショウギョウガッコウショウユウカイ"</f>
        <v>オカヤマショウギョウガッコウショウユウカイ</v>
      </c>
      <c r="F3121" t="str">
        <f>""</f>
        <v/>
      </c>
      <c r="G3121" t="str">
        <f>"頻度不明"</f>
        <v>頻度不明</v>
      </c>
      <c r="H3121" t="str">
        <f>"2002222287413"</f>
        <v>2002222287413</v>
      </c>
      <c r="I3121" t="str">
        <f>HYPERLINK("#", "https://opac.libnet.pref.okayama.jp/licsxp-opac/WOpacMsgNewListToTifTilDetailAction.do?tilcod=2002222287413")</f>
        <v>https://opac.libnet.pref.okayama.jp/licsxp-opac/WOpacMsgNewListToTifTilDetailAction.do?tilcod=2002222287413</v>
      </c>
    </row>
    <row r="3122" spans="1:9" x14ac:dyDescent="0.4">
      <c r="A3122" t="str">
        <f>"尚友"</f>
        <v>尚友</v>
      </c>
      <c r="B3122" s="1" t="str">
        <f t="shared" si="166"/>
        <v>尚友</v>
      </c>
      <c r="C3122" t="str">
        <f>"ショウユウ"</f>
        <v>ショウユウ</v>
      </c>
      <c r="D3122" t="str">
        <f>"岡山商業学校報国団"</f>
        <v>岡山商業学校報国団</v>
      </c>
      <c r="E3122" t="str">
        <f>"オカヤマショウギョウガッコウホウコクダン"</f>
        <v>オカヤマショウギョウガッコウホウコクダン</v>
      </c>
      <c r="F3122" t="str">
        <f>""</f>
        <v/>
      </c>
      <c r="G3122" t="str">
        <f>"頻度不明"</f>
        <v>頻度不明</v>
      </c>
      <c r="H3122" t="str">
        <f>"2002222287423"</f>
        <v>2002222287423</v>
      </c>
      <c r="I3122" t="str">
        <f>HYPERLINK("#", "https://opac.libnet.pref.okayama.jp/licsxp-opac/WOpacMsgNewListToTifTilDetailAction.do?tilcod=2002222287423")</f>
        <v>https://opac.libnet.pref.okayama.jp/licsxp-opac/WOpacMsgNewListToTifTilDetailAction.do?tilcod=2002222287423</v>
      </c>
    </row>
    <row r="3123" spans="1:9" x14ac:dyDescent="0.4">
      <c r="A3123" t="str">
        <f>"松籟；高梁城南高等学校（高梁校地）ＰＴＡ新聞"</f>
        <v>松籟；高梁城南高等学校（高梁校地）ＰＴＡ新聞</v>
      </c>
      <c r="B3123" s="1" t="str">
        <f t="shared" si="166"/>
        <v>松籟；高梁城南高等学校（高梁校地）ＰＴＡ新聞</v>
      </c>
      <c r="C3123" t="str">
        <f>"ショウライ＊タカハシ　ジョウナン　コウトウ　ガッコウ　タカハシ　コウチ　ピーティーエー　シンブン"</f>
        <v>ショウライ＊タカハシ　ジョウナン　コウトウ　ガッコウ　タカハシ　コウチ　ピーティーエー　シンブン</v>
      </c>
      <c r="D3123" t="str">
        <f>"高梁城南高等学校（高梁校地）"</f>
        <v>高梁城南高等学校（高梁校地）</v>
      </c>
      <c r="E3123" t="str">
        <f>"タカハシジョウナンコウトウガッコウタカハシコウチ"</f>
        <v>タカハシジョウナンコウトウガッコウタカハシコウチ</v>
      </c>
      <c r="F3123" t="str">
        <f>"高梁"</f>
        <v>高梁</v>
      </c>
      <c r="G3123" t="str">
        <f>"年２回刊"</f>
        <v>年２回刊</v>
      </c>
      <c r="H3123" t="str">
        <f>"2002222301915"</f>
        <v>2002222301915</v>
      </c>
      <c r="I3123" t="str">
        <f>HYPERLINK("#", "https://opac.libnet.pref.okayama.jp/licsxp-opac/WOpacMsgNewListToTifTilDetailAction.do?tilcod=2002222301915")</f>
        <v>https://opac.libnet.pref.okayama.jp/licsxp-opac/WOpacMsgNewListToTifTilDetailAction.do?tilcod=2002222301915</v>
      </c>
    </row>
    <row r="3124" spans="1:9" x14ac:dyDescent="0.4">
      <c r="A3124" t="str">
        <f>"翔鷺；川崎医大ラグビー部Ｏ．Ｂ．会会誌"</f>
        <v>翔鷺；川崎医大ラグビー部Ｏ．Ｂ．会会誌</v>
      </c>
      <c r="B3124" s="1" t="str">
        <f t="shared" si="166"/>
        <v>翔鷺；川崎医大ラグビー部Ｏ．Ｂ．会会誌</v>
      </c>
      <c r="C3124" t="str">
        <f>"ショウロ＊カワサキ　イカ　ダイガク　ラグビーブ　オービーカイ　カイシ"</f>
        <v>ショウロ＊カワサキ　イカ　ダイガク　ラグビーブ　オービーカイ　カイシ</v>
      </c>
      <c r="D3124" t="str">
        <f>"川崎医大ラグビー部Ｏ．Ｂ．会"</f>
        <v>川崎医大ラグビー部Ｏ．Ｂ．会</v>
      </c>
      <c r="E3124" t="str">
        <f>"カワサキイカダイガクラグビーブオービーカイ"</f>
        <v>カワサキイカダイガクラグビーブオービーカイ</v>
      </c>
      <c r="F3124" t="str">
        <f>"倉敷"</f>
        <v>倉敷</v>
      </c>
      <c r="G3124" t="str">
        <f>"頻度不明"</f>
        <v>頻度不明</v>
      </c>
      <c r="H3124" t="str">
        <f>"2002222301499"</f>
        <v>2002222301499</v>
      </c>
      <c r="I3124" t="str">
        <f>HYPERLINK("#", "https://opac.libnet.pref.okayama.jp/licsxp-opac/WOpacMsgNewListToTifTilDetailAction.do?tilcod=2002222301499")</f>
        <v>https://opac.libnet.pref.okayama.jp/licsxp-opac/WOpacMsgNewListToTifTilDetailAction.do?tilcod=2002222301499</v>
      </c>
    </row>
    <row r="3125" spans="1:9" x14ac:dyDescent="0.4">
      <c r="A3125" t="str">
        <f>"昭六理乙会のしおり"</f>
        <v>昭六理乙会のしおり</v>
      </c>
      <c r="B3125" s="1" t="str">
        <f t="shared" si="166"/>
        <v>昭六理乙会のしおり</v>
      </c>
      <c r="C3125" t="str">
        <f>"ショウロクリオツカイ　ノ　シオリ"</f>
        <v>ショウロクリオツカイ　ノ　シオリ</v>
      </c>
      <c r="D3125" t="str">
        <f>"昭六理乙会"</f>
        <v>昭六理乙会</v>
      </c>
      <c r="E3125" t="str">
        <f>"ショウロクリオツカイ"</f>
        <v>ショウロクリオツカイ</v>
      </c>
      <c r="F3125" t="str">
        <f>"京都"</f>
        <v>京都</v>
      </c>
      <c r="G3125" t="str">
        <f>"年刊"</f>
        <v>年刊</v>
      </c>
      <c r="H3125" t="str">
        <f>"2002222301371"</f>
        <v>2002222301371</v>
      </c>
      <c r="I3125" t="str">
        <f>HYPERLINK("#", "https://opac.libnet.pref.okayama.jp/licsxp-opac/WOpacMsgNewListToTifTilDetailAction.do?tilcod=2002222301371")</f>
        <v>https://opac.libnet.pref.okayama.jp/licsxp-opac/WOpacMsgNewListToTifTilDetailAction.do?tilcod=2002222301371</v>
      </c>
    </row>
    <row r="3126" spans="1:9" x14ac:dyDescent="0.4">
      <c r="A3126" t="str">
        <f>"書簡研究"</f>
        <v>書簡研究</v>
      </c>
      <c r="B3126" s="1" t="str">
        <f t="shared" si="166"/>
        <v>書簡研究</v>
      </c>
      <c r="C3126" t="str">
        <f>"ショカン　ケンキュウ"</f>
        <v>ショカン　ケンキュウ</v>
      </c>
      <c r="D3126" t="str">
        <f>"和泉書院"</f>
        <v>和泉書院</v>
      </c>
      <c r="E3126" t="str">
        <f>"イズミショイン"</f>
        <v>イズミショイン</v>
      </c>
      <c r="F3126" t="str">
        <f>"大阪"</f>
        <v>大阪</v>
      </c>
      <c r="G3126" t="str">
        <f>"年刊"</f>
        <v>年刊</v>
      </c>
      <c r="H3126" t="str">
        <f>"2002222291451"</f>
        <v>2002222291451</v>
      </c>
      <c r="I3126" t="str">
        <f>HYPERLINK("#", "https://opac.libnet.pref.okayama.jp/licsxp-opac/WOpacMsgNewListToTifTilDetailAction.do?tilcod=2002222291451")</f>
        <v>https://opac.libnet.pref.okayama.jp/licsxp-opac/WOpacMsgNewListToTifTilDetailAction.do?tilcod=2002222291451</v>
      </c>
    </row>
    <row r="3127" spans="1:9" x14ac:dyDescent="0.4">
      <c r="A3127" t="str">
        <f>"處女林"</f>
        <v>處女林</v>
      </c>
      <c r="B3127" s="1" t="str">
        <f t="shared" si="166"/>
        <v>處女林</v>
      </c>
      <c r="C3127" t="str">
        <f>"ショジョリン"</f>
        <v>ショジョリン</v>
      </c>
      <c r="D3127" t="str">
        <f>"郷人社"</f>
        <v>郷人社</v>
      </c>
      <c r="E3127" t="str">
        <f>"ゴウジンシャ"</f>
        <v>ゴウジンシャ</v>
      </c>
      <c r="F3127" t="str">
        <f>""</f>
        <v/>
      </c>
      <c r="G3127" t="str">
        <f>"頻度不明"</f>
        <v>頻度不明</v>
      </c>
      <c r="H3127" t="str">
        <f>"2002222287433"</f>
        <v>2002222287433</v>
      </c>
      <c r="I3127" t="str">
        <f>HYPERLINK("#", "https://opac.libnet.pref.okayama.jp/licsxp-opac/WOpacMsgNewListToTifTilDetailAction.do?tilcod=2002222287433")</f>
        <v>https://opac.libnet.pref.okayama.jp/licsxp-opac/WOpacMsgNewListToTifTilDetailAction.do?tilcod=2002222287433</v>
      </c>
    </row>
    <row r="3128" spans="1:9" x14ac:dyDescent="0.4">
      <c r="A3128" t="str">
        <f>"書神"</f>
        <v>書神</v>
      </c>
      <c r="B3128" s="1" t="str">
        <f t="shared" si="166"/>
        <v>書神</v>
      </c>
      <c r="C3128" t="str">
        <f>"ショシン"</f>
        <v>ショシン</v>
      </c>
      <c r="D3128" t="str">
        <f>"書道研究春陽会"</f>
        <v>書道研究春陽会</v>
      </c>
      <c r="E3128" t="str">
        <f>"ショドウ ケンキュウ シュンヨウカイ"</f>
        <v>ショドウ ケンキュウ シュンヨウカイ</v>
      </c>
      <c r="F3128" t="str">
        <f>"岡山"</f>
        <v>岡山</v>
      </c>
      <c r="G3128" t="str">
        <f>"月刊"</f>
        <v>月刊</v>
      </c>
      <c r="H3128" t="str">
        <f>"2002222331932"</f>
        <v>2002222331932</v>
      </c>
      <c r="I3128" t="str">
        <f>HYPERLINK("#", "https://opac.libnet.pref.okayama.jp/licsxp-opac/WOpacMsgNewListToTifTilDetailAction.do?tilcod=2002222331932")</f>
        <v>https://opac.libnet.pref.okayama.jp/licsxp-opac/WOpacMsgNewListToTifTilDetailAction.do?tilcod=2002222331932</v>
      </c>
    </row>
    <row r="3129" spans="1:9" x14ac:dyDescent="0.4">
      <c r="A3129" t="str">
        <f>"女性情報バンクだより"</f>
        <v>女性情報バンクだより</v>
      </c>
      <c r="B3129" s="1" t="str">
        <f t="shared" si="166"/>
        <v>女性情報バンクだより</v>
      </c>
      <c r="C3129" t="str">
        <f>"ジョセイ　ジョウホウ　バンク　ダヨリ"</f>
        <v>ジョセイ　ジョウホウ　バンク　ダヨリ</v>
      </c>
      <c r="D3129" t="str">
        <f>"岡山県女性情報バンク"</f>
        <v>岡山県女性情報バンク</v>
      </c>
      <c r="E3129" t="str">
        <f>"オカヤマケンジョセイジョウホウバンク"</f>
        <v>オカヤマケンジョセイジョウホウバンク</v>
      </c>
      <c r="F3129" t="str">
        <f>"岡山"</f>
        <v>岡山</v>
      </c>
      <c r="G3129" t="str">
        <f>"年刊"</f>
        <v>年刊</v>
      </c>
      <c r="H3129" t="str">
        <f>"2002222292731"</f>
        <v>2002222292731</v>
      </c>
      <c r="I3129" t="str">
        <f>HYPERLINK("#", "https://opac.libnet.pref.okayama.jp/licsxp-opac/WOpacMsgNewListToTifTilDetailAction.do?tilcod=2002222292731")</f>
        <v>https://opac.libnet.pref.okayama.jp/licsxp-opac/WOpacMsgNewListToTifTilDetailAction.do?tilcod=2002222292731</v>
      </c>
    </row>
    <row r="3130" spans="1:9" x14ac:dyDescent="0.4">
      <c r="A3130" t="str">
        <f>"女性職業だより"</f>
        <v>女性職業だより</v>
      </c>
      <c r="B3130" s="1" t="str">
        <f t="shared" si="166"/>
        <v>女性職業だより</v>
      </c>
      <c r="C3130" t="str">
        <f>"ジョセイ　ショクギョウ　ダヨリ"</f>
        <v>ジョセイ　ショクギョウ　ダヨリ</v>
      </c>
      <c r="D3130" t="str">
        <f>"岡山県女性職業センター"</f>
        <v>岡山県女性職業センター</v>
      </c>
      <c r="E3130" t="str">
        <f>"オカヤマケンジョセイショクギョウセンター"</f>
        <v>オカヤマケンジョセイショクギョウセンター</v>
      </c>
      <c r="F3130" t="str">
        <f>"岡山"</f>
        <v>岡山</v>
      </c>
      <c r="G3130" t="str">
        <f>"年２回刊"</f>
        <v>年２回刊</v>
      </c>
      <c r="H3130" t="str">
        <f>"2002222281761"</f>
        <v>2002222281761</v>
      </c>
      <c r="I3130" t="str">
        <f>HYPERLINK("#", "https://opac.libnet.pref.okayama.jp/licsxp-opac/WOpacMsgNewListToTifTilDetailAction.do?tilcod=2002222281761")</f>
        <v>https://opac.libnet.pref.okayama.jp/licsxp-opac/WOpacMsgNewListToTifTilDetailAction.do?tilcod=2002222281761</v>
      </c>
    </row>
    <row r="3131" spans="1:9" x14ac:dyDescent="0.4">
      <c r="A3131" t="str">
        <f>"女性のひろば"</f>
        <v>女性のひろば</v>
      </c>
      <c r="B3131" s="1" t="str">
        <f t="shared" si="166"/>
        <v>女性のひろば</v>
      </c>
      <c r="C3131" t="str">
        <f>"ジョセイ　ノ　ヒロバ"</f>
        <v>ジョセイ　ノ　ヒロバ</v>
      </c>
      <c r="D3131" t="str">
        <f>"岡山市総務局生活文化部女性政策課"</f>
        <v>岡山市総務局生活文化部女性政策課</v>
      </c>
      <c r="E3131" t="str">
        <f>"オカヤマシソムキョクセイカツブンカブジョセイセイサクカ"</f>
        <v>オカヤマシソムキョクセイカツブンカブジョセイセイサクカ</v>
      </c>
      <c r="F3131" t="str">
        <f>"岡山"</f>
        <v>岡山</v>
      </c>
      <c r="G3131" t="str">
        <f>"年２回刊"</f>
        <v>年２回刊</v>
      </c>
      <c r="H3131" t="str">
        <f>"2002222292741"</f>
        <v>2002222292741</v>
      </c>
      <c r="I3131" t="str">
        <f>HYPERLINK("#", "https://opac.libnet.pref.okayama.jp/licsxp-opac/WOpacMsgNewListToTifTilDetailAction.do?tilcod=2002222292741")</f>
        <v>https://opac.libnet.pref.okayama.jp/licsxp-opac/WOpacMsgNewListToTifTilDetailAction.do?tilcod=2002222292741</v>
      </c>
    </row>
    <row r="3132" spans="1:9" x14ac:dyDescent="0.4">
      <c r="A3132" t="str">
        <f>"書道"</f>
        <v>書道</v>
      </c>
      <c r="B3132" s="1" t="str">
        <f t="shared" si="166"/>
        <v>書道</v>
      </c>
      <c r="C3132" t="str">
        <f>"ショドウ"</f>
        <v>ショドウ</v>
      </c>
      <c r="D3132" t="str">
        <f>"岡山県高等学校教育研究会書道部会"</f>
        <v>岡山県高等学校教育研究会書道部会</v>
      </c>
      <c r="E3132" t="str">
        <f>"オカヤマケンコウトウガッコウキョウイクケンキュウカイショドウブカイ"</f>
        <v>オカヤマケンコウトウガッコウキョウイクケンキュウカイショドウブカイ</v>
      </c>
      <c r="F3132" t="str">
        <f>""</f>
        <v/>
      </c>
      <c r="G3132" t="str">
        <f>"頻度不明"</f>
        <v>頻度不明</v>
      </c>
      <c r="H3132" t="str">
        <f>"2002222287443"</f>
        <v>2002222287443</v>
      </c>
      <c r="I3132" t="str">
        <f>HYPERLINK("#", "https://opac.libnet.pref.okayama.jp/licsxp-opac/WOpacMsgNewListToTifTilDetailAction.do?tilcod=2002222287443")</f>
        <v>https://opac.libnet.pref.okayama.jp/licsxp-opac/WOpacMsgNewListToTifTilDetailAction.do?tilcod=2002222287443</v>
      </c>
    </row>
    <row r="3133" spans="1:9" x14ac:dyDescent="0.4">
      <c r="A3133" t="str">
        <f>"書道研究 墨心"</f>
        <v>書道研究 墨心</v>
      </c>
      <c r="B3133" s="1" t="str">
        <f t="shared" si="166"/>
        <v>書道研究 墨心</v>
      </c>
      <c r="C3133" t="str">
        <f>"ショドウ ケンキュウ ボクシン"</f>
        <v>ショドウ ケンキュウ ボクシン</v>
      </c>
      <c r="D3133" t="str">
        <f>"西日本墨心会"</f>
        <v>西日本墨心会</v>
      </c>
      <c r="E3133" t="str">
        <f>"ニシニホン ボクシンカイ"</f>
        <v>ニシニホン ボクシンカイ</v>
      </c>
      <c r="F3133" t="str">
        <f>"倉敷"</f>
        <v>倉敷</v>
      </c>
      <c r="G3133" t="str">
        <f>"月刊"</f>
        <v>月刊</v>
      </c>
      <c r="H3133" t="str">
        <f>"2002222319737"</f>
        <v>2002222319737</v>
      </c>
      <c r="I3133" t="str">
        <f>HYPERLINK("#", "https://opac.libnet.pref.okayama.jp/licsxp-opac/WOpacMsgNewListToTifTilDetailAction.do?tilcod=2002222319737")</f>
        <v>https://opac.libnet.pref.okayama.jp/licsxp-opac/WOpacMsgNewListToTifTilDetailAction.do?tilcod=2002222319737</v>
      </c>
    </row>
    <row r="3134" spans="1:9" x14ac:dyDescent="0.4">
      <c r="A3134" t="str">
        <f>"除痘館記念資料室だより"</f>
        <v>除痘館記念資料室だより</v>
      </c>
      <c r="B3134" s="1" t="str">
        <f t="shared" si="166"/>
        <v>除痘館記念資料室だより</v>
      </c>
      <c r="C3134" t="str">
        <f>"ジョトウカン　キネン　シリョウシツ　ダヨリ"</f>
        <v>ジョトウカン　キネン　シリョウシツ　ダヨリ</v>
      </c>
      <c r="D3134" t="str">
        <f>"緒方洪庵記念財団除痘館記念資料室"</f>
        <v>緒方洪庵記念財団除痘館記念資料室</v>
      </c>
      <c r="E3134" t="str">
        <f>"オガタコウアン キネン ザイダン ジョトウ キネン シリョウシツ"</f>
        <v>オガタコウアン キネン ザイダン ジョトウ キネン シリョウシツ</v>
      </c>
      <c r="F3134" t="str">
        <f>"大阪"</f>
        <v>大阪</v>
      </c>
      <c r="G3134" t="str">
        <f>"季刊"</f>
        <v>季刊</v>
      </c>
      <c r="H3134" t="str">
        <f>"2002222302411"</f>
        <v>2002222302411</v>
      </c>
      <c r="I3134" t="str">
        <f>HYPERLINK("#", "https://opac.libnet.pref.okayama.jp/licsxp-opac/WOpacMsgNewListToTifTilDetailAction.do?tilcod=2002222302411")</f>
        <v>https://opac.libnet.pref.okayama.jp/licsxp-opac/WOpacMsgNewListToTifTilDetailAction.do?tilcod=2002222302411</v>
      </c>
    </row>
    <row r="3135" spans="1:9" x14ac:dyDescent="0.4">
      <c r="A3135" t="str">
        <f>"Ｊｏｂｙ（ジョビィ）"</f>
        <v>Ｊｏｂｙ（ジョビィ）</v>
      </c>
      <c r="B3135" s="1" t="str">
        <f t="shared" si="166"/>
        <v>Ｊｏｂｙ（ジョビィ）</v>
      </c>
      <c r="C3135" t="str">
        <f>"ジョビィ"</f>
        <v>ジョビィ</v>
      </c>
      <c r="D3135" t="str">
        <f>"ビズ・クリエイション"</f>
        <v>ビズ・クリエイション</v>
      </c>
      <c r="E3135" t="str">
        <f>"ビズクリエイション"</f>
        <v>ビズクリエイション</v>
      </c>
      <c r="F3135" t="str">
        <f>"岡山"</f>
        <v>岡山</v>
      </c>
      <c r="G3135" t="str">
        <f>"月刊"</f>
        <v>月刊</v>
      </c>
      <c r="H3135" t="str">
        <f>"2002222302303"</f>
        <v>2002222302303</v>
      </c>
      <c r="I3135" t="str">
        <f>HYPERLINK("#", "https://opac.libnet.pref.okayama.jp/licsxp-opac/WOpacMsgNewListToTifTilDetailAction.do?tilcod=2002222302303")</f>
        <v>https://opac.libnet.pref.okayama.jp/licsxp-opac/WOpacMsgNewListToTifTilDetailAction.do?tilcod=2002222302303</v>
      </c>
    </row>
    <row r="3136" spans="1:9" x14ac:dyDescent="0.4">
      <c r="A3136" t="str">
        <f>"JOB@TOWN(ジョブアットタウン)；真庭・津山・美作求人情報"</f>
        <v>JOB@TOWN(ジョブアットタウン)；真庭・津山・美作求人情報</v>
      </c>
      <c r="B3136" s="1" t="str">
        <f t="shared" si="166"/>
        <v>JOB@TOWN(ジョブアットタウン)；真庭・津山・美作求人情報</v>
      </c>
      <c r="C3136" t="str">
        <f>"ジョブ アット タウン＊マニワ ツヤマ ミマサカ キュウジン ジョウホウ"</f>
        <v>ジョブ アット タウン＊マニワ ツヤマ ミマサカ キュウジン ジョウホウ</v>
      </c>
      <c r="D3136" t="str">
        <f>"AFWアットタウン"</f>
        <v>AFWアットタウン</v>
      </c>
      <c r="E3136" t="str">
        <f>"エーエフダブリューアットタウン"</f>
        <v>エーエフダブリューアットタウン</v>
      </c>
      <c r="F3136" t="str">
        <f>"津山"</f>
        <v>津山</v>
      </c>
      <c r="G3136" t="str">
        <f>"月刊"</f>
        <v>月刊</v>
      </c>
      <c r="H3136" t="str">
        <f>"2002222324646"</f>
        <v>2002222324646</v>
      </c>
      <c r="I3136" t="str">
        <f>HYPERLINK("#", "https://opac.libnet.pref.okayama.jp/licsxp-opac/WOpacMsgNewListToTifTilDetailAction.do?tilcod=2002222324646")</f>
        <v>https://opac.libnet.pref.okayama.jp/licsxp-opac/WOpacMsgNewListToTifTilDetailAction.do?tilcod=2002222324646</v>
      </c>
    </row>
    <row r="3137" spans="1:9" x14ac:dyDescent="0.4">
      <c r="A3137" t="str">
        <f>"jobaidem（ジョブアイデム） 岡山版"</f>
        <v>jobaidem（ジョブアイデム） 岡山版</v>
      </c>
      <c r="B3137" s="1" t="str">
        <f t="shared" si="166"/>
        <v>jobaidem（ジョブアイデム） 岡山版</v>
      </c>
      <c r="C3137" t="str">
        <f>"ジョブアイデム オカヤマ バン"</f>
        <v>ジョブアイデム オカヤマ バン</v>
      </c>
      <c r="D3137" t="str">
        <f>"アイデム西日本事業本部"</f>
        <v>アイデム西日本事業本部</v>
      </c>
      <c r="E3137" t="str">
        <f>"アイデムニシニホンジギョウホンブ"</f>
        <v>アイデムニシニホンジギョウホンブ</v>
      </c>
      <c r="F3137" t="str">
        <f>"大阪"</f>
        <v>大阪</v>
      </c>
      <c r="G3137" t="str">
        <f>"週刊"</f>
        <v>週刊</v>
      </c>
      <c r="H3137" t="str">
        <f>"2002222301490"</f>
        <v>2002222301490</v>
      </c>
      <c r="I3137" t="str">
        <f>HYPERLINK("#", "https://opac.libnet.pref.okayama.jp/licsxp-opac/WOpacMsgNewListToTifTilDetailAction.do?tilcod=2002222301490")</f>
        <v>https://opac.libnet.pref.okayama.jp/licsxp-opac/WOpacMsgNewListToTifTilDetailAction.do?tilcod=2002222301490</v>
      </c>
    </row>
    <row r="3138" spans="1:9" x14ac:dyDescent="0.4">
      <c r="A3138" t="str">
        <f>"所報吉備"</f>
        <v>所報吉備</v>
      </c>
      <c r="B3138" s="1" t="str">
        <f t="shared" si="166"/>
        <v>所報吉備</v>
      </c>
      <c r="C3138" t="str">
        <f>"ショホウ　キビ"</f>
        <v>ショホウ　キビ</v>
      </c>
      <c r="D3138" t="str">
        <f>"岡山県古代吉備文化財センター"</f>
        <v>岡山県古代吉備文化財センター</v>
      </c>
      <c r="E3138" t="str">
        <f>"オカヤマケン コダイ キビ ブンカザイ センター"</f>
        <v>オカヤマケン コダイ キビ ブンカザイ センター</v>
      </c>
      <c r="F3138" t="str">
        <f>"岡山"</f>
        <v>岡山</v>
      </c>
      <c r="G3138" t="str">
        <f>"年２回刊"</f>
        <v>年２回刊</v>
      </c>
      <c r="H3138" t="str">
        <f>"2002222291461"</f>
        <v>2002222291461</v>
      </c>
      <c r="I3138" t="str">
        <f>HYPERLINK("#", "https://opac.libnet.pref.okayama.jp/licsxp-opac/WOpacMsgNewListToTifTilDetailAction.do?tilcod=2002222291461")</f>
        <v>https://opac.libnet.pref.okayama.jp/licsxp-opac/WOpacMsgNewListToTifTilDetailAction.do?tilcod=2002222291461</v>
      </c>
    </row>
    <row r="3139" spans="1:9" x14ac:dyDescent="0.4">
      <c r="A3139" t="str">
        <f>"庶民週報"</f>
        <v>庶民週報</v>
      </c>
      <c r="B3139" s="1" t="str">
        <f t="shared" si="166"/>
        <v>庶民週報</v>
      </c>
      <c r="C3139" t="str">
        <f>"ショミン　シュウホウ"</f>
        <v>ショミン　シュウホウ</v>
      </c>
      <c r="D3139" t="str">
        <f>"岡山庶民週報社"</f>
        <v>岡山庶民週報社</v>
      </c>
      <c r="E3139" t="str">
        <f>"オカヤマショミンシュウホウシャ"</f>
        <v>オカヤマショミンシュウホウシャ</v>
      </c>
      <c r="F3139" t="str">
        <f>"岡山"</f>
        <v>岡山</v>
      </c>
      <c r="G3139" t="str">
        <f>"週刊"</f>
        <v>週刊</v>
      </c>
      <c r="H3139" t="str">
        <f>"2002222300996"</f>
        <v>2002222300996</v>
      </c>
      <c r="I3139" t="str">
        <f>HYPERLINK("#", "https://opac.libnet.pref.okayama.jp/licsxp-opac/WOpacMsgNewListToTifTilDetailAction.do?tilcod=2002222300996")</f>
        <v>https://opac.libnet.pref.okayama.jp/licsxp-opac/WOpacMsgNewListToTifTilDetailAction.do?tilcod=2002222300996</v>
      </c>
    </row>
    <row r="3140" spans="1:9" x14ac:dyDescent="0.4">
      <c r="A3140" t="str">
        <f>"白梅"</f>
        <v>白梅</v>
      </c>
      <c r="B3140" s="1" t="str">
        <f t="shared" ref="B3140:B3203" si="167">HYPERLINK("#", A3140)</f>
        <v>白梅</v>
      </c>
      <c r="C3140" t="str">
        <f>"シラウメ"</f>
        <v>シラウメ</v>
      </c>
      <c r="D3140" t="str">
        <f>"落合高等女学校校友会"</f>
        <v>落合高等女学校校友会</v>
      </c>
      <c r="E3140" t="str">
        <f>"オチアイ コウトウ ジョガッコウ コウユウカイ"</f>
        <v>オチアイ コウトウ ジョガッコウ コウユウカイ</v>
      </c>
      <c r="F3140" t="str">
        <f>"落合町(真庭郡)"</f>
        <v>落合町(真庭郡)</v>
      </c>
      <c r="G3140" t="str">
        <f>"頻度不明"</f>
        <v>頻度不明</v>
      </c>
      <c r="H3140" t="str">
        <f>"2002222309986"</f>
        <v>2002222309986</v>
      </c>
      <c r="I3140" t="str">
        <f>HYPERLINK("#", "https://opac.libnet.pref.okayama.jp/licsxp-opac/WOpacMsgNewListToTifTilDetailAction.do?tilcod=2002222309986")</f>
        <v>https://opac.libnet.pref.okayama.jp/licsxp-opac/WOpacMsgNewListToTifTilDetailAction.do?tilcod=2002222309986</v>
      </c>
    </row>
    <row r="3141" spans="1:9" x14ac:dyDescent="0.4">
      <c r="A3141" t="str">
        <f>"白梅新聞"</f>
        <v>白梅新聞</v>
      </c>
      <c r="B3141" s="1" t="str">
        <f t="shared" si="167"/>
        <v>白梅新聞</v>
      </c>
      <c r="C3141" t="str">
        <f>"シラウメ  シンブ ン"</f>
        <v>シラウメ  シンブ ン</v>
      </c>
      <c r="D3141" t="str">
        <f>"落合高等学校報道委員会"</f>
        <v>落合高等学校報道委員会</v>
      </c>
      <c r="E3141" t="str">
        <f>"オチアイ コウトウ ガッコウ ホウドウ イインカイ"</f>
        <v>オチアイ コウトウ ガッコウ ホウドウ イインカイ</v>
      </c>
      <c r="F3141" t="str">
        <f>"真庭"</f>
        <v>真庭</v>
      </c>
      <c r="G3141" t="str">
        <f>"年２回刊"</f>
        <v>年２回刊</v>
      </c>
      <c r="H3141" t="str">
        <f>"2002222307289"</f>
        <v>2002222307289</v>
      </c>
      <c r="I3141" t="str">
        <f>HYPERLINK("#", "https://opac.libnet.pref.okayama.jp/licsxp-opac/WOpacMsgNewListToTifTilDetailAction.do?tilcod=2002222307289")</f>
        <v>https://opac.libnet.pref.okayama.jp/licsxp-opac/WOpacMsgNewListToTifTilDetailAction.do?tilcod=2002222307289</v>
      </c>
    </row>
    <row r="3142" spans="1:9" x14ac:dyDescent="0.4">
      <c r="A3142" t="str">
        <f>"しらうめ;川柳おちあい"</f>
        <v>しらうめ;川柳おちあい</v>
      </c>
      <c r="B3142" s="1" t="str">
        <f t="shared" si="167"/>
        <v>しらうめ;川柳おちあい</v>
      </c>
      <c r="C3142" t="str">
        <f>"シラウメ*センリュウ オチアイ"</f>
        <v>シラウメ*センリュウ オチアイ</v>
      </c>
      <c r="D3142" t="str">
        <f>"中川栄策"</f>
        <v>中川栄策</v>
      </c>
      <c r="E3142" t="str">
        <f>"ナカガワエイサク"</f>
        <v>ナカガワエイサク</v>
      </c>
      <c r="F3142" t="str">
        <f>"真庭"</f>
        <v>真庭</v>
      </c>
      <c r="G3142" t="str">
        <f>"月刊"</f>
        <v>月刊</v>
      </c>
      <c r="H3142" t="str">
        <f>"2002222307589"</f>
        <v>2002222307589</v>
      </c>
      <c r="I3142" t="str">
        <f>HYPERLINK("#", "https://opac.libnet.pref.okayama.jp/licsxp-opac/WOpacMsgNewListToTifTilDetailAction.do?tilcod=2002222307589")</f>
        <v>https://opac.libnet.pref.okayama.jp/licsxp-opac/WOpacMsgNewListToTifTilDetailAction.do?tilcod=2002222307589</v>
      </c>
    </row>
    <row r="3143" spans="1:9" x14ac:dyDescent="0.4">
      <c r="A3143" t="str">
        <f>"しらかべ"</f>
        <v>しらかべ</v>
      </c>
      <c r="B3143" s="1" t="str">
        <f t="shared" si="167"/>
        <v>しらかべ</v>
      </c>
      <c r="C3143" t="str">
        <f>"シラカベ"</f>
        <v>シラカベ</v>
      </c>
      <c r="D3143" t="str">
        <f>"倉敷市公聴広報課"</f>
        <v>倉敷市公聴広報課</v>
      </c>
      <c r="E3143" t="str">
        <f>"クラシキシコウチョウコウホウカ"</f>
        <v>クラシキシコウチョウコウホウカ</v>
      </c>
      <c r="F3143" t="str">
        <f>"倉敷"</f>
        <v>倉敷</v>
      </c>
      <c r="G3143" t="str">
        <f>"隔月刊"</f>
        <v>隔月刊</v>
      </c>
      <c r="H3143" t="str">
        <f>"2002222281151"</f>
        <v>2002222281151</v>
      </c>
      <c r="I3143" t="str">
        <f>HYPERLINK("#", "https://opac.libnet.pref.okayama.jp/licsxp-opac/WOpacMsgNewListToTifTilDetailAction.do?tilcod=2002222281151")</f>
        <v>https://opac.libnet.pref.okayama.jp/licsxp-opac/WOpacMsgNewListToTifTilDetailAction.do?tilcod=2002222281151</v>
      </c>
    </row>
    <row r="3144" spans="1:9" x14ac:dyDescent="0.4">
      <c r="A3144" t="str">
        <f>"白壁"</f>
        <v>白壁</v>
      </c>
      <c r="B3144" s="1" t="str">
        <f t="shared" si="167"/>
        <v>白壁</v>
      </c>
      <c r="C3144" t="str">
        <f>"シラカベ"</f>
        <v>シラカベ</v>
      </c>
      <c r="D3144" t="str">
        <f>""</f>
        <v/>
      </c>
      <c r="E3144" t="str">
        <f>""</f>
        <v/>
      </c>
      <c r="F3144" t="str">
        <f>""</f>
        <v/>
      </c>
      <c r="G3144" t="str">
        <f>"頻度不明"</f>
        <v>頻度不明</v>
      </c>
      <c r="H3144" t="str">
        <f>"2002222287463"</f>
        <v>2002222287463</v>
      </c>
      <c r="I3144" t="str">
        <f>HYPERLINK("#", "https://opac.libnet.pref.okayama.jp/licsxp-opac/WOpacMsgNewListToTifTilDetailAction.do?tilcod=2002222287463")</f>
        <v>https://opac.libnet.pref.okayama.jp/licsxp-opac/WOpacMsgNewListToTifTilDetailAction.do?tilcod=2002222287463</v>
      </c>
    </row>
    <row r="3145" spans="1:9" x14ac:dyDescent="0.4">
      <c r="A3145" t="str">
        <f>"志ら壁"</f>
        <v>志ら壁</v>
      </c>
      <c r="B3145" s="1" t="str">
        <f t="shared" si="167"/>
        <v>志ら壁</v>
      </c>
      <c r="C3145" t="str">
        <f>"シラカベ"</f>
        <v>シラカベ</v>
      </c>
      <c r="D3145" t="str">
        <f>"倉敷歌人クラブ"</f>
        <v>倉敷歌人クラブ</v>
      </c>
      <c r="E3145" t="str">
        <f>"クラシキカジンクラブ"</f>
        <v>クラシキカジンクラブ</v>
      </c>
      <c r="F3145" t="str">
        <f>"倉敷"</f>
        <v>倉敷</v>
      </c>
      <c r="G3145" t="str">
        <f>"その他"</f>
        <v>その他</v>
      </c>
      <c r="H3145" t="str">
        <f>"2002222292751"</f>
        <v>2002222292751</v>
      </c>
      <c r="I3145" t="str">
        <f>HYPERLINK("#", "https://opac.libnet.pref.okayama.jp/licsxp-opac/WOpacMsgNewListToTifTilDetailAction.do?tilcod=2002222292751")</f>
        <v>https://opac.libnet.pref.okayama.jp/licsxp-opac/WOpacMsgNewListToTifTilDetailAction.do?tilcod=2002222292751</v>
      </c>
    </row>
    <row r="3146" spans="1:9" x14ac:dyDescent="0.4">
      <c r="A3146" t="str">
        <f>"白壁"</f>
        <v>白壁</v>
      </c>
      <c r="B3146" s="1" t="str">
        <f t="shared" si="167"/>
        <v>白壁</v>
      </c>
      <c r="C3146" t="str">
        <f>"シラカベ"</f>
        <v>シラカベ</v>
      </c>
      <c r="D3146" t="str">
        <f>"近藤 光子"</f>
        <v>近藤 光子</v>
      </c>
      <c r="E3146" t="str">
        <f>"コンドウ ミツコ"</f>
        <v>コンドウ ミツコ</v>
      </c>
      <c r="F3146" t="str">
        <f>"建部町(御津郡)"</f>
        <v>建部町(御津郡)</v>
      </c>
      <c r="G3146" t="str">
        <f>"年刊"</f>
        <v>年刊</v>
      </c>
      <c r="H3146" t="str">
        <f>"2002222319616"</f>
        <v>2002222319616</v>
      </c>
      <c r="I3146" t="str">
        <f>HYPERLINK("#", "https://opac.libnet.pref.okayama.jp/licsxp-opac/WOpacMsgNewListToTifTilDetailAction.do?tilcod=2002222319616")</f>
        <v>https://opac.libnet.pref.okayama.jp/licsxp-opac/WOpacMsgNewListToTifTilDetailAction.do?tilcod=2002222319616</v>
      </c>
    </row>
    <row r="3147" spans="1:9" x14ac:dyDescent="0.4">
      <c r="A3147" t="str">
        <f>"白壁"</f>
        <v>白壁</v>
      </c>
      <c r="B3147" s="1" t="str">
        <f t="shared" si="167"/>
        <v>白壁</v>
      </c>
      <c r="C3147" t="str">
        <f>"シラカベ"</f>
        <v>シラカベ</v>
      </c>
      <c r="D3147" t="str">
        <f>"倉敷市立多津美中学校"</f>
        <v>倉敷市立多津美中学校</v>
      </c>
      <c r="E3147" t="str">
        <f>"クラシキシリツ タツミ チュウガッコウ"</f>
        <v>クラシキシリツ タツミ チュウガッコウ</v>
      </c>
      <c r="F3147" t="str">
        <f>""</f>
        <v/>
      </c>
      <c r="G3147" t="str">
        <f>"頻度不明"</f>
        <v>頻度不明</v>
      </c>
      <c r="H3147" t="str">
        <f>"2002222331938"</f>
        <v>2002222331938</v>
      </c>
      <c r="I3147" t="str">
        <f>HYPERLINK("#", "https://opac.libnet.pref.okayama.jp/licsxp-opac/WOpacMsgNewListToTifTilDetailAction.do?tilcod=2002222331938")</f>
        <v>https://opac.libnet.pref.okayama.jp/licsxp-opac/WOpacMsgNewListToTifTilDetailAction.do?tilcod=2002222331938</v>
      </c>
    </row>
    <row r="3148" spans="1:9" x14ac:dyDescent="0.4">
      <c r="A3148" t="str">
        <f>"しらはな"</f>
        <v>しらはな</v>
      </c>
      <c r="B3148" s="1" t="str">
        <f t="shared" si="167"/>
        <v>しらはな</v>
      </c>
      <c r="C3148" t="str">
        <f>"シラハナ"</f>
        <v>シラハナ</v>
      </c>
      <c r="D3148" t="str">
        <f>"玉島高等女学校白華校友会"</f>
        <v>玉島高等女学校白華校友会</v>
      </c>
      <c r="E3148" t="str">
        <f>"タマシマ コウトウ ジョガッコウ シラハナ コウユウカイ"</f>
        <v>タマシマ コウトウ ジョガッコウ シラハナ コウユウカイ</v>
      </c>
      <c r="F3148" t="str">
        <f>"岡山"</f>
        <v>岡山</v>
      </c>
      <c r="G3148" t="str">
        <f>"頻度不明"</f>
        <v>頻度不明</v>
      </c>
      <c r="H3148" t="str">
        <f>"2002222324449"</f>
        <v>2002222324449</v>
      </c>
      <c r="I3148" t="str">
        <f>HYPERLINK("#", "https://opac.libnet.pref.okayama.jp/licsxp-opac/WOpacMsgNewListToTifTilDetailAction.do?tilcod=2002222324449")</f>
        <v>https://opac.libnet.pref.okayama.jp/licsxp-opac/WOpacMsgNewListToTifTilDetailAction.do?tilcod=2002222324449</v>
      </c>
    </row>
    <row r="3149" spans="1:9" x14ac:dyDescent="0.4">
      <c r="A3149" t="str">
        <f>"白華（しらはな）"</f>
        <v>白華（しらはな）</v>
      </c>
      <c r="B3149" s="1" t="str">
        <f t="shared" si="167"/>
        <v>白華（しらはな）</v>
      </c>
      <c r="C3149" t="str">
        <f>"シラハナ"</f>
        <v>シラハナ</v>
      </c>
      <c r="D3149" t="str">
        <f>"白華会・白華同窓会"</f>
        <v>白華会・白華同窓会</v>
      </c>
      <c r="E3149" t="str">
        <f>"シラハナカイシラハナドウソウカイ"</f>
        <v>シラハナカイシラハナドウソウカイ</v>
      </c>
      <c r="F3149" t="str">
        <f>"岡山"</f>
        <v>岡山</v>
      </c>
      <c r="G3149" t="str">
        <f>"頻度不明"</f>
        <v>頻度不明</v>
      </c>
      <c r="H3149" t="str">
        <f>"2002222285181"</f>
        <v>2002222285181</v>
      </c>
      <c r="I3149" t="str">
        <f>HYPERLINK("#", "https://opac.libnet.pref.okayama.jp/licsxp-opac/WOpacMsgNewListToTifTilDetailAction.do?tilcod=2002222285181")</f>
        <v>https://opac.libnet.pref.okayama.jp/licsxp-opac/WOpacMsgNewListToTifTilDetailAction.do?tilcod=2002222285181</v>
      </c>
    </row>
    <row r="3150" spans="1:9" x14ac:dyDescent="0.4">
      <c r="A3150" t="str">
        <f>"白華同窓会誌［玉島町立高等女学校］"</f>
        <v>白華同窓会誌［玉島町立高等女学校］</v>
      </c>
      <c r="B3150" s="1" t="str">
        <f t="shared" si="167"/>
        <v>白華同窓会誌［玉島町立高等女学校］</v>
      </c>
      <c r="C3150" t="str">
        <f>"シラハナ　ドウソウ　カイ　シ　タマシマ　チョウリツ　コウトウ　ジョガッコウ"</f>
        <v>シラハナ　ドウソウ　カイ　シ　タマシマ　チョウリツ　コウトウ　ジョガッコウ</v>
      </c>
      <c r="D3150" t="str">
        <f>"白華同窓会"</f>
        <v>白華同窓会</v>
      </c>
      <c r="E3150" t="str">
        <f>"シラハナドウソウカイ"</f>
        <v>シラハナドウソウカイ</v>
      </c>
      <c r="F3150" t="str">
        <f>"玉島町"</f>
        <v>玉島町</v>
      </c>
      <c r="G3150" t="str">
        <f>"頻度不明"</f>
        <v>頻度不明</v>
      </c>
      <c r="H3150" t="str">
        <f>"2002222285241"</f>
        <v>2002222285241</v>
      </c>
      <c r="I3150" t="str">
        <f>HYPERLINK("#", "https://opac.libnet.pref.okayama.jp/licsxp-opac/WOpacMsgNewListToTifTilDetailAction.do?tilcod=2002222285241")</f>
        <v>https://opac.libnet.pref.okayama.jp/licsxp-opac/WOpacMsgNewListToTifTilDetailAction.do?tilcod=2002222285241</v>
      </c>
    </row>
    <row r="3151" spans="1:9" x14ac:dyDescent="0.4">
      <c r="A3151" t="str">
        <f>"白百合"</f>
        <v>白百合</v>
      </c>
      <c r="B3151" s="1" t="str">
        <f t="shared" si="167"/>
        <v>白百合</v>
      </c>
      <c r="C3151" t="str">
        <f>"シラユリ"</f>
        <v>シラユリ</v>
      </c>
      <c r="D3151" t="str">
        <f>"白百合川柳社"</f>
        <v>白百合川柳社</v>
      </c>
      <c r="E3151" t="str">
        <f>"シラユリ センリュウ シャ"</f>
        <v>シラユリ センリュウ シャ</v>
      </c>
      <c r="F3151" t="str">
        <f>""</f>
        <v/>
      </c>
      <c r="G3151" t="str">
        <f>"隔月刊"</f>
        <v>隔月刊</v>
      </c>
      <c r="H3151" t="str">
        <f>"2002222287503"</f>
        <v>2002222287503</v>
      </c>
      <c r="I3151" t="str">
        <f>HYPERLINK("#", "https://opac.libnet.pref.okayama.jp/licsxp-opac/WOpacMsgNewListToTifTilDetailAction.do?tilcod=2002222287503")</f>
        <v>https://opac.libnet.pref.okayama.jp/licsxp-opac/WOpacMsgNewListToTifTilDetailAction.do?tilcod=2002222287503</v>
      </c>
    </row>
    <row r="3152" spans="1:9" x14ac:dyDescent="0.4">
      <c r="A3152" t="str">
        <f>"しらゆり"</f>
        <v>しらゆり</v>
      </c>
      <c r="B3152" s="1" t="str">
        <f t="shared" si="167"/>
        <v>しらゆり</v>
      </c>
      <c r="C3152" t="str">
        <f>"シラユリ"</f>
        <v>シラユリ</v>
      </c>
      <c r="D3152" t="str">
        <f>"岡山県母子寡婦福祉連合会"</f>
        <v>岡山県母子寡婦福祉連合会</v>
      </c>
      <c r="E3152" t="str">
        <f>"オカヤマケン ボシ カフ フクシ レンゴウカイ"</f>
        <v>オカヤマケン ボシ カフ フクシ レンゴウカイ</v>
      </c>
      <c r="F3152" t="str">
        <f>""</f>
        <v/>
      </c>
      <c r="G3152" t="str">
        <f>"年刊"</f>
        <v>年刊</v>
      </c>
      <c r="H3152" t="str">
        <f>"2002222317226"</f>
        <v>2002222317226</v>
      </c>
      <c r="I3152" t="str">
        <f>HYPERLINK("#", "https://opac.libnet.pref.okayama.jp/licsxp-opac/WOpacMsgNewListToTifTilDetailAction.do?tilcod=2002222317226")</f>
        <v>https://opac.libnet.pref.okayama.jp/licsxp-opac/WOpacMsgNewListToTifTilDetailAction.do?tilcod=2002222317226</v>
      </c>
    </row>
    <row r="3153" spans="1:9" x14ac:dyDescent="0.4">
      <c r="A3153" t="str">
        <f>"白ゆり〔岡山県立倉敷中央高等学校〕"</f>
        <v>白ゆり〔岡山県立倉敷中央高等学校〕</v>
      </c>
      <c r="B3153" s="1" t="str">
        <f t="shared" si="167"/>
        <v>白ゆり〔岡山県立倉敷中央高等学校〕</v>
      </c>
      <c r="C3153" t="str">
        <f>"シラユリ　オカヤマ　ケンリツ　クラシキ　チュウオウ　コウトウ　ガッコウ"</f>
        <v>シラユリ　オカヤマ　ケンリツ　クラシキ　チュウオウ　コウトウ　ガッコウ</v>
      </c>
      <c r="D3153" t="str">
        <f>"倉敷中央高等学校家庭クラブ"</f>
        <v>倉敷中央高等学校家庭クラブ</v>
      </c>
      <c r="E3153" t="str">
        <f>"クラシキチュウオウコウトウガッコウカテイクラブ"</f>
        <v>クラシキチュウオウコウトウガッコウカテイクラブ</v>
      </c>
      <c r="F3153" t="str">
        <f>"倉敷"</f>
        <v>倉敷</v>
      </c>
      <c r="G3153" t="str">
        <f>"頻度不明"</f>
        <v>頻度不明</v>
      </c>
      <c r="H3153" t="str">
        <f>"2002222287493"</f>
        <v>2002222287493</v>
      </c>
      <c r="I3153" t="str">
        <f>HYPERLINK("#", "https://opac.libnet.pref.okayama.jp/licsxp-opac/WOpacMsgNewListToTifTilDetailAction.do?tilcod=2002222287493")</f>
        <v>https://opac.libnet.pref.okayama.jp/licsxp-opac/WOpacMsgNewListToTifTilDetailAction.do?tilcod=2002222287493</v>
      </c>
    </row>
    <row r="3154" spans="1:9" x14ac:dyDescent="0.4">
      <c r="A3154" t="str">
        <f>"芝蘭"</f>
        <v>芝蘭</v>
      </c>
      <c r="B3154" s="1" t="str">
        <f t="shared" si="167"/>
        <v>芝蘭</v>
      </c>
      <c r="C3154" t="str">
        <f>"シラン"</f>
        <v>シラン</v>
      </c>
      <c r="D3154" t="str">
        <f>"岡山県師範学校附属小学校"</f>
        <v>岡山県師範学校附属小学校</v>
      </c>
      <c r="E3154" t="str">
        <f>"オカヤマケン シハン ガッコウ フゾク ショウガッコウ"</f>
        <v>オカヤマケン シハン ガッコウ フゾク ショウガッコウ</v>
      </c>
      <c r="F3154" t="str">
        <f>""</f>
        <v/>
      </c>
      <c r="G3154" t="str">
        <f>"頻度不明"</f>
        <v>頻度不明</v>
      </c>
      <c r="H3154" t="str">
        <f>"2002222281983"</f>
        <v>2002222281983</v>
      </c>
      <c r="I3154" t="str">
        <f>HYPERLINK("#", "https://opac.libnet.pref.okayama.jp/licsxp-opac/WOpacMsgNewListToTifTilDetailAction.do?tilcod=2002222281983")</f>
        <v>https://opac.libnet.pref.okayama.jp/licsxp-opac/WOpacMsgNewListToTifTilDetailAction.do?tilcod=2002222281983</v>
      </c>
    </row>
    <row r="3155" spans="1:9" x14ac:dyDescent="0.4">
      <c r="A3155" t="str">
        <f>"私立英田郡教育会誌"</f>
        <v>私立英田郡教育会誌</v>
      </c>
      <c r="B3155" s="1" t="str">
        <f t="shared" si="167"/>
        <v>私立英田郡教育会誌</v>
      </c>
      <c r="C3155" t="str">
        <f>"シリツ アイダグン キョウイクカイシ"</f>
        <v>シリツ アイダグン キョウイクカイシ</v>
      </c>
      <c r="D3155" t="str">
        <f>"私立英田郡教育会"</f>
        <v>私立英田郡教育会</v>
      </c>
      <c r="E3155" t="str">
        <f>"シリツアイダグンキョウイクカイ"</f>
        <v>シリツアイダグンキョウイクカイ</v>
      </c>
      <c r="F3155" t="str">
        <f>""</f>
        <v/>
      </c>
      <c r="G3155" t="str">
        <f>"頻度不明"</f>
        <v>頻度不明</v>
      </c>
      <c r="H3155" t="str">
        <f>"2002222287513"</f>
        <v>2002222287513</v>
      </c>
      <c r="I3155" t="str">
        <f>HYPERLINK("#", "https://opac.libnet.pref.okayama.jp/licsxp-opac/WOpacMsgNewListToTifTilDetailAction.do?tilcod=2002222287513")</f>
        <v>https://opac.libnet.pref.okayama.jp/licsxp-opac/WOpacMsgNewListToTifTilDetailAction.do?tilcod=2002222287513</v>
      </c>
    </row>
    <row r="3156" spans="1:9" x14ac:dyDescent="0.4">
      <c r="A3156" t="str">
        <f>"〔私立岡山県衛生会同窓会〕同窓会報"</f>
        <v>〔私立岡山県衛生会同窓会〕同窓会報</v>
      </c>
      <c r="B3156" s="1" t="str">
        <f t="shared" si="167"/>
        <v>〔私立岡山県衛生会同窓会〕同窓会報</v>
      </c>
      <c r="C3156" t="str">
        <f>"シリツ　オカヤマケン　エイセイカイ　ドウソウカイ　ドウソウカイホウ"</f>
        <v>シリツ　オカヤマケン　エイセイカイ　ドウソウカイ　ドウソウカイホウ</v>
      </c>
      <c r="D3156" t="str">
        <f>"岡山県衛生会同窓会"</f>
        <v>岡山県衛生会同窓会</v>
      </c>
      <c r="E3156" t="str">
        <f>"オカヤマケンエイセイカイドウソウカイ"</f>
        <v>オカヤマケンエイセイカイドウソウカイ</v>
      </c>
      <c r="F3156" t="str">
        <f>"岡山"</f>
        <v>岡山</v>
      </c>
      <c r="G3156" t="str">
        <f>"年２回刊"</f>
        <v>年２回刊</v>
      </c>
      <c r="H3156" t="str">
        <f>"2002222287523"</f>
        <v>2002222287523</v>
      </c>
      <c r="I3156" t="str">
        <f>HYPERLINK("#", "https://opac.libnet.pref.okayama.jp/licsxp-opac/WOpacMsgNewListToTifTilDetailAction.do?tilcod=2002222287523")</f>
        <v>https://opac.libnet.pref.okayama.jp/licsxp-opac/WOpacMsgNewListToTifTilDetailAction.do?tilcod=2002222287523</v>
      </c>
    </row>
    <row r="3157" spans="1:9" x14ac:dyDescent="0.4">
      <c r="A3157" t="str">
        <f>"私立岡山県教育会雑誌"</f>
        <v>私立岡山県教育会雑誌</v>
      </c>
      <c r="B3157" s="1" t="str">
        <f t="shared" si="167"/>
        <v>私立岡山県教育会雑誌</v>
      </c>
      <c r="C3157" t="str">
        <f>"シリツ　オカヤマケン　キョウイクカイ　ザッシ"</f>
        <v>シリツ　オカヤマケン　キョウイクカイ　ザッシ</v>
      </c>
      <c r="D3157" t="str">
        <f>"私立岡山県教育会"</f>
        <v>私立岡山県教育会</v>
      </c>
      <c r="E3157" t="str">
        <f>"シリツ オカヤマケン キョウイクカイ"</f>
        <v>シリツ オカヤマケン キョウイクカイ</v>
      </c>
      <c r="F3157" t="str">
        <f>""</f>
        <v/>
      </c>
      <c r="G3157" t="str">
        <f>"頻度不明"</f>
        <v>頻度不明</v>
      </c>
      <c r="H3157" t="str">
        <f>"2002222287533"</f>
        <v>2002222287533</v>
      </c>
      <c r="I3157" t="str">
        <f>HYPERLINK("#", "https://opac.libnet.pref.okayama.jp/licsxp-opac/WOpacMsgNewListToTifTilDetailAction.do?tilcod=2002222287533")</f>
        <v>https://opac.libnet.pref.okayama.jp/licsxp-opac/WOpacMsgNewListToTifTilDetailAction.do?tilcod=2002222287533</v>
      </c>
    </row>
    <row r="3158" spans="1:9" x14ac:dyDescent="0.4">
      <c r="A3158" t="str">
        <f>"〔私立岡山県教育会〕教育会雑誌"</f>
        <v>〔私立岡山県教育会〕教育会雑誌</v>
      </c>
      <c r="B3158" s="1" t="str">
        <f t="shared" si="167"/>
        <v>〔私立岡山県教育会〕教育会雑誌</v>
      </c>
      <c r="C3158" t="str">
        <f>"シリツ　オカヤマケン　キョウイクカイ＊キョウイクカイ　ザッシ"</f>
        <v>シリツ　オカヤマケン　キョウイクカイ＊キョウイクカイ　ザッシ</v>
      </c>
      <c r="D3158" t="str">
        <f>"私立岡山県教育会仮事務所"</f>
        <v>私立岡山県教育会仮事務所</v>
      </c>
      <c r="E3158" t="str">
        <f>"シリツオカヤマケンキョウイクカイカリジムショ"</f>
        <v>シリツオカヤマケンキョウイクカイカリジムショ</v>
      </c>
      <c r="F3158" t="str">
        <f>""</f>
        <v/>
      </c>
      <c r="G3158" t="str">
        <f>"月刊"</f>
        <v>月刊</v>
      </c>
      <c r="H3158" t="str">
        <f>"2002222280993"</f>
        <v>2002222280993</v>
      </c>
      <c r="I3158" t="str">
        <f>HYPERLINK("#", "https://opac.libnet.pref.okayama.jp/licsxp-opac/WOpacMsgNewListToTifTilDetailAction.do?tilcod=2002222280993")</f>
        <v>https://opac.libnet.pref.okayama.jp/licsxp-opac/WOpacMsgNewListToTifTilDetailAction.do?tilcod=2002222280993</v>
      </c>
    </row>
    <row r="3159" spans="1:9" x14ac:dyDescent="0.4">
      <c r="A3159" t="str">
        <f>"［私立小田郡教育会］会報"</f>
        <v>［私立小田郡教育会］会報</v>
      </c>
      <c r="B3159" s="1" t="str">
        <f t="shared" si="167"/>
        <v>［私立小田郡教育会］会報</v>
      </c>
      <c r="C3159" t="str">
        <f>"シリツ　オダグン　キョウイクカイ　カイホウ"</f>
        <v>シリツ　オダグン　キョウイクカイ　カイホウ</v>
      </c>
      <c r="D3159" t="str">
        <f>"私立小田郡教育会"</f>
        <v>私立小田郡教育会</v>
      </c>
      <c r="E3159" t="str">
        <f>"シリツオダグンキョウイクカイ"</f>
        <v>シリツオダグンキョウイクカイ</v>
      </c>
      <c r="F3159" t="str">
        <f>""</f>
        <v/>
      </c>
      <c r="G3159" t="str">
        <f>"頻度不明"</f>
        <v>頻度不明</v>
      </c>
      <c r="H3159" t="str">
        <f>"2002222287543"</f>
        <v>2002222287543</v>
      </c>
      <c r="I3159" t="str">
        <f>HYPERLINK("#", "https://opac.libnet.pref.okayama.jp/licsxp-opac/WOpacMsgNewListToTifTilDetailAction.do?tilcod=2002222287543")</f>
        <v>https://opac.libnet.pref.okayama.jp/licsxp-opac/WOpacMsgNewListToTifTilDetailAction.do?tilcod=2002222287543</v>
      </c>
    </row>
    <row r="3160" spans="1:9" x14ac:dyDescent="0.4">
      <c r="A3160" t="str">
        <f>"［私立勝田郡教育会］会報"</f>
        <v>［私立勝田郡教育会］会報</v>
      </c>
      <c r="B3160" s="1" t="str">
        <f t="shared" si="167"/>
        <v>［私立勝田郡教育会］会報</v>
      </c>
      <c r="C3160" t="str">
        <f>"シリツ　カツタグン　キョウイクカイ　カイホウ"</f>
        <v>シリツ　カツタグン　キョウイクカイ　カイホウ</v>
      </c>
      <c r="D3160" t="str">
        <f>"私立勝田郡教育会"</f>
        <v>私立勝田郡教育会</v>
      </c>
      <c r="E3160" t="str">
        <f>"シリツカツタグンキョウイクカイ"</f>
        <v>シリツカツタグンキョウイクカイ</v>
      </c>
      <c r="F3160" t="str">
        <f>""</f>
        <v/>
      </c>
      <c r="G3160" t="str">
        <f>"頻度不明"</f>
        <v>頻度不明</v>
      </c>
      <c r="H3160" t="str">
        <f>"2002222287553"</f>
        <v>2002222287553</v>
      </c>
      <c r="I3160" t="str">
        <f>HYPERLINK("#", "https://opac.libnet.pref.okayama.jp/licsxp-opac/WOpacMsgNewListToTifTilDetailAction.do?tilcod=2002222287553")</f>
        <v>https://opac.libnet.pref.okayama.jp/licsxp-opac/WOpacMsgNewListToTifTilDetailAction.do?tilcod=2002222287553</v>
      </c>
    </row>
    <row r="3161" spans="1:9" x14ac:dyDescent="0.4">
      <c r="A3161" t="str">
        <f>"〔私立吉備郡教育会〕会誌"</f>
        <v>〔私立吉備郡教育会〕会誌</v>
      </c>
      <c r="B3161" s="1" t="str">
        <f t="shared" si="167"/>
        <v>〔私立吉備郡教育会〕会誌</v>
      </c>
      <c r="C3161" t="str">
        <f>"シリツ　キビグン　キョウイクカイ　カイシ"</f>
        <v>シリツ　キビグン　キョウイクカイ　カイシ</v>
      </c>
      <c r="D3161" t="str">
        <f>"岡山県吉備郡教育会"</f>
        <v>岡山県吉備郡教育会</v>
      </c>
      <c r="E3161" t="str">
        <f>"オカヤマケンキビグンキョウイクカイ"</f>
        <v>オカヤマケンキビグンキョウイクカイ</v>
      </c>
      <c r="F3161" t="str">
        <f>""</f>
        <v/>
      </c>
      <c r="G3161" t="str">
        <f>"頻度不明"</f>
        <v>頻度不明</v>
      </c>
      <c r="H3161" t="str">
        <f>"2002222287563"</f>
        <v>2002222287563</v>
      </c>
      <c r="I3161" t="str">
        <f>HYPERLINK("#", "https://opac.libnet.pref.okayama.jp/licsxp-opac/WOpacMsgNewListToTifTilDetailAction.do?tilcod=2002222287563")</f>
        <v>https://opac.libnet.pref.okayama.jp/licsxp-opac/WOpacMsgNewListToTifTilDetailAction.do?tilcod=2002222287563</v>
      </c>
    </row>
    <row r="3162" spans="1:9" x14ac:dyDescent="0.4">
      <c r="A3162" t="str">
        <f>"私立後月郡教育会報告書"</f>
        <v>私立後月郡教育会報告書</v>
      </c>
      <c r="B3162" s="1" t="str">
        <f t="shared" si="167"/>
        <v>私立後月郡教育会報告書</v>
      </c>
      <c r="C3162" t="str">
        <f>"シリツ　シツキグン　キョウイクカイ　ホウコクショ"</f>
        <v>シリツ　シツキグン　キョウイクカイ　ホウコクショ</v>
      </c>
      <c r="D3162" t="str">
        <f>"私立後月教育会仮事務所"</f>
        <v>私立後月教育会仮事務所</v>
      </c>
      <c r="E3162" t="str">
        <f>"シリツシツキキョウイクカイカリジムショ"</f>
        <v>シリツシツキキョウイクカイカリジムショ</v>
      </c>
      <c r="F3162" t="str">
        <f>""</f>
        <v/>
      </c>
      <c r="G3162" t="str">
        <f>"頻度不明"</f>
        <v>頻度不明</v>
      </c>
      <c r="H3162" t="str">
        <f>"2002222287573"</f>
        <v>2002222287573</v>
      </c>
      <c r="I3162" t="str">
        <f>HYPERLINK("#", "https://opac.libnet.pref.okayama.jp/licsxp-opac/WOpacMsgNewListToTifTilDetailAction.do?tilcod=2002222287573")</f>
        <v>https://opac.libnet.pref.okayama.jp/licsxp-opac/WOpacMsgNewListToTifTilDetailAction.do?tilcod=2002222287573</v>
      </c>
    </row>
    <row r="3163" spans="1:9" x14ac:dyDescent="0.4">
      <c r="A3163" t="str">
        <f>"〔私立上道郡教育会〕会報"</f>
        <v>〔私立上道郡教育会〕会報</v>
      </c>
      <c r="B3163" s="1" t="str">
        <f t="shared" si="167"/>
        <v>〔私立上道郡教育会〕会報</v>
      </c>
      <c r="C3163" t="str">
        <f>"シリツ　ジョウトウグン　キョウイクカイ　カイホウ"</f>
        <v>シリツ　ジョウトウグン　キョウイクカイ　カイホウ</v>
      </c>
      <c r="D3163" t="str">
        <f>"私立上道郡教育会"</f>
        <v>私立上道郡教育会</v>
      </c>
      <c r="E3163" t="str">
        <f>"シリツジョウトウグンキョウイクカイ"</f>
        <v>シリツジョウトウグンキョウイクカイ</v>
      </c>
      <c r="F3163" t="str">
        <f>""</f>
        <v/>
      </c>
      <c r="G3163" t="str">
        <f>"頻度不明"</f>
        <v>頻度不明</v>
      </c>
      <c r="H3163" t="str">
        <f>"2002222287583"</f>
        <v>2002222287583</v>
      </c>
      <c r="I3163" t="str">
        <f>HYPERLINK("#", "https://opac.libnet.pref.okayama.jp/licsxp-opac/WOpacMsgNewListToTifTilDetailAction.do?tilcod=2002222287583")</f>
        <v>https://opac.libnet.pref.okayama.jp/licsxp-opac/WOpacMsgNewListToTifTilDetailAction.do?tilcod=2002222287583</v>
      </c>
    </row>
    <row r="3164" spans="1:9" x14ac:dyDescent="0.4">
      <c r="A3164" t="str">
        <f>"史林"</f>
        <v>史林</v>
      </c>
      <c r="B3164" s="1" t="str">
        <f t="shared" si="167"/>
        <v>史林</v>
      </c>
      <c r="C3164" t="str">
        <f>"シリン"</f>
        <v>シリン</v>
      </c>
      <c r="D3164" t="str">
        <f>"高梁高等学校歴史部"</f>
        <v>高梁高等学校歴史部</v>
      </c>
      <c r="E3164" t="str">
        <f>"タカハシコウトウガッコウレキシブ"</f>
        <v>タカハシコウトウガッコウレキシブ</v>
      </c>
      <c r="F3164" t="str">
        <f>""</f>
        <v/>
      </c>
      <c r="G3164" t="str">
        <f>"年刊"</f>
        <v>年刊</v>
      </c>
      <c r="H3164" t="str">
        <f>"2002222287593"</f>
        <v>2002222287593</v>
      </c>
      <c r="I3164" t="str">
        <f>HYPERLINK("#", "https://opac.libnet.pref.okayama.jp/licsxp-opac/WOpacMsgNewListToTifTilDetailAction.do?tilcod=2002222287593")</f>
        <v>https://opac.libnet.pref.okayama.jp/licsxp-opac/WOpacMsgNewListToTifTilDetailAction.do?tilcod=2002222287593</v>
      </c>
    </row>
    <row r="3165" spans="1:9" x14ac:dyDescent="0.4">
      <c r="A3165" t="str">
        <f>"シルバーあかいわ"</f>
        <v>シルバーあかいわ</v>
      </c>
      <c r="B3165" s="1" t="str">
        <f t="shared" si="167"/>
        <v>シルバーあかいわ</v>
      </c>
      <c r="C3165" t="str">
        <f>"シルバー　アカイワ"</f>
        <v>シルバー　アカイワ</v>
      </c>
      <c r="D3165" t="str">
        <f>"赤磐市シルバー人材センター"</f>
        <v>赤磐市シルバー人材センター</v>
      </c>
      <c r="E3165" t="str">
        <f>"アカイワシシルバージンザイセンター"</f>
        <v>アカイワシシルバージンザイセンター</v>
      </c>
      <c r="F3165" t="str">
        <f>"赤磐"</f>
        <v>赤磐</v>
      </c>
      <c r="G3165" t="str">
        <f>"年２回刊"</f>
        <v>年２回刊</v>
      </c>
      <c r="H3165" t="str">
        <f>"2002222301343"</f>
        <v>2002222301343</v>
      </c>
      <c r="I3165" t="str">
        <f>HYPERLINK("#", "https://opac.libnet.pref.okayama.jp/licsxp-opac/WOpacMsgNewListToTifTilDetailAction.do?tilcod=2002222301343")</f>
        <v>https://opac.libnet.pref.okayama.jp/licsxp-opac/WOpacMsgNewListToTifTilDetailAction.do?tilcod=2002222301343</v>
      </c>
    </row>
    <row r="3166" spans="1:9" x14ac:dyDescent="0.4">
      <c r="A3166" t="str">
        <f>"シルバーいばら"</f>
        <v>シルバーいばら</v>
      </c>
      <c r="B3166" s="1" t="str">
        <f t="shared" si="167"/>
        <v>シルバーいばら</v>
      </c>
      <c r="C3166" t="str">
        <f>"シルバー　イバラ"</f>
        <v>シルバー　イバラ</v>
      </c>
      <c r="D3166" t="str">
        <f>"井原市シルバー人材センター"</f>
        <v>井原市シルバー人材センター</v>
      </c>
      <c r="E3166" t="str">
        <f>"イバラシシルバージンザイセンター"</f>
        <v>イバラシシルバージンザイセンター</v>
      </c>
      <c r="F3166" t="str">
        <f>"井原"</f>
        <v>井原</v>
      </c>
      <c r="G3166" t="str">
        <f>"年２回刊"</f>
        <v>年２回刊</v>
      </c>
      <c r="H3166" t="str">
        <f>"2002222282491"</f>
        <v>2002222282491</v>
      </c>
      <c r="I3166" t="str">
        <f>HYPERLINK("#", "https://opac.libnet.pref.okayama.jp/licsxp-opac/WOpacMsgNewListToTifTilDetailAction.do?tilcod=2002222282491")</f>
        <v>https://opac.libnet.pref.okayama.jp/licsxp-opac/WOpacMsgNewListToTifTilDetailAction.do?tilcod=2002222282491</v>
      </c>
    </row>
    <row r="3167" spans="1:9" x14ac:dyDescent="0.4">
      <c r="A3167" t="str">
        <f>"シルバー情報おかやま"</f>
        <v>シルバー情報おかやま</v>
      </c>
      <c r="B3167" s="1" t="str">
        <f t="shared" si="167"/>
        <v>シルバー情報おかやま</v>
      </c>
      <c r="C3167" t="str">
        <f>"シルバー　ジョウホウ　オカヤマ"</f>
        <v>シルバー　ジョウホウ　オカヤマ</v>
      </c>
      <c r="D3167" t="str">
        <f>"岡山県高齢者サービス相談センター"</f>
        <v>岡山県高齢者サービス相談センター</v>
      </c>
      <c r="E3167" t="str">
        <f>"オカヤマケン コウレイシャ サービス ソウダン センター"</f>
        <v>オカヤマケン コウレイシャ サービス ソウダン センター</v>
      </c>
      <c r="F3167" t="str">
        <f>""</f>
        <v/>
      </c>
      <c r="G3167" t="str">
        <f>"頻度不明"</f>
        <v>頻度不明</v>
      </c>
      <c r="H3167" t="str">
        <f>"2002222287603"</f>
        <v>2002222287603</v>
      </c>
      <c r="I3167" t="str">
        <f>HYPERLINK("#", "https://opac.libnet.pref.okayama.jp/licsxp-opac/WOpacMsgNewListToTifTilDetailAction.do?tilcod=2002222287603")</f>
        <v>https://opac.libnet.pref.okayama.jp/licsxp-opac/WOpacMsgNewListToTifTilDetailAction.do?tilcod=2002222287603</v>
      </c>
    </row>
    <row r="3168" spans="1:9" x14ac:dyDescent="0.4">
      <c r="A3168" t="str">
        <f>"シルバー総社"</f>
        <v>シルバー総社</v>
      </c>
      <c r="B3168" s="1" t="str">
        <f t="shared" si="167"/>
        <v>シルバー総社</v>
      </c>
      <c r="C3168" t="str">
        <f>"シルバー　ソウジャ"</f>
        <v>シルバー　ソウジャ</v>
      </c>
      <c r="D3168" t="str">
        <f>"総社市シルバー人材センター"</f>
        <v>総社市シルバー人材センター</v>
      </c>
      <c r="E3168" t="str">
        <f>"ソウジャシシルバージンザイセンター"</f>
        <v>ソウジャシシルバージンザイセンター</v>
      </c>
      <c r="F3168" t="str">
        <f>"総社"</f>
        <v>総社</v>
      </c>
      <c r="G3168" t="str">
        <f>"頻度不明"</f>
        <v>頻度不明</v>
      </c>
      <c r="H3168" t="str">
        <f>"2002222293941"</f>
        <v>2002222293941</v>
      </c>
      <c r="I3168" t="str">
        <f>HYPERLINK("#", "https://opac.libnet.pref.okayama.jp/licsxp-opac/WOpacMsgNewListToTifTilDetailAction.do?tilcod=2002222293941")</f>
        <v>https://opac.libnet.pref.okayama.jp/licsxp-opac/WOpacMsgNewListToTifTilDetailAction.do?tilcod=2002222293941</v>
      </c>
    </row>
    <row r="3169" spans="1:9" x14ac:dyDescent="0.4">
      <c r="A3169" t="str">
        <f>"シルバーだより"</f>
        <v>シルバーだより</v>
      </c>
      <c r="B3169" s="1" t="str">
        <f t="shared" si="167"/>
        <v>シルバーだより</v>
      </c>
      <c r="C3169" t="str">
        <f>"シルバー ダヨリ"</f>
        <v>シルバー ダヨリ</v>
      </c>
      <c r="D3169" t="str">
        <f>"美作市シルバー人材センター"</f>
        <v>美作市シルバー人材センター</v>
      </c>
      <c r="E3169" t="str">
        <f>"ミマサカシ シルバー ジンザイ センター"</f>
        <v>ミマサカシ シルバー ジンザイ センター</v>
      </c>
      <c r="F3169" t="str">
        <f>"美作"</f>
        <v>美作</v>
      </c>
      <c r="G3169" t="str">
        <f>"頻度不明"</f>
        <v>頻度不明</v>
      </c>
      <c r="H3169" t="str">
        <f>"2002222326106"</f>
        <v>2002222326106</v>
      </c>
      <c r="I3169" t="str">
        <f>HYPERLINK("#", "https://opac.libnet.pref.okayama.jp/licsxp-opac/WOpacMsgNewListToTifTilDetailAction.do?tilcod=2002222326106")</f>
        <v>https://opac.libnet.pref.okayama.jp/licsxp-opac/WOpacMsgNewListToTifTilDetailAction.do?tilcod=2002222326106</v>
      </c>
    </row>
    <row r="3170" spans="1:9" x14ac:dyDescent="0.4">
      <c r="A3170" t="str">
        <f>"シルバーはやしま"</f>
        <v>シルバーはやしま</v>
      </c>
      <c r="B3170" s="1" t="str">
        <f t="shared" si="167"/>
        <v>シルバーはやしま</v>
      </c>
      <c r="C3170" t="str">
        <f>"シルバー　ハヤシマ"</f>
        <v>シルバー　ハヤシマ</v>
      </c>
      <c r="D3170" t="str">
        <f>"早島町シルバー人材センター"</f>
        <v>早島町シルバー人材センター</v>
      </c>
      <c r="E3170" t="str">
        <f>"ハヤシマチョウシルバージンザイセンター"</f>
        <v>ハヤシマチョウシルバージンザイセンター</v>
      </c>
      <c r="F3170" t="str">
        <f>"早島町（都窪郡）"</f>
        <v>早島町（都窪郡）</v>
      </c>
      <c r="G3170" t="str">
        <f>"不定期刊"</f>
        <v>不定期刊</v>
      </c>
      <c r="H3170" t="str">
        <f>"2002222301344"</f>
        <v>2002222301344</v>
      </c>
      <c r="I3170" t="str">
        <f>HYPERLINK("#", "https://opac.libnet.pref.okayama.jp/licsxp-opac/WOpacMsgNewListToTifTilDetailAction.do?tilcod=2002222301344")</f>
        <v>https://opac.libnet.pref.okayama.jp/licsxp-opac/WOpacMsgNewListToTifTilDetailAction.do?tilcod=2002222301344</v>
      </c>
    </row>
    <row r="3171" spans="1:9" x14ac:dyDescent="0.4">
      <c r="A3171" t="str">
        <f>"シルバーまにわ"</f>
        <v>シルバーまにわ</v>
      </c>
      <c r="B3171" s="1" t="str">
        <f t="shared" si="167"/>
        <v>シルバーまにわ</v>
      </c>
      <c r="C3171" t="str">
        <f>"シルバー マニワ"</f>
        <v>シルバー マニワ</v>
      </c>
      <c r="D3171" t="str">
        <f>"真庭市シルバー人材センター"</f>
        <v>真庭市シルバー人材センター</v>
      </c>
      <c r="E3171" t="str">
        <f>"マニワシ シルバー ジンザイ センター"</f>
        <v>マニワシ シルバー ジンザイ センター</v>
      </c>
      <c r="F3171" t="str">
        <f>"真庭"</f>
        <v>真庭</v>
      </c>
      <c r="G3171" t="str">
        <f>"季刊"</f>
        <v>季刊</v>
      </c>
      <c r="H3171" t="str">
        <f>"2002222334970"</f>
        <v>2002222334970</v>
      </c>
      <c r="I3171" t="str">
        <f>HYPERLINK("#", "https://opac.libnet.pref.okayama.jp/licsxp-opac/WOpacMsgNewListToTifTilDetailAction.do?tilcod=2002222334970")</f>
        <v>https://opac.libnet.pref.okayama.jp/licsxp-opac/WOpacMsgNewListToTifTilDetailAction.do?tilcod=2002222334970</v>
      </c>
    </row>
    <row r="3172" spans="1:9" x14ac:dyDescent="0.4">
      <c r="A3172" t="str">
        <f>"城内（しろうち）かわら版"</f>
        <v>城内（しろうち）かわら版</v>
      </c>
      <c r="B3172" s="1" t="str">
        <f t="shared" si="167"/>
        <v>城内（しろうち）かわら版</v>
      </c>
      <c r="C3172" t="str">
        <f>"シロウチ　カワラバン"</f>
        <v>シロウチ　カワラバン</v>
      </c>
      <c r="D3172" t="str">
        <f>"石山倶楽部・城内かわら版プロジェクトチーム"</f>
        <v>石山倶楽部・城内かわら版プロジェクトチーム</v>
      </c>
      <c r="E3172" t="str">
        <f>"イシヤマ　クラブ　シロウチ　カワラバン　プロジェクト　チーム"</f>
        <v>イシヤマ　クラブ　シロウチ　カワラバン　プロジェクト　チーム</v>
      </c>
      <c r="F3172" t="str">
        <f>""</f>
        <v/>
      </c>
      <c r="G3172" t="str">
        <f>"頻度不明"</f>
        <v>頻度不明</v>
      </c>
      <c r="H3172" t="str">
        <f>"2002222287613"</f>
        <v>2002222287613</v>
      </c>
      <c r="I3172" t="str">
        <f>HYPERLINK("#", "https://opac.libnet.pref.okayama.jp/licsxp-opac/WOpacMsgNewListToTifTilDetailAction.do?tilcod=2002222287613")</f>
        <v>https://opac.libnet.pref.okayama.jp/licsxp-opac/WOpacMsgNewListToTifTilDetailAction.do?tilcod=2002222287613</v>
      </c>
    </row>
    <row r="3173" spans="1:9" x14ac:dyDescent="0.4">
      <c r="A3173" t="str">
        <f>"白蝶"</f>
        <v>白蝶</v>
      </c>
      <c r="B3173" s="1" t="str">
        <f t="shared" si="167"/>
        <v>白蝶</v>
      </c>
      <c r="C3173" t="str">
        <f>"シロチョウ"</f>
        <v>シロチョウ</v>
      </c>
      <c r="D3173" t="str">
        <f>"田村萱山"</f>
        <v>田村萱山</v>
      </c>
      <c r="E3173" t="str">
        <f>"タムラケンザン"</f>
        <v>タムラケンザン</v>
      </c>
      <c r="F3173" t="str">
        <f>""</f>
        <v/>
      </c>
      <c r="G3173" t="str">
        <f>"頻度不明"</f>
        <v>頻度不明</v>
      </c>
      <c r="H3173" t="str">
        <f>"2002222280994"</f>
        <v>2002222280994</v>
      </c>
      <c r="I3173" t="str">
        <f>HYPERLINK("#", "https://opac.libnet.pref.okayama.jp/licsxp-opac/WOpacMsgNewListToTifTilDetailAction.do?tilcod=2002222280994")</f>
        <v>https://opac.libnet.pref.okayama.jp/licsxp-opac/WOpacMsgNewListToTifTilDetailAction.do?tilcod=2002222280994</v>
      </c>
    </row>
    <row r="3174" spans="1:9" x14ac:dyDescent="0.4">
      <c r="A3174" t="str">
        <f>"白ばら岡山"</f>
        <v>白ばら岡山</v>
      </c>
      <c r="B3174" s="1" t="str">
        <f t="shared" si="167"/>
        <v>白ばら岡山</v>
      </c>
      <c r="C3174" t="str">
        <f>"シロバラ　オカヤマ"</f>
        <v>シロバラ　オカヤマ</v>
      </c>
      <c r="D3174" t="str">
        <f>"明るい選挙推進岡山県連合会"</f>
        <v>明るい選挙推進岡山県連合会</v>
      </c>
      <c r="E3174" t="str">
        <f>"アカルイ センキョ スイシン オカヤマケン レンゴウカイ"</f>
        <v>アカルイ センキョ スイシン オカヤマケン レンゴウカイ</v>
      </c>
      <c r="F3174" t="str">
        <f>"〔岡山〕"</f>
        <v>〔岡山〕</v>
      </c>
      <c r="G3174" t="str">
        <f>"年刊"</f>
        <v>年刊</v>
      </c>
      <c r="H3174" t="str">
        <f>"2002222300793"</f>
        <v>2002222300793</v>
      </c>
      <c r="I3174" t="str">
        <f>HYPERLINK("#", "https://opac.libnet.pref.okayama.jp/licsxp-opac/WOpacMsgNewListToTifTilDetailAction.do?tilcod=2002222300793")</f>
        <v>https://opac.libnet.pref.okayama.jp/licsxp-opac/WOpacMsgNewListToTifTilDetailAction.do?tilcod=2002222300793</v>
      </c>
    </row>
    <row r="3175" spans="1:9" x14ac:dyDescent="0.4">
      <c r="A3175" t="str">
        <f>"城山"</f>
        <v>城山</v>
      </c>
      <c r="B3175" s="1" t="str">
        <f t="shared" si="167"/>
        <v>城山</v>
      </c>
      <c r="C3175" t="str">
        <f>"シロヤマ"</f>
        <v>シロヤマ</v>
      </c>
      <c r="D3175" t="str">
        <f>"早島町文芸研究会"</f>
        <v>早島町文芸研究会</v>
      </c>
      <c r="E3175" t="str">
        <f>"ハヤシマチョウブンゲイケンキュウカイ"</f>
        <v>ハヤシマチョウブンゲイケンキュウカイ</v>
      </c>
      <c r="F3175" t="str">
        <f>""</f>
        <v/>
      </c>
      <c r="G3175" t="str">
        <f>"不定期刊"</f>
        <v>不定期刊</v>
      </c>
      <c r="H3175" t="str">
        <f>"2002222287623"</f>
        <v>2002222287623</v>
      </c>
      <c r="I3175" t="str">
        <f>HYPERLINK("#", "https://opac.libnet.pref.okayama.jp/licsxp-opac/WOpacMsgNewListToTifTilDetailAction.do?tilcod=2002222287623")</f>
        <v>https://opac.libnet.pref.okayama.jp/licsxp-opac/WOpacMsgNewListToTifTilDetailAction.do?tilcod=2002222287623</v>
      </c>
    </row>
    <row r="3176" spans="1:9" x14ac:dyDescent="0.4">
      <c r="A3176" t="str">
        <f>"新光明"</f>
        <v>新光明</v>
      </c>
      <c r="B3176" s="1" t="str">
        <f t="shared" si="167"/>
        <v>新光明</v>
      </c>
      <c r="C3176" t="str">
        <f>"シン コウミョウ"</f>
        <v>シン コウミョウ</v>
      </c>
      <c r="D3176" t="str">
        <f>"景山 定四郎"</f>
        <v>景山 定四郎</v>
      </c>
      <c r="E3176" t="str">
        <f>"カゲヤマ テイシロウ"</f>
        <v>カゲヤマ テイシロウ</v>
      </c>
      <c r="F3176" t="str">
        <f>"金川町（御津郡）"</f>
        <v>金川町（御津郡）</v>
      </c>
      <c r="G3176" t="str">
        <f>"頻度不明"</f>
        <v>頻度不明</v>
      </c>
      <c r="H3176" t="str">
        <f>"2002222328326"</f>
        <v>2002222328326</v>
      </c>
      <c r="I3176" t="str">
        <f>HYPERLINK("#", "https://opac.libnet.pref.okayama.jp/licsxp-opac/WOpacMsgNewListToTifTilDetailAction.do?tilcod=2002222328326")</f>
        <v>https://opac.libnet.pref.okayama.jp/licsxp-opac/WOpacMsgNewListToTifTilDetailAction.do?tilcod=2002222328326</v>
      </c>
    </row>
    <row r="3177" spans="1:9" x14ac:dyDescent="0.4">
      <c r="A3177" t="str">
        <f>"新日本"</f>
        <v>新日本</v>
      </c>
      <c r="B3177" s="1" t="str">
        <f t="shared" si="167"/>
        <v>新日本</v>
      </c>
      <c r="C3177" t="str">
        <f>"シン　ニホン"</f>
        <v>シン　ニホン</v>
      </c>
      <c r="D3177" t="str">
        <f>"新日本社"</f>
        <v>新日本社</v>
      </c>
      <c r="E3177" t="str">
        <f>"シンニホンシャ"</f>
        <v>シンニホンシャ</v>
      </c>
      <c r="F3177" t="str">
        <f>"岡山"</f>
        <v>岡山</v>
      </c>
      <c r="G3177" t="str">
        <f>"月２回刊"</f>
        <v>月２回刊</v>
      </c>
      <c r="H3177" t="str">
        <f>"2002222300924"</f>
        <v>2002222300924</v>
      </c>
      <c r="I3177" t="str">
        <f>HYPERLINK("#", "https://opac.libnet.pref.okayama.jp/licsxp-opac/WOpacMsgNewListToTifTilDetailAction.do?tilcod=2002222300924")</f>
        <v>https://opac.libnet.pref.okayama.jp/licsxp-opac/WOpacMsgNewListToTifTilDetailAction.do?tilcod=2002222300924</v>
      </c>
    </row>
    <row r="3178" spans="1:9" x14ac:dyDescent="0.4">
      <c r="A3178" t="str">
        <f>"新婦人おかやま；新婦人岡山県本部ニュース"</f>
        <v>新婦人おかやま；新婦人岡山県本部ニュース</v>
      </c>
      <c r="B3178" s="1" t="str">
        <f t="shared" si="167"/>
        <v>新婦人おかやま；新婦人岡山県本部ニュース</v>
      </c>
      <c r="C3178" t="str">
        <f>"シン　フジン　オカヤマ＊シン　フジン　オカヤマケンホンブ　ニュース"</f>
        <v>シン　フジン　オカヤマ＊シン　フジン　オカヤマケンホンブ　ニュース</v>
      </c>
      <c r="D3178" t="str">
        <f>"新日本婦人の会岡山県本部"</f>
        <v>新日本婦人の会岡山県本部</v>
      </c>
      <c r="E3178" t="str">
        <f>"シンニホンフジンノカイオカヤマケンホンブ"</f>
        <v>シンニホンフジンノカイオカヤマケンホンブ</v>
      </c>
      <c r="F3178" t="str">
        <f>"岡山"</f>
        <v>岡山</v>
      </c>
      <c r="G3178" t="str">
        <f>"頻度不明"</f>
        <v>頻度不明</v>
      </c>
      <c r="H3178" t="str">
        <f>"2002222300925"</f>
        <v>2002222300925</v>
      </c>
      <c r="I3178" t="str">
        <f>HYPERLINK("#", "https://opac.libnet.pref.okayama.jp/licsxp-opac/WOpacMsgNewListToTifTilDetailAction.do?tilcod=2002222300925")</f>
        <v>https://opac.libnet.pref.okayama.jp/licsxp-opac/WOpacMsgNewListToTifTilDetailAction.do?tilcod=2002222300925</v>
      </c>
    </row>
    <row r="3179" spans="1:9" x14ac:dyDescent="0.4">
      <c r="A3179" t="str">
        <f>"新音楽 岡山版"</f>
        <v>新音楽 岡山版</v>
      </c>
      <c r="B3179" s="1" t="str">
        <f t="shared" si="167"/>
        <v>新音楽 岡山版</v>
      </c>
      <c r="C3179" t="str">
        <f>"シンオンガク オカヤマバン"</f>
        <v>シンオンガク オカヤマバン</v>
      </c>
      <c r="D3179" t="str">
        <f>"岡山勤労者音楽協議会"</f>
        <v>岡山勤労者音楽協議会</v>
      </c>
      <c r="E3179" t="str">
        <f>"オカヤマキンロウシャオンガクキョウギカイ"</f>
        <v>オカヤマキンロウシャオンガクキョウギカイ</v>
      </c>
      <c r="F3179" t="str">
        <f>""</f>
        <v/>
      </c>
      <c r="G3179" t="str">
        <f>"月刊"</f>
        <v>月刊</v>
      </c>
      <c r="H3179" t="str">
        <f>"2002222287633"</f>
        <v>2002222287633</v>
      </c>
      <c r="I3179" t="str">
        <f>HYPERLINK("#", "https://opac.libnet.pref.okayama.jp/licsxp-opac/WOpacMsgNewListToTifTilDetailAction.do?tilcod=2002222287633")</f>
        <v>https://opac.libnet.pref.okayama.jp/licsxp-opac/WOpacMsgNewListToTifTilDetailAction.do?tilcod=2002222287633</v>
      </c>
    </row>
    <row r="3180" spans="1:9" x14ac:dyDescent="0.4">
      <c r="A3180" t="str">
        <f>"晨暉"</f>
        <v>晨暉</v>
      </c>
      <c r="B3180" s="1" t="str">
        <f t="shared" si="167"/>
        <v>晨暉</v>
      </c>
      <c r="C3180" t="str">
        <f>"シンキ"</f>
        <v>シンキ</v>
      </c>
      <c r="D3180" t="str">
        <f>"岡山白陵中学校・岡山白陵高等学校"</f>
        <v>岡山白陵中学校・岡山白陵高等学校</v>
      </c>
      <c r="E3180" t="str">
        <f>"オカヤマ ハクリョウ チュウガッコウ オカヤマ ハクリョウ コウトウ ガッコウ"</f>
        <v>オカヤマ ハクリョウ チュウガッコウ オカヤマ ハクリョウ コウトウ ガッコウ</v>
      </c>
      <c r="F3180" t="str">
        <f>"赤磐"</f>
        <v>赤磐</v>
      </c>
      <c r="G3180" t="str">
        <f>"年刊"</f>
        <v>年刊</v>
      </c>
      <c r="H3180" t="str">
        <f>"2002222300452"</f>
        <v>2002222300452</v>
      </c>
      <c r="I3180" t="str">
        <f>HYPERLINK("#", "https://opac.libnet.pref.okayama.jp/licsxp-opac/WOpacMsgNewListToTifTilDetailAction.do?tilcod=2002222300452")</f>
        <v>https://opac.libnet.pref.okayama.jp/licsxp-opac/WOpacMsgNewListToTifTilDetailAction.do?tilcod=2002222300452</v>
      </c>
    </row>
    <row r="3181" spans="1:9" x14ac:dyDescent="0.4">
      <c r="A3181" t="str">
        <f>"Ｓｙｎｃ．（シンク）"</f>
        <v>Ｓｙｎｃ．（シンク）</v>
      </c>
      <c r="B3181" s="1" t="str">
        <f t="shared" si="167"/>
        <v>Ｓｙｎｃ．（シンク）</v>
      </c>
      <c r="C3181" t="str">
        <f>"シンク"</f>
        <v>シンク</v>
      </c>
      <c r="D3181" t="str">
        <f>"アス"</f>
        <v>アス</v>
      </c>
      <c r="E3181" t="str">
        <f>"アス"</f>
        <v>アス</v>
      </c>
      <c r="F3181" t="str">
        <f>"岡山市"</f>
        <v>岡山市</v>
      </c>
      <c r="G3181" t="str">
        <f>"季刊"</f>
        <v>季刊</v>
      </c>
      <c r="H3181" t="str">
        <f>"2002222284381"</f>
        <v>2002222284381</v>
      </c>
      <c r="I3181" t="str">
        <f>HYPERLINK("#", "https://opac.libnet.pref.okayama.jp/licsxp-opac/WOpacMsgNewListToTifTilDetailAction.do?tilcod=2002222284381")</f>
        <v>https://opac.libnet.pref.okayama.jp/licsxp-opac/WOpacMsgNewListToTifTilDetailAction.do?tilcod=2002222284381</v>
      </c>
    </row>
    <row r="3182" spans="1:9" x14ac:dyDescent="0.4">
      <c r="A3182" t="str">
        <f>"人権尊重の会だより"</f>
        <v>人権尊重の会だより</v>
      </c>
      <c r="B3182" s="1" t="str">
        <f t="shared" si="167"/>
        <v>人権尊重の会だより</v>
      </c>
      <c r="C3182" t="str">
        <f>"ジンケン ソウチョウ ノ カイ ダヨリ"</f>
        <v>ジンケン ソウチョウ ノ カイ ダヨリ</v>
      </c>
      <c r="D3182" t="str">
        <f>"津山市人権尊重の教育推進協議会"</f>
        <v>津山市人権尊重の教育推進協議会</v>
      </c>
      <c r="E3182" t="str">
        <f>"ツヤマシ ジンケン ソンチョウ ノ キョウイク スイシン キョウギカイ"</f>
        <v>ツヤマシ ジンケン ソンチョウ ノ キョウイク スイシン キョウギカイ</v>
      </c>
      <c r="F3182" t="str">
        <f>"津山"</f>
        <v>津山</v>
      </c>
      <c r="G3182" t="str">
        <f>"年刊"</f>
        <v>年刊</v>
      </c>
      <c r="H3182" t="str">
        <f>"2002222344070"</f>
        <v>2002222344070</v>
      </c>
      <c r="I3182" t="str">
        <f>HYPERLINK("#", "https://opac.libnet.pref.okayama.jp/licsxp-opac/WOpacMsgNewListToTifTilDetailAction.do?tilcod=2002222344070")</f>
        <v>https://opac.libnet.pref.okayama.jp/licsxp-opac/WOpacMsgNewListToTifTilDetailAction.do?tilcod=2002222344070</v>
      </c>
    </row>
    <row r="3183" spans="1:9" x14ac:dyDescent="0.4">
      <c r="A3183" t="str">
        <f>"人権だより ぬくもり"</f>
        <v>人権だより ぬくもり</v>
      </c>
      <c r="B3183" s="1" t="str">
        <f t="shared" si="167"/>
        <v>人権だより ぬくもり</v>
      </c>
      <c r="C3183" t="str">
        <f>"ジンケン ダヨリ ヌクモリ"</f>
        <v>ジンケン ダヨリ ヌクモリ</v>
      </c>
      <c r="D3183" t="str">
        <f>"倉敷市立東陽中学校区人権学習推進委員会"</f>
        <v>倉敷市立東陽中学校区人権学習推進委員会</v>
      </c>
      <c r="E3183" t="str">
        <f>"クラシキシ トウヨウチュウガッコウク ジンケン ガクシュウ スイシン イインカイ"</f>
        <v>クラシキシ トウヨウチュウガッコウク ジンケン ガクシュウ スイシン イインカイ</v>
      </c>
      <c r="F3183" t="str">
        <f>"倉敷"</f>
        <v>倉敷</v>
      </c>
      <c r="G3183" t="str">
        <f>"年２回刊"</f>
        <v>年２回刊</v>
      </c>
      <c r="H3183" t="str">
        <f>"2002222338353"</f>
        <v>2002222338353</v>
      </c>
      <c r="I3183" t="str">
        <f>HYPERLINK("#", "https://opac.libnet.pref.okayama.jp/licsxp-opac/WOpacMsgNewListToTifTilDetailAction.do?tilcod=2002222338353")</f>
        <v>https://opac.libnet.pref.okayama.jp/licsxp-opac/WOpacMsgNewListToTifTilDetailAction.do?tilcod=2002222338353</v>
      </c>
    </row>
    <row r="3184" spans="1:9" x14ac:dyDescent="0.4">
      <c r="A3184" t="str">
        <f>"人権と社会"</f>
        <v>人権と社会</v>
      </c>
      <c r="B3184" s="1" t="str">
        <f t="shared" si="167"/>
        <v>人権と社会</v>
      </c>
      <c r="C3184" t="str">
        <f>"ジンケン　ト　シャカイ"</f>
        <v>ジンケン　ト　シャカイ</v>
      </c>
      <c r="D3184" t="str">
        <f>"岡山人権問題研究所『人権と社会』編集委員会"</f>
        <v>岡山人権問題研究所『人権と社会』編集委員会</v>
      </c>
      <c r="E3184" t="str">
        <f>"オカヤマジンケンモンダイケンキュウジョジンケントシャカイヘンシュウイインカイ"</f>
        <v>オカヤマジンケンモンダイケンキュウジョジンケントシャカイヘンシュウイインカイ</v>
      </c>
      <c r="F3184" t="str">
        <f>"岡山"</f>
        <v>岡山</v>
      </c>
      <c r="G3184" t="str">
        <f>"年刊"</f>
        <v>年刊</v>
      </c>
      <c r="H3184" t="str">
        <f>"2002222301400"</f>
        <v>2002222301400</v>
      </c>
      <c r="I3184" t="str">
        <f>HYPERLINK("#", "https://opac.libnet.pref.okayama.jp/licsxp-opac/WOpacMsgNewListToTifTilDetailAction.do?tilcod=2002222301400")</f>
        <v>https://opac.libnet.pref.okayama.jp/licsxp-opac/WOpacMsgNewListToTifTilDetailAction.do?tilcod=2002222301400</v>
      </c>
    </row>
    <row r="3185" spans="1:9" x14ac:dyDescent="0.4">
      <c r="A3185" t="str">
        <f>"人権21・調査と研究"</f>
        <v>人権21・調査と研究</v>
      </c>
      <c r="B3185" s="1" t="str">
        <f t="shared" si="167"/>
        <v>人権21・調査と研究</v>
      </c>
      <c r="C3185" t="str">
        <f>"ジンケン　ニジュウイチ　チョウサ　ト　ケンキュウ"</f>
        <v>ジンケン　ニジュウイチ　チョウサ　ト　ケンキュウ</v>
      </c>
      <c r="D3185" t="str">
        <f>"おかやま人権研究センター"</f>
        <v>おかやま人権研究センター</v>
      </c>
      <c r="E3185" t="str">
        <f>"オカヤマジンケンケンキュウセンター"</f>
        <v>オカヤマジンケンケンキュウセンター</v>
      </c>
      <c r="F3185" t="str">
        <f>"岡山"</f>
        <v>岡山</v>
      </c>
      <c r="G3185" t="str">
        <f>"季刊"</f>
        <v>季刊</v>
      </c>
      <c r="H3185" t="str">
        <f>"2002222284602"</f>
        <v>2002222284602</v>
      </c>
      <c r="I3185" t="str">
        <f>HYPERLINK("#", "https://opac.libnet.pref.okayama.jp/licsxp-opac/WOpacMsgNewListToTifTilDetailAction.do?tilcod=2002222284602")</f>
        <v>https://opac.libnet.pref.okayama.jp/licsxp-opac/WOpacMsgNewListToTifTilDetailAction.do?tilcod=2002222284602</v>
      </c>
    </row>
    <row r="3186" spans="1:9" x14ac:dyDescent="0.4">
      <c r="A3186" t="str">
        <f>"しんこう"</f>
        <v>しんこう</v>
      </c>
      <c r="B3186" s="1" t="str">
        <f t="shared" si="167"/>
        <v>しんこう</v>
      </c>
      <c r="C3186" t="str">
        <f>"シンコウ"</f>
        <v>シンコウ</v>
      </c>
      <c r="D3186" t="str">
        <f>"同和振興会"</f>
        <v>同和振興会</v>
      </c>
      <c r="E3186" t="str">
        <f>"ドウワシンコウカイ"</f>
        <v>ドウワシンコウカイ</v>
      </c>
      <c r="F3186" t="str">
        <f>""</f>
        <v/>
      </c>
      <c r="G3186" t="str">
        <f>"頻度不明"</f>
        <v>頻度不明</v>
      </c>
      <c r="H3186" t="str">
        <f>"2002222287653"</f>
        <v>2002222287653</v>
      </c>
      <c r="I3186" t="str">
        <f>HYPERLINK("#", "https://opac.libnet.pref.okayama.jp/licsxp-opac/WOpacMsgNewListToTifTilDetailAction.do?tilcod=2002222287653")</f>
        <v>https://opac.libnet.pref.okayama.jp/licsxp-opac/WOpacMsgNewListToTifTilDetailAction.do?tilcod=2002222287653</v>
      </c>
    </row>
    <row r="3187" spans="1:9" x14ac:dyDescent="0.4">
      <c r="A3187" t="str">
        <f>"人材おかやま"</f>
        <v>人材おかやま</v>
      </c>
      <c r="B3187" s="1" t="str">
        <f t="shared" si="167"/>
        <v>人材おかやま</v>
      </c>
      <c r="C3187" t="str">
        <f>"ジンザイ　オカヤマ"</f>
        <v>ジンザイ　オカヤマ</v>
      </c>
      <c r="D3187" t="str">
        <f>"岡山人材銀行"</f>
        <v>岡山人材銀行</v>
      </c>
      <c r="E3187" t="str">
        <f>"オカヤマジンザイギンコウ"</f>
        <v>オカヤマジンザイギンコウ</v>
      </c>
      <c r="F3187" t="str">
        <f>""</f>
        <v/>
      </c>
      <c r="G3187" t="str">
        <f>"年刊"</f>
        <v>年刊</v>
      </c>
      <c r="H3187" t="str">
        <f>"2002222280484"</f>
        <v>2002222280484</v>
      </c>
      <c r="I3187" t="str">
        <f>HYPERLINK("#", "https://opac.libnet.pref.okayama.jp/licsxp-opac/WOpacMsgNewListToTifTilDetailAction.do?tilcod=2002222280484")</f>
        <v>https://opac.libnet.pref.okayama.jp/licsxp-opac/WOpacMsgNewListToTifTilDetailAction.do?tilcod=2002222280484</v>
      </c>
    </row>
    <row r="3188" spans="1:9" x14ac:dyDescent="0.4">
      <c r="A3188" t="str">
        <f>"人材の広場"</f>
        <v>人材の広場</v>
      </c>
      <c r="B3188" s="1" t="str">
        <f t="shared" si="167"/>
        <v>人材の広場</v>
      </c>
      <c r="C3188" t="str">
        <f>"ジンザイ　ノ　ヒロバ"</f>
        <v>ジンザイ　ノ　ヒロバ</v>
      </c>
      <c r="D3188" t="str">
        <f>"岡山人材銀行"</f>
        <v>岡山人材銀行</v>
      </c>
      <c r="E3188" t="str">
        <f>"オカヤマジンザイギンコウ"</f>
        <v>オカヤマジンザイギンコウ</v>
      </c>
      <c r="F3188" t="str">
        <f>""</f>
        <v/>
      </c>
      <c r="G3188" t="str">
        <f>"年刊"</f>
        <v>年刊</v>
      </c>
      <c r="H3188" t="str">
        <f>"2002222280524"</f>
        <v>2002222280524</v>
      </c>
      <c r="I3188" t="str">
        <f>HYPERLINK("#", "https://opac.libnet.pref.okayama.jp/licsxp-opac/WOpacMsgNewListToTifTilDetailAction.do?tilcod=2002222280524")</f>
        <v>https://opac.libnet.pref.okayama.jp/licsxp-opac/WOpacMsgNewListToTifTilDetailAction.do?tilcod=2002222280524</v>
      </c>
    </row>
    <row r="3189" spans="1:9" x14ac:dyDescent="0.4">
      <c r="A3189" t="str">
        <f>"人事管理"</f>
        <v>人事管理</v>
      </c>
      <c r="B3189" s="1" t="str">
        <f t="shared" si="167"/>
        <v>人事管理</v>
      </c>
      <c r="C3189" t="str">
        <f>"ジンジ　カンリ"</f>
        <v>ジンジ　カンリ</v>
      </c>
      <c r="D3189" t="str">
        <f>"岡山県人事委員会"</f>
        <v>岡山県人事委員会</v>
      </c>
      <c r="E3189" t="str">
        <f>"オカヤマケン ジンジ イインカイ"</f>
        <v>オカヤマケン ジンジ イインカイ</v>
      </c>
      <c r="F3189" t="str">
        <f>""</f>
        <v/>
      </c>
      <c r="G3189" t="str">
        <f t="shared" ref="G3189:G3194" si="168">"頻度不明"</f>
        <v>頻度不明</v>
      </c>
      <c r="H3189" t="str">
        <f>"2002222280534"</f>
        <v>2002222280534</v>
      </c>
      <c r="I3189" t="str">
        <f>HYPERLINK("#", "https://opac.libnet.pref.okayama.jp/licsxp-opac/WOpacMsgNewListToTifTilDetailAction.do?tilcod=2002222280534")</f>
        <v>https://opac.libnet.pref.okayama.jp/licsxp-opac/WOpacMsgNewListToTifTilDetailAction.do?tilcod=2002222280534</v>
      </c>
    </row>
    <row r="3190" spans="1:9" x14ac:dyDescent="0.4">
      <c r="A3190" t="str">
        <f>"新室"</f>
        <v>新室</v>
      </c>
      <c r="B3190" s="1" t="str">
        <f t="shared" si="167"/>
        <v>新室</v>
      </c>
      <c r="C3190" t="str">
        <f>"シンシツ"</f>
        <v>シンシツ</v>
      </c>
      <c r="D3190" t="str">
        <f>"玉島西中学校生徒会"</f>
        <v>玉島西中学校生徒会</v>
      </c>
      <c r="E3190" t="str">
        <f>"タマシマニシチュウガッコウセイトカイ"</f>
        <v>タマシマニシチュウガッコウセイトカイ</v>
      </c>
      <c r="F3190" t="str">
        <f>"倉敷"</f>
        <v>倉敷</v>
      </c>
      <c r="G3190" t="str">
        <f t="shared" si="168"/>
        <v>頻度不明</v>
      </c>
      <c r="H3190" t="str">
        <f>"2002222281101"</f>
        <v>2002222281101</v>
      </c>
      <c r="I3190" t="str">
        <f>HYPERLINK("#", "https://opac.libnet.pref.okayama.jp/licsxp-opac/WOpacMsgNewListToTifTilDetailAction.do?tilcod=2002222281101")</f>
        <v>https://opac.libnet.pref.okayama.jp/licsxp-opac/WOpacMsgNewListToTifTilDetailAction.do?tilcod=2002222281101</v>
      </c>
    </row>
    <row r="3191" spans="1:9" x14ac:dyDescent="0.4">
      <c r="A3191" t="str">
        <f>"新声"</f>
        <v>新声</v>
      </c>
      <c r="B3191" s="1" t="str">
        <f t="shared" si="167"/>
        <v>新声</v>
      </c>
      <c r="C3191" t="str">
        <f>"シンセイ"</f>
        <v>シンセイ</v>
      </c>
      <c r="D3191" t="str">
        <f>"岡山附録新聞社"</f>
        <v>岡山附録新聞社</v>
      </c>
      <c r="E3191" t="str">
        <f>"オカヤマフロクシンブンシャ"</f>
        <v>オカヤマフロクシンブンシャ</v>
      </c>
      <c r="F3191" t="str">
        <f>""</f>
        <v/>
      </c>
      <c r="G3191" t="str">
        <f t="shared" si="168"/>
        <v>頻度不明</v>
      </c>
      <c r="H3191" t="str">
        <f>"2002222280544"</f>
        <v>2002222280544</v>
      </c>
      <c r="I3191" t="str">
        <f>HYPERLINK("#", "https://opac.libnet.pref.okayama.jp/licsxp-opac/WOpacMsgNewListToTifTilDetailAction.do?tilcod=2002222280544")</f>
        <v>https://opac.libnet.pref.okayama.jp/licsxp-opac/WOpacMsgNewListToTifTilDetailAction.do?tilcod=2002222280544</v>
      </c>
    </row>
    <row r="3192" spans="1:9" x14ac:dyDescent="0.4">
      <c r="A3192" t="str">
        <f>"新声時報"</f>
        <v>新声時報</v>
      </c>
      <c r="B3192" s="1" t="str">
        <f t="shared" si="167"/>
        <v>新声時報</v>
      </c>
      <c r="C3192" t="str">
        <f>"シンセイ　ジホウ"</f>
        <v>シンセイ　ジホウ</v>
      </c>
      <c r="D3192" t="str">
        <f>"新声時報社"</f>
        <v>新声時報社</v>
      </c>
      <c r="E3192" t="str">
        <f>"シンセイジホウシャ"</f>
        <v>シンセイジホウシャ</v>
      </c>
      <c r="F3192" t="str">
        <f>""</f>
        <v/>
      </c>
      <c r="G3192" t="str">
        <f t="shared" si="168"/>
        <v>頻度不明</v>
      </c>
      <c r="H3192" t="str">
        <f>"2002222280554"</f>
        <v>2002222280554</v>
      </c>
      <c r="I3192" t="str">
        <f>HYPERLINK("#", "https://opac.libnet.pref.okayama.jp/licsxp-opac/WOpacMsgNewListToTifTilDetailAction.do?tilcod=2002222280554")</f>
        <v>https://opac.libnet.pref.okayama.jp/licsxp-opac/WOpacMsgNewListToTifTilDetailAction.do?tilcod=2002222280554</v>
      </c>
    </row>
    <row r="3193" spans="1:9" x14ac:dyDescent="0.4">
      <c r="A3193" t="str">
        <f>"新雪"</f>
        <v>新雪</v>
      </c>
      <c r="B3193" s="1" t="str">
        <f t="shared" si="167"/>
        <v>新雪</v>
      </c>
      <c r="C3193" t="str">
        <f>"シンセツ"</f>
        <v>シンセツ</v>
      </c>
      <c r="D3193" t="str">
        <f>"倉敷山の会"</f>
        <v>倉敷山の会</v>
      </c>
      <c r="E3193" t="str">
        <f>"クラシキヤマノカイ"</f>
        <v>クラシキヤマノカイ</v>
      </c>
      <c r="F3193" t="str">
        <f>""</f>
        <v/>
      </c>
      <c r="G3193" t="str">
        <f t="shared" si="168"/>
        <v>頻度不明</v>
      </c>
      <c r="H3193" t="str">
        <f>"2002222280564"</f>
        <v>2002222280564</v>
      </c>
      <c r="I3193" t="str">
        <f>HYPERLINK("#", "https://opac.libnet.pref.okayama.jp/licsxp-opac/WOpacMsgNewListToTifTilDetailAction.do?tilcod=2002222280564")</f>
        <v>https://opac.libnet.pref.okayama.jp/licsxp-opac/WOpacMsgNewListToTifTilDetailAction.do?tilcod=2002222280564</v>
      </c>
    </row>
    <row r="3194" spans="1:9" x14ac:dyDescent="0.4">
      <c r="A3194" t="str">
        <f>"志んせつ"</f>
        <v>志んせつ</v>
      </c>
      <c r="B3194" s="1" t="str">
        <f t="shared" si="167"/>
        <v>志んせつ</v>
      </c>
      <c r="C3194" t="str">
        <f>"シンセツ"</f>
        <v>シンセツ</v>
      </c>
      <c r="D3194" t="str">
        <f>"親切運動本部"</f>
        <v>親切運動本部</v>
      </c>
      <c r="E3194" t="str">
        <f>"シンセツ ウンドウ ホンブ"</f>
        <v>シンセツ ウンドウ ホンブ</v>
      </c>
      <c r="F3194" t="str">
        <f t="shared" ref="F3194:F3200" si="169">"岡山"</f>
        <v>岡山</v>
      </c>
      <c r="G3194" t="str">
        <f t="shared" si="168"/>
        <v>頻度不明</v>
      </c>
      <c r="H3194" t="str">
        <f>"2002222331415"</f>
        <v>2002222331415</v>
      </c>
      <c r="I3194" t="str">
        <f>HYPERLINK("#", "https://opac.libnet.pref.okayama.jp/licsxp-opac/WOpacMsgNewListToTifTilDetailAction.do?tilcod=2002222331415")</f>
        <v>https://opac.libnet.pref.okayama.jp/licsxp-opac/WOpacMsgNewListToTifTilDetailAction.do?tilcod=2002222331415</v>
      </c>
    </row>
    <row r="3195" spans="1:9" x14ac:dyDescent="0.4">
      <c r="A3195" t="str">
        <f>"心臓病センター榊原病院雑誌"</f>
        <v>心臓病センター榊原病院雑誌</v>
      </c>
      <c r="B3195" s="1" t="str">
        <f t="shared" si="167"/>
        <v>心臓病センター榊原病院雑誌</v>
      </c>
      <c r="C3195" t="str">
        <f>"シンゾウビョウ　センター　サカキバラ　ビョウイン　ザッシ"</f>
        <v>シンゾウビョウ　センター　サカキバラ　ビョウイン　ザッシ</v>
      </c>
      <c r="D3195" t="str">
        <f>"心臓病センター榊原病院"</f>
        <v>心臓病センター榊原病院</v>
      </c>
      <c r="E3195" t="str">
        <f>"シンゾウビョウ センター サカキバラ ビョウイン"</f>
        <v>シンゾウビョウ センター サカキバラ ビョウイン</v>
      </c>
      <c r="F3195" t="str">
        <f t="shared" si="169"/>
        <v>岡山</v>
      </c>
      <c r="G3195" t="str">
        <f>"年刊"</f>
        <v>年刊</v>
      </c>
      <c r="H3195" t="str">
        <f>"2002222300166"</f>
        <v>2002222300166</v>
      </c>
      <c r="I3195" t="str">
        <f>HYPERLINK("#", "https://opac.libnet.pref.okayama.jp/licsxp-opac/WOpacMsgNewListToTifTilDetailAction.do?tilcod=2002222300166")</f>
        <v>https://opac.libnet.pref.okayama.jp/licsxp-opac/WOpacMsgNewListToTifTilDetailAction.do?tilcod=2002222300166</v>
      </c>
    </row>
    <row r="3196" spans="1:9" x14ac:dyDescent="0.4">
      <c r="A3196" t="str">
        <f>"新天地だより"</f>
        <v>新天地だより</v>
      </c>
      <c r="B3196" s="1" t="str">
        <f t="shared" si="167"/>
        <v>新天地だより</v>
      </c>
      <c r="C3196" t="str">
        <f>"シンテンチ ダヨリ"</f>
        <v>シンテンチ ダヨリ</v>
      </c>
      <c r="D3196" t="str">
        <f>"新天地育児院"</f>
        <v>新天地育児院</v>
      </c>
      <c r="E3196" t="str">
        <f>"シンテンチ イクジイン"</f>
        <v>シンテンチ イクジイン</v>
      </c>
      <c r="F3196" t="str">
        <f t="shared" si="169"/>
        <v>岡山</v>
      </c>
      <c r="G3196" t="str">
        <f>"年刊"</f>
        <v>年刊</v>
      </c>
      <c r="H3196" t="str">
        <f>"2002222325506"</f>
        <v>2002222325506</v>
      </c>
      <c r="I3196" t="str">
        <f>HYPERLINK("#", "https://opac.libnet.pref.okayama.jp/licsxp-opac/WOpacMsgNewListToTifTilDetailAction.do?tilcod=2002222325506")</f>
        <v>https://opac.libnet.pref.okayama.jp/licsxp-opac/WOpacMsgNewListToTifTilDetailAction.do?tilcod=2002222325506</v>
      </c>
    </row>
    <row r="3197" spans="1:9" x14ac:dyDescent="0.4">
      <c r="A3197" t="str">
        <f>"新燈"</f>
        <v>新燈</v>
      </c>
      <c r="B3197" s="1" t="str">
        <f t="shared" si="167"/>
        <v>新燈</v>
      </c>
      <c r="C3197" t="str">
        <f>"シントウ"</f>
        <v>シントウ</v>
      </c>
      <c r="D3197" t="str">
        <f>"新燈社"</f>
        <v>新燈社</v>
      </c>
      <c r="E3197" t="str">
        <f>"シントウシャ"</f>
        <v>シントウシャ</v>
      </c>
      <c r="F3197" t="str">
        <f t="shared" si="169"/>
        <v>岡山</v>
      </c>
      <c r="G3197" t="str">
        <f>"月刊"</f>
        <v>月刊</v>
      </c>
      <c r="H3197" t="str">
        <f>"2002222280574"</f>
        <v>2002222280574</v>
      </c>
      <c r="I3197" t="str">
        <f>HYPERLINK("#", "https://opac.libnet.pref.okayama.jp/licsxp-opac/WOpacMsgNewListToTifTilDetailAction.do?tilcod=2002222280574")</f>
        <v>https://opac.libnet.pref.okayama.jp/licsxp-opac/WOpacMsgNewListToTifTilDetailAction.do?tilcod=2002222280574</v>
      </c>
    </row>
    <row r="3198" spans="1:9" x14ac:dyDescent="0.4">
      <c r="A3198" t="str">
        <f>"新日協おかやま"</f>
        <v>新日協おかやま</v>
      </c>
      <c r="B3198" s="1" t="str">
        <f t="shared" si="167"/>
        <v>新日協おかやま</v>
      </c>
      <c r="C3198" t="str">
        <f>"シンニチキョウ　オカヤマ"</f>
        <v>シンニチキョウ　オカヤマ</v>
      </c>
      <c r="D3198" t="str">
        <f>"新日本協議会岡山県連合支部"</f>
        <v>新日本協議会岡山県連合支部</v>
      </c>
      <c r="E3198" t="str">
        <f>"シンニホンキョウギカイオカヤマケンレンゴウシブ"</f>
        <v>シンニホンキョウギカイオカヤマケンレンゴウシブ</v>
      </c>
      <c r="F3198" t="str">
        <f t="shared" si="169"/>
        <v>岡山</v>
      </c>
      <c r="G3198" t="str">
        <f>"月刊"</f>
        <v>月刊</v>
      </c>
      <c r="H3198" t="str">
        <f>"2002222300920"</f>
        <v>2002222300920</v>
      </c>
      <c r="I3198" t="str">
        <f>HYPERLINK("#", "https://opac.libnet.pref.okayama.jp/licsxp-opac/WOpacMsgNewListToTifTilDetailAction.do?tilcod=2002222300920")</f>
        <v>https://opac.libnet.pref.okayama.jp/licsxp-opac/WOpacMsgNewListToTifTilDetailAction.do?tilcod=2002222300920</v>
      </c>
    </row>
    <row r="3199" spans="1:9" x14ac:dyDescent="0.4">
      <c r="A3199" t="str">
        <f>"人物タイムス"</f>
        <v>人物タイムス</v>
      </c>
      <c r="B3199" s="1" t="str">
        <f t="shared" si="167"/>
        <v>人物タイムス</v>
      </c>
      <c r="C3199" t="str">
        <f>"ジンブツ　タイムス"</f>
        <v>ジンブツ　タイムス</v>
      </c>
      <c r="D3199" t="str">
        <f>"月刊おかやま社"</f>
        <v>月刊おかやま社</v>
      </c>
      <c r="E3199" t="str">
        <f>"ゲッカンオカヤマシャ"</f>
        <v>ゲッカンオカヤマシャ</v>
      </c>
      <c r="F3199" t="str">
        <f t="shared" si="169"/>
        <v>岡山</v>
      </c>
      <c r="G3199" t="str">
        <f>"月刊"</f>
        <v>月刊</v>
      </c>
      <c r="H3199" t="str">
        <f>"2002222300926"</f>
        <v>2002222300926</v>
      </c>
      <c r="I3199" t="str">
        <f>HYPERLINK("#", "https://opac.libnet.pref.okayama.jp/licsxp-opac/WOpacMsgNewListToTifTilDetailAction.do?tilcod=2002222300926")</f>
        <v>https://opac.libnet.pref.okayama.jp/licsxp-opac/WOpacMsgNewListToTifTilDetailAction.do?tilcod=2002222300926</v>
      </c>
    </row>
    <row r="3200" spans="1:9" x14ac:dyDescent="0.4">
      <c r="A3200" t="str">
        <f>"「しんぶん赤旗」読者ニュース森脇ひさき版"</f>
        <v>「しんぶん赤旗」読者ニュース森脇ひさき版</v>
      </c>
      <c r="B3200" s="1" t="str">
        <f t="shared" si="167"/>
        <v>「しんぶん赤旗」読者ニュース森脇ひさき版</v>
      </c>
      <c r="C3200" t="str">
        <f>"シンブン　アカハタ　ドクシャ　ニュース　モリワキ　ヒサキ　バン"</f>
        <v>シンブン　アカハタ　ドクシャ　ニュース　モリワキ　ヒサキ　バン</v>
      </c>
      <c r="D3200" t="str">
        <f>"日本共産党岡山地区委員会"</f>
        <v>日本共産党岡山地区委員会</v>
      </c>
      <c r="E3200" t="str">
        <f>"ニホン キョウサントウ オカヤマ チク イインカイ"</f>
        <v>ニホン キョウサントウ オカヤマ チク イインカイ</v>
      </c>
      <c r="F3200" t="str">
        <f t="shared" si="169"/>
        <v>岡山</v>
      </c>
      <c r="G3200" t="str">
        <f>"週刊"</f>
        <v>週刊</v>
      </c>
      <c r="H3200" t="str">
        <f>"2002222301896"</f>
        <v>2002222301896</v>
      </c>
      <c r="I3200" t="str">
        <f>HYPERLINK("#", "https://opac.libnet.pref.okayama.jp/licsxp-opac/WOpacMsgNewListToTifTilDetailAction.do?tilcod=2002222301896")</f>
        <v>https://opac.libnet.pref.okayama.jp/licsxp-opac/WOpacMsgNewListToTifTilDetailAction.do?tilcod=2002222301896</v>
      </c>
    </row>
    <row r="3201" spans="1:9" x14ac:dyDescent="0.4">
      <c r="A3201" t="str">
        <f>"しんぶん銀河"</f>
        <v>しんぶん銀河</v>
      </c>
      <c r="B3201" s="1" t="str">
        <f t="shared" si="167"/>
        <v>しんぶん銀河</v>
      </c>
      <c r="C3201" t="str">
        <f>"シンブン ギンガ"</f>
        <v>シンブン ギンガ</v>
      </c>
      <c r="D3201" t="str">
        <f>"しんぶん銀河社"</f>
        <v>しんぶん銀河社</v>
      </c>
      <c r="E3201" t="str">
        <f>"シンブン ギンガシャ"</f>
        <v>シンブン ギンガシャ</v>
      </c>
      <c r="F3201" t="str">
        <f>"丸亀"</f>
        <v>丸亀</v>
      </c>
      <c r="G3201" t="str">
        <f>"季刊"</f>
        <v>季刊</v>
      </c>
      <c r="H3201" t="str">
        <f>"2002222343976"</f>
        <v>2002222343976</v>
      </c>
      <c r="I3201" t="str">
        <f>HYPERLINK("#", "https://opac.libnet.pref.okayama.jp/licsxp-opac/WOpacMsgNewListToTifTilDetailAction.do?tilcod=2002222343976")</f>
        <v>https://opac.libnet.pref.okayama.jp/licsxp-opac/WOpacMsgNewListToTifTilDetailAction.do?tilcod=2002222343976</v>
      </c>
    </row>
    <row r="3202" spans="1:9" x14ac:dyDescent="0.4">
      <c r="A3202" t="str">
        <f>"新聞茶の間"</f>
        <v>新聞茶の間</v>
      </c>
      <c r="B3202" s="1" t="str">
        <f t="shared" si="167"/>
        <v>新聞茶の間</v>
      </c>
      <c r="C3202" t="str">
        <f>"シンブン チャノマ"</f>
        <v>シンブン チャノマ</v>
      </c>
      <c r="D3202" t="str">
        <f>"茶の間ニュース社"</f>
        <v>茶の間ニュース社</v>
      </c>
      <c r="E3202" t="str">
        <f>"チャノマ ニュースシャ"</f>
        <v>チャノマ ニュースシャ</v>
      </c>
      <c r="F3202" t="str">
        <f>"久米南町(久米郡)"</f>
        <v>久米南町(久米郡)</v>
      </c>
      <c r="G3202" t="str">
        <f>"頻度不明"</f>
        <v>頻度不明</v>
      </c>
      <c r="H3202" t="str">
        <f>"2002222335626"</f>
        <v>2002222335626</v>
      </c>
      <c r="I3202" t="str">
        <f>HYPERLINK("#", "https://opac.libnet.pref.okayama.jp/licsxp-opac/WOpacMsgNewListToTifTilDetailAction.do?tilcod=2002222335626")</f>
        <v>https://opac.libnet.pref.okayama.jp/licsxp-opac/WOpacMsgNewListToTifTilDetailAction.do?tilcod=2002222335626</v>
      </c>
    </row>
    <row r="3203" spans="1:9" x14ac:dyDescent="0.4">
      <c r="A3203" t="str">
        <f>"人文；総社南高校人文作品集"</f>
        <v>人文；総社南高校人文作品集</v>
      </c>
      <c r="B3203" s="1" t="str">
        <f t="shared" si="167"/>
        <v>人文；総社南高校人文作品集</v>
      </c>
      <c r="C3203" t="str">
        <f>"ジンブン＊ソウジャ　ミナミ　コウトウ　ガッコウ　ジンブン　サクヒン　シュウ"</f>
        <v>ジンブン＊ソウジャ　ミナミ　コウトウ　ガッコウ　ジンブン　サクヒン　シュウ</v>
      </c>
      <c r="D3203" t="str">
        <f>"総社南高等学校人文系"</f>
        <v>総社南高等学校人文系</v>
      </c>
      <c r="E3203" t="str">
        <f>"ソウジャミナミコウトウガッコウジンブンケイ"</f>
        <v>ソウジャミナミコウトウガッコウジンブンケイ</v>
      </c>
      <c r="F3203" t="str">
        <f>"総社"</f>
        <v>総社</v>
      </c>
      <c r="G3203" t="str">
        <f>"年刊"</f>
        <v>年刊</v>
      </c>
      <c r="H3203" t="str">
        <f>"2002222302007"</f>
        <v>2002222302007</v>
      </c>
      <c r="I3203" t="str">
        <f>HYPERLINK("#", "https://opac.libnet.pref.okayama.jp/licsxp-opac/WOpacMsgNewListToTifTilDetailAction.do?tilcod=2002222302007")</f>
        <v>https://opac.libnet.pref.okayama.jp/licsxp-opac/WOpacMsgNewListToTifTilDetailAction.do?tilcod=2002222302007</v>
      </c>
    </row>
    <row r="3204" spans="1:9" x14ac:dyDescent="0.4">
      <c r="A3204" t="str">
        <f>"進歩"</f>
        <v>進歩</v>
      </c>
      <c r="B3204" s="1" t="str">
        <f t="shared" ref="B3204:B3267" si="170">HYPERLINK("#", A3204)</f>
        <v>進歩</v>
      </c>
      <c r="C3204" t="str">
        <f>"シンポ"</f>
        <v>シンポ</v>
      </c>
      <c r="D3204" t="str">
        <f>"進歩社"</f>
        <v>進歩社</v>
      </c>
      <c r="E3204" t="str">
        <f>"シンポシャ"</f>
        <v>シンポシャ</v>
      </c>
      <c r="F3204" t="str">
        <f>""</f>
        <v/>
      </c>
      <c r="G3204" t="str">
        <f>"頻度不明"</f>
        <v>頻度不明</v>
      </c>
      <c r="H3204" t="str">
        <f>"2002222280584"</f>
        <v>2002222280584</v>
      </c>
      <c r="I3204" t="str">
        <f>HYPERLINK("#", "https://opac.libnet.pref.okayama.jp/licsxp-opac/WOpacMsgNewListToTifTilDetailAction.do?tilcod=2002222280584")</f>
        <v>https://opac.libnet.pref.okayama.jp/licsxp-opac/WOpacMsgNewListToTifTilDetailAction.do?tilcod=2002222280584</v>
      </c>
    </row>
    <row r="3205" spans="1:9" x14ac:dyDescent="0.4">
      <c r="A3205" t="str">
        <f>"新本川"</f>
        <v>新本川</v>
      </c>
      <c r="B3205" s="1" t="str">
        <f t="shared" si="170"/>
        <v>新本川</v>
      </c>
      <c r="C3205" t="str">
        <f>"シンポン　ガワ"</f>
        <v>シンポン　ガワ</v>
      </c>
      <c r="D3205" t="str">
        <f>"作品集「新本川」編集部"</f>
        <v>作品集「新本川」編集部</v>
      </c>
      <c r="E3205" t="str">
        <f>"サクヒンシュウシンポンガワヘンシュウブ"</f>
        <v>サクヒンシュウシンポンガワヘンシュウブ</v>
      </c>
      <c r="F3205" t="str">
        <f>"総社"</f>
        <v>総社</v>
      </c>
      <c r="G3205" t="str">
        <f>"年２回刊"</f>
        <v>年２回刊</v>
      </c>
      <c r="H3205" t="str">
        <f>"2002222292771"</f>
        <v>2002222292771</v>
      </c>
      <c r="I3205" t="str">
        <f>HYPERLINK("#", "https://opac.libnet.pref.okayama.jp/licsxp-opac/WOpacMsgNewListToTifTilDetailAction.do?tilcod=2002222292771")</f>
        <v>https://opac.libnet.pref.okayama.jp/licsxp-opac/WOpacMsgNewListToTifTilDetailAction.do?tilcod=2002222292771</v>
      </c>
    </row>
    <row r="3206" spans="1:9" x14ac:dyDescent="0.4">
      <c r="A3206" t="str">
        <f>"人脈；研究室総合雑誌"</f>
        <v>人脈；研究室総合雑誌</v>
      </c>
      <c r="B3206" s="1" t="str">
        <f t="shared" si="170"/>
        <v>人脈；研究室総合雑誌</v>
      </c>
      <c r="C3206" t="str">
        <f>"ジンミャク＊ケンキュウシツ ソウゴウ ザッシ"</f>
        <v>ジンミャク＊ケンキュウシツ ソウゴウ ザッシ</v>
      </c>
      <c r="D3206" t="str">
        <f>"[岡山大学]法文学部地理学教室"</f>
        <v>[岡山大学]法文学部地理学教室</v>
      </c>
      <c r="E3206" t="str">
        <f>"オカヤマ ダイガク ホウブンガクブ チリガク キョウシツ"</f>
        <v>オカヤマ ダイガク ホウブンガクブ チリガク キョウシツ</v>
      </c>
      <c r="F3206" t="str">
        <f>"岡山"</f>
        <v>岡山</v>
      </c>
      <c r="G3206" t="str">
        <f>"頻度不明"</f>
        <v>頻度不明</v>
      </c>
      <c r="H3206" t="str">
        <f>"2002222338870"</f>
        <v>2002222338870</v>
      </c>
      <c r="I3206" t="str">
        <f>HYPERLINK("#", "https://opac.libnet.pref.okayama.jp/licsxp-opac/WOpacMsgNewListToTifTilDetailAction.do?tilcod=2002222338870")</f>
        <v>https://opac.libnet.pref.okayama.jp/licsxp-opac/WOpacMsgNewListToTifTilDetailAction.do?tilcod=2002222338870</v>
      </c>
    </row>
    <row r="3207" spans="1:9" x14ac:dyDescent="0.4">
      <c r="A3207" t="str">
        <f>"人民の力；大道"</f>
        <v>人民の力；大道</v>
      </c>
      <c r="B3207" s="1" t="str">
        <f t="shared" si="170"/>
        <v>人民の力；大道</v>
      </c>
      <c r="C3207" t="str">
        <f>"ジンミン　ノ　チカラ＊タイドウ"</f>
        <v>ジンミン　ノ　チカラ＊タイドウ</v>
      </c>
      <c r="D3207" t="str">
        <f>"人民の力大道編集委員会"</f>
        <v>人民の力大道編集委員会</v>
      </c>
      <c r="E3207" t="str">
        <f>"ジンミンノチカラタイドウヘンシュウイインカイ"</f>
        <v>ジンミンノチカラタイドウヘンシュウイインカイ</v>
      </c>
      <c r="F3207" t="str">
        <f>"倉敷"</f>
        <v>倉敷</v>
      </c>
      <c r="G3207" t="str">
        <f>"月刊"</f>
        <v>月刊</v>
      </c>
      <c r="H3207" t="str">
        <f>"2002222301098"</f>
        <v>2002222301098</v>
      </c>
      <c r="I3207" t="str">
        <f>HYPERLINK("#", "https://opac.libnet.pref.okayama.jp/licsxp-opac/WOpacMsgNewListToTifTilDetailAction.do?tilcod=2002222301098")</f>
        <v>https://opac.libnet.pref.okayama.jp/licsxp-opac/WOpacMsgNewListToTifTilDetailAction.do?tilcod=2002222301098</v>
      </c>
    </row>
    <row r="3208" spans="1:9" x14ac:dyDescent="0.4">
      <c r="A3208" t="str">
        <f>"神融"</f>
        <v>神融</v>
      </c>
      <c r="B3208" s="1" t="str">
        <f t="shared" si="170"/>
        <v>神融</v>
      </c>
      <c r="C3208" t="str">
        <f>"シンユウ"</f>
        <v>シンユウ</v>
      </c>
      <c r="D3208" t="str">
        <f>"神融会岡山支部"</f>
        <v>神融会岡山支部</v>
      </c>
      <c r="E3208" t="str">
        <f>"シンユウカイオカヤマシブ"</f>
        <v>シンユウカイオカヤマシブ</v>
      </c>
      <c r="F3208" t="str">
        <f>""</f>
        <v/>
      </c>
      <c r="G3208" t="str">
        <f>"頻度不明"</f>
        <v>頻度不明</v>
      </c>
      <c r="H3208" t="str">
        <f>"2002222280594"</f>
        <v>2002222280594</v>
      </c>
      <c r="I3208" t="str">
        <f>HYPERLINK("#", "https://opac.libnet.pref.okayama.jp/licsxp-opac/WOpacMsgNewListToTifTilDetailAction.do?tilcod=2002222280594")</f>
        <v>https://opac.libnet.pref.okayama.jp/licsxp-opac/WOpacMsgNewListToTifTilDetailAction.do?tilcod=2002222280594</v>
      </c>
    </row>
    <row r="3209" spans="1:9" x14ac:dyDescent="0.4">
      <c r="A3209" t="str">
        <f>"森羅通信"</f>
        <v>森羅通信</v>
      </c>
      <c r="B3209" s="1" t="str">
        <f t="shared" si="170"/>
        <v>森羅通信</v>
      </c>
      <c r="C3209" t="str">
        <f>"シンラ ツウシン"</f>
        <v>シンラ ツウシン</v>
      </c>
      <c r="D3209" t="str">
        <f>"森羅工房"</f>
        <v>森羅工房</v>
      </c>
      <c r="E3209" t="str">
        <f>"シンラコウボウ"</f>
        <v>シンラコウボウ</v>
      </c>
      <c r="F3209" t="str">
        <f>"哲多町(阿哲郡)"</f>
        <v>哲多町(阿哲郡)</v>
      </c>
      <c r="G3209" t="str">
        <f>"頻度不明"</f>
        <v>頻度不明</v>
      </c>
      <c r="H3209" t="str">
        <f>"2002222319614"</f>
        <v>2002222319614</v>
      </c>
      <c r="I3209" t="str">
        <f>HYPERLINK("#", "https://opac.libnet.pref.okayama.jp/licsxp-opac/WOpacMsgNewListToTifTilDetailAction.do?tilcod=2002222319614")</f>
        <v>https://opac.libnet.pref.okayama.jp/licsxp-opac/WOpacMsgNewListToTifTilDetailAction.do?tilcod=2002222319614</v>
      </c>
    </row>
    <row r="3210" spans="1:9" x14ac:dyDescent="0.4">
      <c r="A3210" t="str">
        <f>"森林研究所だより"</f>
        <v>森林研究所だより</v>
      </c>
      <c r="B3210" s="1" t="str">
        <f t="shared" si="170"/>
        <v>森林研究所だより</v>
      </c>
      <c r="C3210" t="str">
        <f>"シンリン　ケンキュウジョ　ダヨリ"</f>
        <v>シンリン　ケンキュウジョ　ダヨリ</v>
      </c>
      <c r="D3210" t="str">
        <f>"岡山県農林水産総合センター森林研究所"</f>
        <v>岡山県農林水産総合センター森林研究所</v>
      </c>
      <c r="E3210" t="str">
        <f>"オカヤマケン ノウリン スイサン ソウゴウ センター シンリン ケンキュウジョ"</f>
        <v>オカヤマケン ノウリン スイサン ソウゴウ センター シンリン ケンキュウジョ</v>
      </c>
      <c r="F3210" t="str">
        <f>"勝田"</f>
        <v>勝田</v>
      </c>
      <c r="G3210" t="str">
        <f>"年刊"</f>
        <v>年刊</v>
      </c>
      <c r="H3210" t="str">
        <f>"2002222302320"</f>
        <v>2002222302320</v>
      </c>
      <c r="I3210" t="str">
        <f>HYPERLINK("#", "https://opac.libnet.pref.okayama.jp/licsxp-opac/WOpacMsgNewListToTifTilDetailAction.do?tilcod=2002222302320")</f>
        <v>https://opac.libnet.pref.okayama.jp/licsxp-opac/WOpacMsgNewListToTifTilDetailAction.do?tilcod=2002222302320</v>
      </c>
    </row>
    <row r="3211" spans="1:9" x14ac:dyDescent="0.4">
      <c r="A3211" t="str">
        <f>"しんわ"</f>
        <v>しんわ</v>
      </c>
      <c r="B3211" s="1" t="str">
        <f t="shared" si="170"/>
        <v>しんわ</v>
      </c>
      <c r="C3211" t="str">
        <f>"シンワ"</f>
        <v>シンワ</v>
      </c>
      <c r="D3211" t="str">
        <f>"岡山県信用保証協会"</f>
        <v>岡山県信用保証協会</v>
      </c>
      <c r="E3211" t="str">
        <f>"オカヤマケン シンヨウ ホショウ キョウカイ"</f>
        <v>オカヤマケン シンヨウ ホショウ キョウカイ</v>
      </c>
      <c r="F3211" t="str">
        <f>""</f>
        <v/>
      </c>
      <c r="G3211" t="str">
        <f>"月刊"</f>
        <v>月刊</v>
      </c>
      <c r="H3211" t="str">
        <f>"2002222280474"</f>
        <v>2002222280474</v>
      </c>
      <c r="I3211" t="str">
        <f>HYPERLINK("#", "https://opac.libnet.pref.okayama.jp/licsxp-opac/WOpacMsgNewListToTifTilDetailAction.do?tilcod=2002222280474")</f>
        <v>https://opac.libnet.pref.okayama.jp/licsxp-opac/WOpacMsgNewListToTifTilDetailAction.do?tilcod=2002222280474</v>
      </c>
    </row>
    <row r="3212" spans="1:9" x14ac:dyDescent="0.4">
      <c r="A3212" t="str">
        <f>"水産岡山"</f>
        <v>水産岡山</v>
      </c>
      <c r="B3212" s="1" t="str">
        <f t="shared" si="170"/>
        <v>水産岡山</v>
      </c>
      <c r="C3212" t="str">
        <f>"スイサン　オカヤマ"</f>
        <v>スイサン　オカヤマ</v>
      </c>
      <c r="D3212" t="str">
        <f>"岡山県水産課"</f>
        <v>岡山県水産課</v>
      </c>
      <c r="E3212" t="str">
        <f>"オカヤマケン スイサンカ"</f>
        <v>オカヤマケン スイサンカ</v>
      </c>
      <c r="F3212" t="str">
        <f>"岡山"</f>
        <v>岡山</v>
      </c>
      <c r="G3212" t="str">
        <f>"頻度不明"</f>
        <v>頻度不明</v>
      </c>
      <c r="H3212" t="str">
        <f>"2002222283113"</f>
        <v>2002222283113</v>
      </c>
      <c r="I3212" t="str">
        <f>HYPERLINK("#", "https://opac.libnet.pref.okayama.jp/licsxp-opac/WOpacMsgNewListToTifTilDetailAction.do?tilcod=2002222283113")</f>
        <v>https://opac.libnet.pref.okayama.jp/licsxp-opac/WOpacMsgNewListToTifTilDetailAction.do?tilcod=2002222283113</v>
      </c>
    </row>
    <row r="3213" spans="1:9" x14ac:dyDescent="0.4">
      <c r="A3213" t="str">
        <f>"翠松"</f>
        <v>翠松</v>
      </c>
      <c r="B3213" s="1" t="str">
        <f t="shared" si="170"/>
        <v>翠松</v>
      </c>
      <c r="C3213" t="str">
        <f>"スイショウ"</f>
        <v>スイショウ</v>
      </c>
      <c r="D3213" t="str">
        <f>"片山女子高等技芸学校翠松会"</f>
        <v>片山女子高等技芸学校翠松会</v>
      </c>
      <c r="E3213" t="str">
        <f>"カタヤマ ジョシ コウトウ ギゲイ ガッコウ スイショウカイ"</f>
        <v>カタヤマ ジョシ コウトウ ギゲイ ガッコウ スイショウカイ</v>
      </c>
      <c r="F3213" t="str">
        <f>"岡山"</f>
        <v>岡山</v>
      </c>
      <c r="G3213" t="str">
        <f>"頻度不明"</f>
        <v>頻度不明</v>
      </c>
      <c r="H3213" t="str">
        <f>"2002222301114"</f>
        <v>2002222301114</v>
      </c>
      <c r="I3213" t="str">
        <f>HYPERLINK("#", "https://opac.libnet.pref.okayama.jp/licsxp-opac/WOpacMsgNewListToTifTilDetailAction.do?tilcod=2002222301114")</f>
        <v>https://opac.libnet.pref.okayama.jp/licsxp-opac/WOpacMsgNewListToTifTilDetailAction.do?tilcod=2002222301114</v>
      </c>
    </row>
    <row r="3214" spans="1:9" x14ac:dyDescent="0.4">
      <c r="A3214" t="str">
        <f>"推進情報"</f>
        <v>推進情報</v>
      </c>
      <c r="B3214" s="1" t="str">
        <f t="shared" si="170"/>
        <v>推進情報</v>
      </c>
      <c r="C3214" t="str">
        <f>"スイシン　ジョウホウ"</f>
        <v>スイシン　ジョウホウ</v>
      </c>
      <c r="D3214" t="str">
        <f>"岡山県信用農業協同組合連合会"</f>
        <v>岡山県信用農業協同組合連合会</v>
      </c>
      <c r="E3214" t="str">
        <f>"オカヤマケン シンヨウ ノウギョウ キョウドウ クミアイ レンゴウカイ"</f>
        <v>オカヤマケン シンヨウ ノウギョウ キョウドウ クミアイ レンゴウカイ</v>
      </c>
      <c r="F3214" t="str">
        <f>""</f>
        <v/>
      </c>
      <c r="G3214" t="str">
        <f>"頻度不明"</f>
        <v>頻度不明</v>
      </c>
      <c r="H3214" t="str">
        <f>"2002222283123"</f>
        <v>2002222283123</v>
      </c>
      <c r="I3214" t="str">
        <f>HYPERLINK("#", "https://opac.libnet.pref.okayama.jp/licsxp-opac/WOpacMsgNewListToTifTilDetailAction.do?tilcod=2002222283123")</f>
        <v>https://opac.libnet.pref.okayama.jp/licsxp-opac/WOpacMsgNewListToTifTilDetailAction.do?tilcod=2002222283123</v>
      </c>
    </row>
    <row r="3215" spans="1:9" x14ac:dyDescent="0.4">
      <c r="A3215" t="str">
        <f>"水脈"</f>
        <v>水脈</v>
      </c>
      <c r="B3215" s="1" t="str">
        <f t="shared" si="170"/>
        <v>水脈</v>
      </c>
      <c r="C3215" t="str">
        <f>"スイミャク"</f>
        <v>スイミャク</v>
      </c>
      <c r="D3215" t="str">
        <f>"岡山市立中央公民館・文章教室"</f>
        <v>岡山市立中央公民館・文章教室</v>
      </c>
      <c r="E3215" t="str">
        <f>"オカヤマシリツチュウオウコウミンカンブンショウキョウシツ"</f>
        <v>オカヤマシリツチュウオウコウミンカンブンショウキョウシツ</v>
      </c>
      <c r="F3215" t="str">
        <f>"岡山市"</f>
        <v>岡山市</v>
      </c>
      <c r="G3215" t="str">
        <f>"年刊"</f>
        <v>年刊</v>
      </c>
      <c r="H3215" t="str">
        <f>"2002222292781"</f>
        <v>2002222292781</v>
      </c>
      <c r="I3215" t="str">
        <f>HYPERLINK("#", "https://opac.libnet.pref.okayama.jp/licsxp-opac/WOpacMsgNewListToTifTilDetailAction.do?tilcod=2002222292781")</f>
        <v>https://opac.libnet.pref.okayama.jp/licsxp-opac/WOpacMsgNewListToTifTilDetailAction.do?tilcod=2002222292781</v>
      </c>
    </row>
    <row r="3216" spans="1:9" x14ac:dyDescent="0.4">
      <c r="A3216" t="str">
        <f>"水友"</f>
        <v>水友</v>
      </c>
      <c r="B3216" s="1" t="str">
        <f t="shared" si="170"/>
        <v>水友</v>
      </c>
      <c r="C3216" t="str">
        <f>"スイユウ"</f>
        <v>スイユウ</v>
      </c>
      <c r="D3216" t="str">
        <f>"日本神伝流游泳会"</f>
        <v>日本神伝流游泳会</v>
      </c>
      <c r="E3216" t="str">
        <f>"ニホン シンデンリュウ ユウエイカイ"</f>
        <v>ニホン シンデンリュウ ユウエイカイ</v>
      </c>
      <c r="F3216" t="str">
        <f>""</f>
        <v/>
      </c>
      <c r="G3216" t="str">
        <f>"年刊"</f>
        <v>年刊</v>
      </c>
      <c r="H3216" t="str">
        <f>"2002222283133"</f>
        <v>2002222283133</v>
      </c>
      <c r="I3216" t="str">
        <f>HYPERLINK("#", "https://opac.libnet.pref.okayama.jp/licsxp-opac/WOpacMsgNewListToTifTilDetailAction.do?tilcod=2002222283133")</f>
        <v>https://opac.libnet.pref.okayama.jp/licsxp-opac/WOpacMsgNewListToTifTilDetailAction.do?tilcod=2002222283133</v>
      </c>
    </row>
    <row r="3217" spans="1:9" x14ac:dyDescent="0.4">
      <c r="A3217" t="str">
        <f>"数学教育"</f>
        <v>数学教育</v>
      </c>
      <c r="B3217" s="1" t="str">
        <f t="shared" si="170"/>
        <v>数学教育</v>
      </c>
      <c r="C3217" t="str">
        <f>"スウガク　キョウイク"</f>
        <v>スウガク　キョウイク</v>
      </c>
      <c r="D3217" t="str">
        <f>"岡山県高等学校教育研究会数学部会"</f>
        <v>岡山県高等学校教育研究会数学部会</v>
      </c>
      <c r="E3217" t="str">
        <f>"オカヤマケンコウトウガッコウキョウイクケンキュウカイスウガクブカイ"</f>
        <v>オカヤマケンコウトウガッコウキョウイクケンキュウカイスウガクブカイ</v>
      </c>
      <c r="F3217" t="str">
        <f>"岡山"</f>
        <v>岡山</v>
      </c>
      <c r="G3217" t="str">
        <f>"年刊"</f>
        <v>年刊</v>
      </c>
      <c r="H3217" t="str">
        <f>"2002222284661"</f>
        <v>2002222284661</v>
      </c>
      <c r="I3217" t="str">
        <f>HYPERLINK("#", "https://opac.libnet.pref.okayama.jp/licsxp-opac/WOpacMsgNewListToTifTilDetailAction.do?tilcod=2002222284661")</f>
        <v>https://opac.libnet.pref.okayama.jp/licsxp-opac/WOpacMsgNewListToTifTilDetailAction.do?tilcod=2002222284661</v>
      </c>
    </row>
    <row r="3218" spans="1:9" x14ac:dyDescent="0.4">
      <c r="A3218" t="str">
        <f>"ＳＵＵＭＯ（スーモ）；スーモマガジン　岡山・倉敷"</f>
        <v>ＳＵＵＭＯ（スーモ）；スーモマガジン　岡山・倉敷</v>
      </c>
      <c r="B3218" s="1" t="str">
        <f t="shared" si="170"/>
        <v>ＳＵＵＭＯ（スーモ）；スーモマガジン　岡山・倉敷</v>
      </c>
      <c r="C3218" t="str">
        <f>"スーモ＊スーモ　マガジン　オカヤマ　クラシキ"</f>
        <v>スーモ＊スーモ　マガジン　オカヤマ　クラシキ</v>
      </c>
      <c r="D3218" t="str">
        <f>"リクルート"</f>
        <v>リクルート</v>
      </c>
      <c r="E3218" t="str">
        <f>"リクルート"</f>
        <v>リクルート</v>
      </c>
      <c r="F3218" t="str">
        <f>"東京"</f>
        <v>東京</v>
      </c>
      <c r="G3218" t="str">
        <f>"隔週刊"</f>
        <v>隔週刊</v>
      </c>
      <c r="H3218" t="str">
        <f>"2002222302087"</f>
        <v>2002222302087</v>
      </c>
      <c r="I3218" t="str">
        <f>HYPERLINK("#", "https://opac.libnet.pref.okayama.jp/licsxp-opac/WOpacMsgNewListToTifTilDetailAction.do?tilcod=2002222302087")</f>
        <v>https://opac.libnet.pref.okayama.jp/licsxp-opac/WOpacMsgNewListToTifTilDetailAction.do?tilcod=2002222302087</v>
      </c>
    </row>
    <row r="3219" spans="1:9" x14ac:dyDescent="0.4">
      <c r="A3219" t="str">
        <f>"ＳＵＵＭＯ（スーモ）；スーモマガジン賃貸版　岡山・倉敷"</f>
        <v>ＳＵＵＭＯ（スーモ）；スーモマガジン賃貸版　岡山・倉敷</v>
      </c>
      <c r="B3219" s="1" t="str">
        <f t="shared" si="170"/>
        <v>ＳＵＵＭＯ（スーモ）；スーモマガジン賃貸版　岡山・倉敷</v>
      </c>
      <c r="C3219" t="str">
        <f>"スーモ＊スーモ　マガジン　チンタイバン　オカヤマ　クラシキ"</f>
        <v>スーモ＊スーモ　マガジン　チンタイバン　オカヤマ　クラシキ</v>
      </c>
      <c r="D3219" t="str">
        <f>"リクルート"</f>
        <v>リクルート</v>
      </c>
      <c r="E3219" t="str">
        <f>"リクルート"</f>
        <v>リクルート</v>
      </c>
      <c r="F3219" t="str">
        <f>"東京"</f>
        <v>東京</v>
      </c>
      <c r="G3219" t="str">
        <f>"隔週刊"</f>
        <v>隔週刊</v>
      </c>
      <c r="H3219" t="str">
        <f>"2002222302088"</f>
        <v>2002222302088</v>
      </c>
      <c r="I3219" t="str">
        <f>HYPERLINK("#", "https://opac.libnet.pref.okayama.jp/licsxp-opac/WOpacMsgNewListToTifTilDetailAction.do?tilcod=2002222302088")</f>
        <v>https://opac.libnet.pref.okayama.jp/licsxp-opac/WOpacMsgNewListToTifTilDetailAction.do?tilcod=2002222302088</v>
      </c>
    </row>
    <row r="3220" spans="1:9" x14ac:dyDescent="0.4">
      <c r="A3220" t="str">
        <f>"清しき風；岡山県立勝間田高等学校誌"</f>
        <v>清しき風；岡山県立勝間田高等学校誌</v>
      </c>
      <c r="B3220" s="1" t="str">
        <f t="shared" si="170"/>
        <v>清しき風；岡山県立勝間田高等学校誌</v>
      </c>
      <c r="C3220" t="str">
        <f>"スガシキ　カゼ＊オカヤマケンリツ　カツマダ　コウトウ　ガッコウシ"</f>
        <v>スガシキ　カゼ＊オカヤマケンリツ　カツマダ　コウトウ　ガッコウシ</v>
      </c>
      <c r="D3220" t="str">
        <f>"勝間田高等学校"</f>
        <v>勝間田高等学校</v>
      </c>
      <c r="E3220" t="str">
        <f>"カツマダ コウトウ ガッコウ"</f>
        <v>カツマダ コウトウ ガッコウ</v>
      </c>
      <c r="F3220" t="str">
        <f>"勝央町（勝田郡）"</f>
        <v>勝央町（勝田郡）</v>
      </c>
      <c r="G3220" t="str">
        <f>"年刊"</f>
        <v>年刊</v>
      </c>
      <c r="H3220" t="str">
        <f>"2002222301102"</f>
        <v>2002222301102</v>
      </c>
      <c r="I3220" t="str">
        <f>HYPERLINK("#", "https://opac.libnet.pref.okayama.jp/licsxp-opac/WOpacMsgNewListToTifTilDetailAction.do?tilcod=2002222301102")</f>
        <v>https://opac.libnet.pref.okayama.jp/licsxp-opac/WOpacMsgNewListToTifTilDetailAction.do?tilcod=2002222301102</v>
      </c>
    </row>
    <row r="3221" spans="1:9" x14ac:dyDescent="0.4">
      <c r="A3221" t="str">
        <f>"スキー岡山"</f>
        <v>スキー岡山</v>
      </c>
      <c r="B3221" s="1" t="str">
        <f t="shared" si="170"/>
        <v>スキー岡山</v>
      </c>
      <c r="C3221" t="str">
        <f>"スキー　オカヤマ"</f>
        <v>スキー　オカヤマ</v>
      </c>
      <c r="D3221" t="str">
        <f>"岡山県スキー連盟"</f>
        <v>岡山県スキー連盟</v>
      </c>
      <c r="E3221" t="str">
        <f>"オカヤマケンスキーレンメイ"</f>
        <v>オカヤマケンスキーレンメイ</v>
      </c>
      <c r="F3221" t="str">
        <f>"岡山"</f>
        <v>岡山</v>
      </c>
      <c r="G3221" t="str">
        <f>"頻度不明"</f>
        <v>頻度不明</v>
      </c>
      <c r="H3221" t="str">
        <f>"2002222283143"</f>
        <v>2002222283143</v>
      </c>
      <c r="I3221" t="str">
        <f>HYPERLINK("#", "https://opac.libnet.pref.okayama.jp/licsxp-opac/WOpacMsgNewListToTifTilDetailAction.do?tilcod=2002222283143")</f>
        <v>https://opac.libnet.pref.okayama.jp/licsxp-opac/WOpacMsgNewListToTifTilDetailAction.do?tilcod=2002222283143</v>
      </c>
    </row>
    <row r="3222" spans="1:9" x14ac:dyDescent="0.4">
      <c r="A3222" t="str">
        <f>"ＳＱＵＡＲＥ（スクウェア）"</f>
        <v>ＳＱＵＡＲＥ（スクウェア）</v>
      </c>
      <c r="B3222" s="1" t="str">
        <f t="shared" si="170"/>
        <v>ＳＱＵＡＲＥ（スクウェア）</v>
      </c>
      <c r="C3222" t="str">
        <f>"スクウェア"</f>
        <v>スクウェア</v>
      </c>
      <c r="D3222" t="str">
        <f>"三洋コンピュータ"</f>
        <v>三洋コンピュータ</v>
      </c>
      <c r="E3222" t="str">
        <f>"サンヨウコンピュータ"</f>
        <v>サンヨウコンピュータ</v>
      </c>
      <c r="F3222" t="str">
        <f>"岡山"</f>
        <v>岡山</v>
      </c>
      <c r="G3222" t="str">
        <f>"頻度不明"</f>
        <v>頻度不明</v>
      </c>
      <c r="H3222" t="str">
        <f>"2002222283153"</f>
        <v>2002222283153</v>
      </c>
      <c r="I3222" t="str">
        <f>HYPERLINK("#", "https://opac.libnet.pref.okayama.jp/licsxp-opac/WOpacMsgNewListToTifTilDetailAction.do?tilcod=2002222283153")</f>
        <v>https://opac.libnet.pref.okayama.jp/licsxp-opac/WOpacMsgNewListToTifTilDetailAction.do?tilcod=2002222283153</v>
      </c>
    </row>
    <row r="3223" spans="1:9" x14ac:dyDescent="0.4">
      <c r="A3223" t="str">
        <f>"Ｓｃｏｏｐｏｎ（スクーポン）"</f>
        <v>Ｓｃｏｏｐｏｎ（スクーポン）</v>
      </c>
      <c r="B3223" s="1" t="str">
        <f t="shared" si="170"/>
        <v>Ｓｃｏｏｐｏｎ（スクーポン）</v>
      </c>
      <c r="C3223" t="str">
        <f>"スクーポン"</f>
        <v>スクーポン</v>
      </c>
      <c r="D3223" t="str">
        <f>"アイエスピー出版"</f>
        <v>アイエスピー出版</v>
      </c>
      <c r="E3223" t="str">
        <f>"アイエスピーシュッパン"</f>
        <v>アイエスピーシュッパン</v>
      </c>
      <c r="F3223" t="str">
        <f>"岡山"</f>
        <v>岡山</v>
      </c>
      <c r="G3223" t="str">
        <f>"隔月刊"</f>
        <v>隔月刊</v>
      </c>
      <c r="H3223" t="str">
        <f>"2002222302481"</f>
        <v>2002222302481</v>
      </c>
      <c r="I3223" t="str">
        <f>HYPERLINK("#", "https://opac.libnet.pref.okayama.jp/licsxp-opac/WOpacMsgNewListToTifTilDetailAction.do?tilcod=2002222302481")</f>
        <v>https://opac.libnet.pref.okayama.jp/licsxp-opac/WOpacMsgNewListToTifTilDetailAction.do?tilcod=2002222302481</v>
      </c>
    </row>
    <row r="3224" spans="1:9" x14ac:dyDescent="0.4">
      <c r="A3224" t="str">
        <f>"すくすくネット"</f>
        <v>すくすくネット</v>
      </c>
      <c r="B3224" s="1" t="str">
        <f t="shared" si="170"/>
        <v>すくすくネット</v>
      </c>
      <c r="C3224" t="str">
        <f>"スクスク　ネット"</f>
        <v>スクスク　ネット</v>
      </c>
      <c r="D3224" t="str">
        <f>"まきび子どもセンター"</f>
        <v>まきび子どもセンター</v>
      </c>
      <c r="E3224" t="str">
        <f>"マキビコドモセンター"</f>
        <v>マキビコドモセンター</v>
      </c>
      <c r="F3224" t="str">
        <f>"真備町（吉備郡）"</f>
        <v>真備町（吉備郡）</v>
      </c>
      <c r="G3224" t="str">
        <f>"隔月刊"</f>
        <v>隔月刊</v>
      </c>
      <c r="H3224" t="str">
        <f>"2002222285501"</f>
        <v>2002222285501</v>
      </c>
      <c r="I3224" t="str">
        <f>HYPERLINK("#", "https://opac.libnet.pref.okayama.jp/licsxp-opac/WOpacMsgNewListToTifTilDetailAction.do?tilcod=2002222285501")</f>
        <v>https://opac.libnet.pref.okayama.jp/licsxp-opac/WOpacMsgNewListToTifTilDetailAction.do?tilcod=2002222285501</v>
      </c>
    </row>
    <row r="3225" spans="1:9" x14ac:dyDescent="0.4">
      <c r="A3225" t="str">
        <f>"すくすくハート; 早島町の家庭教育情報誌"</f>
        <v>すくすくハート; 早島町の家庭教育情報誌</v>
      </c>
      <c r="B3225" s="1" t="str">
        <f t="shared" si="170"/>
        <v>すくすくハート; 早島町の家庭教育情報誌</v>
      </c>
      <c r="C3225" t="str">
        <f>"スクスク ハート＊ハヤシマチョウ ノ カテイ キョウイク ジョウホウシ"</f>
        <v>スクスク ハート＊ハヤシマチョウ ノ カテイ キョウイク ジョウホウシ</v>
      </c>
      <c r="D3225" t="str">
        <f>"早島町教育委員会生涯学習課"</f>
        <v>早島町教育委員会生涯学習課</v>
      </c>
      <c r="E3225" t="str">
        <f>"ハヤシマチョウ キョウイク イインカイ ショウガイ ガクシュウカ"</f>
        <v>ハヤシマチョウ キョウイク イインカイ ショウガイ ガクシュウカ</v>
      </c>
      <c r="F3225" t="str">
        <f>"早島町(都窪郡)"</f>
        <v>早島町(都窪郡)</v>
      </c>
      <c r="G3225" t="str">
        <f>"季刊"</f>
        <v>季刊</v>
      </c>
      <c r="H3225" t="str">
        <f>"2002222336567"</f>
        <v>2002222336567</v>
      </c>
      <c r="I3225" t="str">
        <f>HYPERLINK("#", "https://opac.libnet.pref.okayama.jp/licsxp-opac/WOpacMsgNewListToTifTilDetailAction.do?tilcod=2002222336567")</f>
        <v>https://opac.libnet.pref.okayama.jp/licsxp-opac/WOpacMsgNewListToTifTilDetailAction.do?tilcod=2002222336567</v>
      </c>
    </row>
    <row r="3226" spans="1:9" x14ac:dyDescent="0.4">
      <c r="A3226" t="str">
        <f>"すくらっぷ３５"</f>
        <v>すくらっぷ３５</v>
      </c>
      <c r="B3226" s="1" t="str">
        <f t="shared" si="170"/>
        <v>すくらっぷ３５</v>
      </c>
      <c r="C3226" t="str">
        <f>"スクラップ　サンジュウゴ"</f>
        <v>スクラップ　サンジュウゴ</v>
      </c>
      <c r="D3226" t="str">
        <f>"〔出版者不明〕"</f>
        <v>〔出版者不明〕</v>
      </c>
      <c r="E3226" t="str">
        <f>"シュッパンシャフメイ"</f>
        <v>シュッパンシャフメイ</v>
      </c>
      <c r="F3226" t="str">
        <f>""</f>
        <v/>
      </c>
      <c r="G3226" t="str">
        <f>"頻度不明"</f>
        <v>頻度不明</v>
      </c>
      <c r="H3226" t="str">
        <f>"2002222283163"</f>
        <v>2002222283163</v>
      </c>
      <c r="I3226" t="str">
        <f>HYPERLINK("#", "https://opac.libnet.pref.okayama.jp/licsxp-opac/WOpacMsgNewListToTifTilDetailAction.do?tilcod=2002222283163")</f>
        <v>https://opac.libnet.pref.okayama.jp/licsxp-opac/WOpacMsgNewListToTifTilDetailAction.do?tilcod=2002222283163</v>
      </c>
    </row>
    <row r="3227" spans="1:9" x14ac:dyDescent="0.4">
      <c r="A3227" t="str">
        <f>"すくらんぶる；倉敷生活情報誌"</f>
        <v>すくらんぶる；倉敷生活情報誌</v>
      </c>
      <c r="B3227" s="1" t="str">
        <f t="shared" si="170"/>
        <v>すくらんぶる；倉敷生活情報誌</v>
      </c>
      <c r="C3227" t="str">
        <f>"スクランブル　クラシキ＊セイカツ　ジョウホウシ"</f>
        <v>スクランブル　クラシキ＊セイカツ　ジョウホウシ</v>
      </c>
      <c r="D3227" t="str">
        <f>"瀬戸内広告"</f>
        <v>瀬戸内広告</v>
      </c>
      <c r="E3227" t="str">
        <f>"セトウチコウコク"</f>
        <v>セトウチコウコク</v>
      </c>
      <c r="F3227" t="str">
        <f>""</f>
        <v/>
      </c>
      <c r="G3227" t="str">
        <f>"頻度不明"</f>
        <v>頻度不明</v>
      </c>
      <c r="H3227" t="str">
        <f>"2002222283173"</f>
        <v>2002222283173</v>
      </c>
      <c r="I3227" t="str">
        <f>HYPERLINK("#", "https://opac.libnet.pref.okayama.jp/licsxp-opac/WOpacMsgNewListToTifTilDetailAction.do?tilcod=2002222283173")</f>
        <v>https://opac.libnet.pref.okayama.jp/licsxp-opac/WOpacMsgNewListToTifTilDetailAction.do?tilcod=2002222283173</v>
      </c>
    </row>
    <row r="3228" spans="1:9" x14ac:dyDescent="0.4">
      <c r="A3228" t="str">
        <f>"すこやか国保だより"</f>
        <v>すこやか国保だより</v>
      </c>
      <c r="B3228" s="1" t="str">
        <f t="shared" si="170"/>
        <v>すこやか国保だより</v>
      </c>
      <c r="C3228" t="str">
        <f>"スコヤカ　コクホ　ダヨリ"</f>
        <v>スコヤカ　コクホ　ダヨリ</v>
      </c>
      <c r="D3228" t="str">
        <f>"津山市保険年金課国保医療係"</f>
        <v>津山市保険年金課国保医療係</v>
      </c>
      <c r="E3228" t="str">
        <f>"ツヤマシホケンネンキンカコクホイリョウカカリ"</f>
        <v>ツヤマシホケンネンキンカコクホイリョウカカリ</v>
      </c>
      <c r="F3228" t="str">
        <f>"津山"</f>
        <v>津山</v>
      </c>
      <c r="G3228" t="str">
        <f>"その他"</f>
        <v>その他</v>
      </c>
      <c r="H3228" t="str">
        <f>"2002222281471"</f>
        <v>2002222281471</v>
      </c>
      <c r="I3228" t="str">
        <f>HYPERLINK("#", "https://opac.libnet.pref.okayama.jp/licsxp-opac/WOpacMsgNewListToTifTilDetailAction.do?tilcod=2002222281471")</f>
        <v>https://opac.libnet.pref.okayama.jp/licsxp-opac/WOpacMsgNewListToTifTilDetailAction.do?tilcod=2002222281471</v>
      </c>
    </row>
    <row r="3229" spans="1:9" x14ac:dyDescent="0.4">
      <c r="A3229" t="str">
        <f>"すずむし"</f>
        <v>すずむし</v>
      </c>
      <c r="B3229" s="1" t="str">
        <f t="shared" si="170"/>
        <v>すずむし</v>
      </c>
      <c r="C3229" t="str">
        <f>"スズムシ"</f>
        <v>スズムシ</v>
      </c>
      <c r="D3229" t="str">
        <f>"倉敷昆虫同好会"</f>
        <v>倉敷昆虫同好会</v>
      </c>
      <c r="E3229" t="str">
        <f>"クラシキコンチュウドウコウカイ"</f>
        <v>クラシキコンチュウドウコウカイ</v>
      </c>
      <c r="F3229" t="str">
        <f>"倉敷"</f>
        <v>倉敷</v>
      </c>
      <c r="G3229" t="str">
        <f>"年刊"</f>
        <v>年刊</v>
      </c>
      <c r="H3229" t="str">
        <f>"2002222292791"</f>
        <v>2002222292791</v>
      </c>
      <c r="I3229" t="str">
        <f>HYPERLINK("#", "https://opac.libnet.pref.okayama.jp/licsxp-opac/WOpacMsgNewListToTifTilDetailAction.do?tilcod=2002222292791")</f>
        <v>https://opac.libnet.pref.okayama.jp/licsxp-opac/WOpacMsgNewListToTifTilDetailAction.do?tilcod=2002222292791</v>
      </c>
    </row>
    <row r="3230" spans="1:9" x14ac:dyDescent="0.4">
      <c r="A3230" t="str">
        <f>"図説標準高農"</f>
        <v>図説標準高農</v>
      </c>
      <c r="B3230" s="1" t="str">
        <f t="shared" si="170"/>
        <v>図説標準高農</v>
      </c>
      <c r="C3230" t="str">
        <f>"ズセツ　ヒョウジュン　タカノウ"</f>
        <v>ズセツ　ヒョウジュン　タカノウ</v>
      </c>
      <c r="D3230" t="str">
        <f>"高松農業高等学校生徒会"</f>
        <v>高松農業高等学校生徒会</v>
      </c>
      <c r="E3230" t="str">
        <f>"タカマツノウギョウコウトウガッコウセイトカイ"</f>
        <v>タカマツノウギョウコウトウガッコウセイトカイ</v>
      </c>
      <c r="F3230" t="str">
        <f>"岡山"</f>
        <v>岡山</v>
      </c>
      <c r="G3230" t="str">
        <f>"年刊"</f>
        <v>年刊</v>
      </c>
      <c r="H3230" t="str">
        <f>"2002222301110"</f>
        <v>2002222301110</v>
      </c>
      <c r="I3230" t="str">
        <f>HYPERLINK("#", "https://opac.libnet.pref.okayama.jp/licsxp-opac/WOpacMsgNewListToTifTilDetailAction.do?tilcod=2002222301110")</f>
        <v>https://opac.libnet.pref.okayama.jp/licsxp-opac/WOpacMsgNewListToTifTilDetailAction.do?tilcod=2002222301110</v>
      </c>
    </row>
    <row r="3231" spans="1:9" x14ac:dyDescent="0.4">
      <c r="A3231" t="str">
        <f>"STAR*"</f>
        <v>STAR*</v>
      </c>
      <c r="B3231" s="1" t="str">
        <f t="shared" si="170"/>
        <v>STAR*</v>
      </c>
      <c r="C3231" t="str">
        <f>"スター"</f>
        <v>スター</v>
      </c>
      <c r="D3231" t="str">
        <f>"フリーペーパーSTAR*制作委員会"</f>
        <v>フリーペーパーSTAR*制作委員会</v>
      </c>
      <c r="E3231" t="str">
        <f>"フリーペーパー スター セイサク イインカイ"</f>
        <v>フリーペーパー スター セイサク イインカイ</v>
      </c>
      <c r="F3231" t="str">
        <f>"倉敷"</f>
        <v>倉敷</v>
      </c>
      <c r="G3231" t="str">
        <f>"季刊"</f>
        <v>季刊</v>
      </c>
      <c r="H3231" t="str">
        <f>"2002222329288"</f>
        <v>2002222329288</v>
      </c>
      <c r="I3231" t="str">
        <f>HYPERLINK("#", "https://opac.libnet.pref.okayama.jp/licsxp-opac/WOpacMsgNewListToTifTilDetailAction.do?tilcod=2002222329288")</f>
        <v>https://opac.libnet.pref.okayama.jp/licsxp-opac/WOpacMsgNewListToTifTilDetailAction.do?tilcod=2002222329288</v>
      </c>
    </row>
    <row r="3232" spans="1:9" x14ac:dyDescent="0.4">
      <c r="A3232" t="str">
        <f>"STATUS ; 中国・岡山・四国・山陰・産業人クラブニューズレター"</f>
        <v>STATUS ; 中国・岡山・四国・山陰・産業人クラブニューズレター</v>
      </c>
      <c r="B3232" s="1" t="str">
        <f t="shared" si="170"/>
        <v>STATUS ; 中国・岡山・四国・山陰・産業人クラブニューズレター</v>
      </c>
      <c r="C3232" t="str">
        <f>"ステイタス＊チュウゴク オカヤマ シコク サンイン サンギョウジン クラブ ニューズ レター"</f>
        <v>ステイタス＊チュウゴク オカヤマ シコク サンイン サンギョウジン クラブ ニューズ レター</v>
      </c>
      <c r="D3232" t="str">
        <f>"岡山産業人クラブ事務局"</f>
        <v>岡山産業人クラブ事務局</v>
      </c>
      <c r="E3232" t="str">
        <f>"オカヤマ サンギョウジン クラブ ジムキョク"</f>
        <v>オカヤマ サンギョウジン クラブ ジムキョク</v>
      </c>
      <c r="F3232" t="str">
        <f t="shared" ref="F3232:F3239" si="171">"岡山"</f>
        <v>岡山</v>
      </c>
      <c r="G3232" t="str">
        <f>"頻度不明"</f>
        <v>頻度不明</v>
      </c>
      <c r="H3232" t="str">
        <f>"2002222336646"</f>
        <v>2002222336646</v>
      </c>
      <c r="I3232" t="str">
        <f>HYPERLINK("#", "https://opac.libnet.pref.okayama.jp/licsxp-opac/WOpacMsgNewListToTifTilDetailAction.do?tilcod=2002222336646")</f>
        <v>https://opac.libnet.pref.okayama.jp/licsxp-opac/WOpacMsgNewListToTifTilDetailAction.do?tilcod=2002222336646</v>
      </c>
    </row>
    <row r="3233" spans="1:9" x14ac:dyDescent="0.4">
      <c r="A3233" t="str">
        <f>"ステップハウス"</f>
        <v>ステップハウス</v>
      </c>
      <c r="B3233" s="1" t="str">
        <f t="shared" si="170"/>
        <v>ステップハウス</v>
      </c>
      <c r="C3233" t="str">
        <f>"ステップ　ハウス"</f>
        <v>ステップ　ハウス</v>
      </c>
      <c r="D3233" t="str">
        <f>"KG情報出版"</f>
        <v>KG情報出版</v>
      </c>
      <c r="E3233" t="str">
        <f>"ケージー ジョウホウ シュッパン"</f>
        <v>ケージー ジョウホウ シュッパン</v>
      </c>
      <c r="F3233" t="str">
        <f t="shared" si="171"/>
        <v>岡山</v>
      </c>
      <c r="G3233" t="str">
        <f>"隔週刊"</f>
        <v>隔週刊</v>
      </c>
      <c r="H3233" t="str">
        <f>"2002222283183"</f>
        <v>2002222283183</v>
      </c>
      <c r="I3233" t="str">
        <f>HYPERLINK("#", "https://opac.libnet.pref.okayama.jp/licsxp-opac/WOpacMsgNewListToTifTilDetailAction.do?tilcod=2002222283183")</f>
        <v>https://opac.libnet.pref.okayama.jp/licsxp-opac/WOpacMsgNewListToTifTilDetailAction.do?tilcod=2002222283183</v>
      </c>
    </row>
    <row r="3234" spans="1:9" x14ac:dyDescent="0.4">
      <c r="A3234" t="str">
        <f>"ステップハウス；岡山賃貸版"</f>
        <v>ステップハウス；岡山賃貸版</v>
      </c>
      <c r="B3234" s="1" t="str">
        <f t="shared" si="170"/>
        <v>ステップハウス；岡山賃貸版</v>
      </c>
      <c r="C3234" t="str">
        <f>"ステップ　ハウス　オカヤマ　チンタイバン"</f>
        <v>ステップ　ハウス　オカヤマ　チンタイバン</v>
      </c>
      <c r="D3234" t="str">
        <f>"ＫＧ情報"</f>
        <v>ＫＧ情報</v>
      </c>
      <c r="E3234" t="str">
        <f>"ケージージョウホウ"</f>
        <v>ケージージョウホウ</v>
      </c>
      <c r="F3234" t="str">
        <f t="shared" si="171"/>
        <v>岡山</v>
      </c>
      <c r="G3234" t="str">
        <f>"隔週刊"</f>
        <v>隔週刊</v>
      </c>
      <c r="H3234" t="str">
        <f>"2002222291811"</f>
        <v>2002222291811</v>
      </c>
      <c r="I3234" t="str">
        <f>HYPERLINK("#", "https://opac.libnet.pref.okayama.jp/licsxp-opac/WOpacMsgNewListToTifTilDetailAction.do?tilcod=2002222291811")</f>
        <v>https://opac.libnet.pref.okayama.jp/licsxp-opac/WOpacMsgNewListToTifTilDetailAction.do?tilcod=2002222291811</v>
      </c>
    </row>
    <row r="3235" spans="1:9" x14ac:dyDescent="0.4">
      <c r="A3235" t="str">
        <f>"ＳＴＥＰ　ＨＯＵＳＥ　．ＪＰ　ＮＥＷＳ！（ステップハウスドットジェイピーニュース）；岡山賃貸版"</f>
        <v>ＳＴＥＰ　ＨＯＵＳＥ　．ＪＰ　ＮＥＷＳ！（ステップハウスドットジェイピーニュース）；岡山賃貸版</v>
      </c>
      <c r="B3235" s="1" t="str">
        <f t="shared" si="170"/>
        <v>ＳＴＥＰ　ＨＯＵＳＥ　．ＪＰ　ＮＥＷＳ！（ステップハウスドットジェイピーニュース）；岡山賃貸版</v>
      </c>
      <c r="C3235" t="str">
        <f>"ステップ　ハウス　ドット　ジェイピー　ニュース＊オカヤマチンタイバン"</f>
        <v>ステップ　ハウス　ドット　ジェイピー　ニュース＊オカヤマチンタイバン</v>
      </c>
      <c r="D3235" t="str">
        <f>"ＫＧ情報"</f>
        <v>ＫＧ情報</v>
      </c>
      <c r="E3235" t="str">
        <f>"ケージージョウホウ"</f>
        <v>ケージージョウホウ</v>
      </c>
      <c r="F3235" t="str">
        <f t="shared" si="171"/>
        <v>岡山</v>
      </c>
      <c r="G3235" t="str">
        <f>"月２回刊"</f>
        <v>月２回刊</v>
      </c>
      <c r="H3235" t="str">
        <f>"2002222302038"</f>
        <v>2002222302038</v>
      </c>
      <c r="I3235" t="str">
        <f>HYPERLINK("#", "https://opac.libnet.pref.okayama.jp/licsxp-opac/WOpacMsgNewListToTifTilDetailAction.do?tilcod=2002222302038")</f>
        <v>https://opac.libnet.pref.okayama.jp/licsxp-opac/WOpacMsgNewListToTifTilDetailAction.do?tilcod=2002222302038</v>
      </c>
    </row>
    <row r="3236" spans="1:9" x14ac:dyDescent="0.4">
      <c r="A3236" t="str">
        <f>"ＳＴＥＰ　ＨＯＵＳＥ　．ＪＰ　Rｏｏｍａｇａ（ステップハウスドットジェイピールーマガ）；ルーマガ岡山版"</f>
        <v>ＳＴＥＰ　ＨＯＵＳＥ　．ＪＰ　Rｏｏｍａｇａ（ステップハウスドットジェイピールーマガ）；ルーマガ岡山版</v>
      </c>
      <c r="B3236" s="1" t="str">
        <f t="shared" si="170"/>
        <v>ＳＴＥＰ　ＨＯＵＳＥ　．ＪＰ　Rｏｏｍａｇａ（ステップハウスドットジェイピールーマガ）；ルーマガ岡山版</v>
      </c>
      <c r="C3236" t="str">
        <f>"ステップ　ハウス　ドット　ジェイピー　ルーマガ＊ルーマガオカヤマバン"</f>
        <v>ステップ　ハウス　ドット　ジェイピー　ルーマガ＊ルーマガオカヤマバン</v>
      </c>
      <c r="D3236" t="str">
        <f>"ＫＧ情報"</f>
        <v>ＫＧ情報</v>
      </c>
      <c r="E3236" t="str">
        <f>"ケージージョウホウ"</f>
        <v>ケージージョウホウ</v>
      </c>
      <c r="F3236" t="str">
        <f t="shared" si="171"/>
        <v>岡山</v>
      </c>
      <c r="G3236" t="str">
        <f t="shared" ref="G3236:G3243" si="172">"月刊"</f>
        <v>月刊</v>
      </c>
      <c r="H3236" t="str">
        <f>"2002222302152"</f>
        <v>2002222302152</v>
      </c>
      <c r="I3236" t="str">
        <f>HYPERLINK("#", "https://opac.libnet.pref.okayama.jp/licsxp-opac/WOpacMsgNewListToTifTilDetailAction.do?tilcod=2002222302152")</f>
        <v>https://opac.libnet.pref.okayama.jp/licsxp-opac/WOpacMsgNewListToTifTilDetailAction.do?tilcod=2002222302152</v>
      </c>
    </row>
    <row r="3237" spans="1:9" x14ac:dyDescent="0.4">
      <c r="A3237" t="str">
        <f>"ステップハウス；分譲・仲介版"</f>
        <v>ステップハウス；分譲・仲介版</v>
      </c>
      <c r="B3237" s="1" t="str">
        <f t="shared" si="170"/>
        <v>ステップハウス；分譲・仲介版</v>
      </c>
      <c r="C3237" t="str">
        <f>"ステップ　ハウス　ブンジョウ　チュウカイ　バン"</f>
        <v>ステップ　ハウス　ブンジョウ　チュウカイ　バン</v>
      </c>
      <c r="D3237" t="str">
        <f>"ＫＧ情報"</f>
        <v>ＫＧ情報</v>
      </c>
      <c r="E3237" t="str">
        <f>"ケージージョウホウ"</f>
        <v>ケージージョウホウ</v>
      </c>
      <c r="F3237" t="str">
        <f t="shared" si="171"/>
        <v>岡山</v>
      </c>
      <c r="G3237" t="str">
        <f t="shared" si="172"/>
        <v>月刊</v>
      </c>
      <c r="H3237" t="str">
        <f>"2002222291801"</f>
        <v>2002222291801</v>
      </c>
      <c r="I3237" t="str">
        <f>HYPERLINK("#", "https://opac.libnet.pref.okayama.jp/licsxp-opac/WOpacMsgNewListToTifTilDetailAction.do?tilcod=2002222291801")</f>
        <v>https://opac.libnet.pref.okayama.jp/licsxp-opac/WOpacMsgNewListToTifTilDetailAction.do?tilcod=2002222291801</v>
      </c>
    </row>
    <row r="3238" spans="1:9" x14ac:dyDescent="0.4">
      <c r="A3238" t="str">
        <f>"STEP HOUSE(ステップハウス 岡山・倉敷版);ステップハウス 岡山・倉敷版"</f>
        <v>STEP HOUSE(ステップハウス 岡山・倉敷版);ステップハウス 岡山・倉敷版</v>
      </c>
      <c r="B3238" s="1" t="str">
        <f t="shared" si="170"/>
        <v>STEP HOUSE(ステップハウス 岡山・倉敷版);ステップハウス 岡山・倉敷版</v>
      </c>
      <c r="C3238" t="str">
        <f>"ステップハウス オカヤマ クラシキ バン"</f>
        <v>ステップハウス オカヤマ クラシキ バン</v>
      </c>
      <c r="D3238" t="str">
        <f>"KG情報"</f>
        <v>KG情報</v>
      </c>
      <c r="E3238" t="str">
        <f>""</f>
        <v/>
      </c>
      <c r="F3238" t="str">
        <f t="shared" si="171"/>
        <v>岡山</v>
      </c>
      <c r="G3238" t="str">
        <f t="shared" si="172"/>
        <v>月刊</v>
      </c>
      <c r="H3238" t="str">
        <f>"2002222312506"</f>
        <v>2002222312506</v>
      </c>
      <c r="I3238" t="str">
        <f>HYPERLINK("#", "https://opac.libnet.pref.okayama.jp/licsxp-opac/WOpacMsgNewListToTifTilDetailAction.do?tilcod=2002222312506")</f>
        <v>https://opac.libnet.pref.okayama.jp/licsxp-opac/WOpacMsgNewListToTifTilDetailAction.do?tilcod=2002222312506</v>
      </c>
    </row>
    <row r="3239" spans="1:9" x14ac:dyDescent="0.4">
      <c r="A3239" t="str">
        <f>"STEP HOUSE(ステップハウス 岡山版);ステップハウス 岡山版"</f>
        <v>STEP HOUSE(ステップハウス 岡山版);ステップハウス 岡山版</v>
      </c>
      <c r="B3239" s="1" t="str">
        <f t="shared" si="170"/>
        <v>STEP HOUSE(ステップハウス 岡山版);ステップハウス 岡山版</v>
      </c>
      <c r="C3239" t="str">
        <f>"ステップハウス オカヤマバン"</f>
        <v>ステップハウス オカヤマバン</v>
      </c>
      <c r="D3239" t="str">
        <f>"KG情報"</f>
        <v>KG情報</v>
      </c>
      <c r="E3239" t="str">
        <f>"ケージー ジョウホウ"</f>
        <v>ケージー ジョウホウ</v>
      </c>
      <c r="F3239" t="str">
        <f t="shared" si="171"/>
        <v>岡山</v>
      </c>
      <c r="G3239" t="str">
        <f t="shared" si="172"/>
        <v>月刊</v>
      </c>
      <c r="H3239" t="str">
        <f>"2002222309146"</f>
        <v>2002222309146</v>
      </c>
      <c r="I3239" t="str">
        <f>HYPERLINK("#", "https://opac.libnet.pref.okayama.jp/licsxp-opac/WOpacMsgNewListToTifTilDetailAction.do?tilcod=2002222309146")</f>
        <v>https://opac.libnet.pref.okayama.jp/licsxp-opac/WOpacMsgNewListToTifTilDetailAction.do?tilcod=2002222309146</v>
      </c>
    </row>
    <row r="3240" spans="1:9" x14ac:dyDescent="0.4">
      <c r="A3240" t="str">
        <f>"ステップハウス　福山・備後版"</f>
        <v>ステップハウス　福山・備後版</v>
      </c>
      <c r="B3240" s="1" t="str">
        <f t="shared" si="170"/>
        <v>ステップハウス　福山・備後版</v>
      </c>
      <c r="C3240" t="str">
        <f>"ステップハウス　フクヤマ　ビンゴバン"</f>
        <v>ステップハウス　フクヤマ　ビンゴバン</v>
      </c>
      <c r="D3240" t="str">
        <f>"ＫＧ情報"</f>
        <v>ＫＧ情報</v>
      </c>
      <c r="E3240" t="str">
        <f>"ケージージョウホウ"</f>
        <v>ケージージョウホウ</v>
      </c>
      <c r="F3240" t="str">
        <f>"福山"</f>
        <v>福山</v>
      </c>
      <c r="G3240" t="str">
        <f t="shared" si="172"/>
        <v>月刊</v>
      </c>
      <c r="H3240" t="str">
        <f>"2002222300313"</f>
        <v>2002222300313</v>
      </c>
      <c r="I3240" t="str">
        <f>HYPERLINK("#", "https://opac.libnet.pref.okayama.jp/licsxp-opac/WOpacMsgNewListToTifTilDetailAction.do?tilcod=2002222300313")</f>
        <v>https://opac.libnet.pref.okayama.jp/licsxp-opac/WOpacMsgNewListToTifTilDetailAction.do?tilcod=2002222300313</v>
      </c>
    </row>
    <row r="3241" spans="1:9" x14ac:dyDescent="0.4">
      <c r="A3241" t="str">
        <f>"ステップハウス マイホーム 岡山"</f>
        <v>ステップハウス マイホーム 岡山</v>
      </c>
      <c r="B3241" s="1" t="str">
        <f t="shared" si="170"/>
        <v>ステップハウス マイホーム 岡山</v>
      </c>
      <c r="C3241" t="str">
        <f>"ステップハウス マイホーム　オカヤマ"</f>
        <v>ステップハウス マイホーム　オカヤマ</v>
      </c>
      <c r="D3241" t="str">
        <f>"KG情報"</f>
        <v>KG情報</v>
      </c>
      <c r="E3241" t="str">
        <f>"ケージー ジョウホウ"</f>
        <v>ケージー ジョウホウ</v>
      </c>
      <c r="F3241" t="str">
        <f t="shared" ref="F3241:F3246" si="173">"岡山"</f>
        <v>岡山</v>
      </c>
      <c r="G3241" t="str">
        <f t="shared" si="172"/>
        <v>月刊</v>
      </c>
      <c r="H3241" t="str">
        <f>"2002222312346"</f>
        <v>2002222312346</v>
      </c>
      <c r="I3241" t="str">
        <f>HYPERLINK("#", "https://opac.libnet.pref.okayama.jp/licsxp-opac/WOpacMsgNewListToTifTilDetailAction.do?tilcod=2002222312346")</f>
        <v>https://opac.libnet.pref.okayama.jp/licsxp-opac/WOpacMsgNewListToTifTilDetailAction.do?tilcod=2002222312346</v>
      </c>
    </row>
    <row r="3242" spans="1:9" x14ac:dyDescent="0.4">
      <c r="A3242" t="str">
        <f>"ステップハウス マイホーム 岡山の家"</f>
        <v>ステップハウス マイホーム 岡山の家</v>
      </c>
      <c r="B3242" s="1" t="str">
        <f t="shared" si="170"/>
        <v>ステップハウス マイホーム 岡山の家</v>
      </c>
      <c r="C3242" t="str">
        <f>"ステップハウス マイホーム　オカヤマ ノ イエ"</f>
        <v>ステップハウス マイホーム　オカヤマ ノ イエ</v>
      </c>
      <c r="D3242" t="str">
        <f>"KG情報"</f>
        <v>KG情報</v>
      </c>
      <c r="E3242" t="str">
        <f>""</f>
        <v/>
      </c>
      <c r="F3242" t="str">
        <f t="shared" si="173"/>
        <v>岡山</v>
      </c>
      <c r="G3242" t="str">
        <f t="shared" si="172"/>
        <v>月刊</v>
      </c>
      <c r="H3242" t="str">
        <f>"2002222314907"</f>
        <v>2002222314907</v>
      </c>
      <c r="I3242" t="str">
        <f>HYPERLINK("#", "https://opac.libnet.pref.okayama.jp/licsxp-opac/WOpacMsgNewListToTifTilDetailAction.do?tilcod=2002222314907")</f>
        <v>https://opac.libnet.pref.okayama.jp/licsxp-opac/WOpacMsgNewListToTifTilDetailAction.do?tilcod=2002222314907</v>
      </c>
    </row>
    <row r="3243" spans="1:9" x14ac:dyDescent="0.4">
      <c r="A3243" t="str">
        <f>"ステップハウス　マイホーム　岡山県版"</f>
        <v>ステップハウス　マイホーム　岡山県版</v>
      </c>
      <c r="B3243" s="1" t="str">
        <f t="shared" si="170"/>
        <v>ステップハウス　マイホーム　岡山県版</v>
      </c>
      <c r="C3243" t="str">
        <f>"ステップハウス　マイホーム　オカヤマケンバン"</f>
        <v>ステップハウス　マイホーム　オカヤマケンバン</v>
      </c>
      <c r="D3243" t="str">
        <f>"ＫＧ情報"</f>
        <v>ＫＧ情報</v>
      </c>
      <c r="E3243" t="str">
        <f>"ケージージョウホウ"</f>
        <v>ケージージョウホウ</v>
      </c>
      <c r="F3243" t="str">
        <f t="shared" si="173"/>
        <v>岡山</v>
      </c>
      <c r="G3243" t="str">
        <f t="shared" si="172"/>
        <v>月刊</v>
      </c>
      <c r="H3243" t="str">
        <f>"2002222301013"</f>
        <v>2002222301013</v>
      </c>
      <c r="I3243" t="str">
        <f>HYPERLINK("#", "https://opac.libnet.pref.okayama.jp/licsxp-opac/WOpacMsgNewListToTifTilDetailAction.do?tilcod=2002222301013")</f>
        <v>https://opac.libnet.pref.okayama.jp/licsxp-opac/WOpacMsgNewListToTifTilDetailAction.do?tilcod=2002222301013</v>
      </c>
    </row>
    <row r="3244" spans="1:9" x14ac:dyDescent="0.4">
      <c r="A3244" t="str">
        <f>"ステップハウス マイホーム 備後の家"</f>
        <v>ステップハウス マイホーム 備後の家</v>
      </c>
      <c r="B3244" s="1" t="str">
        <f t="shared" si="170"/>
        <v>ステップハウス マイホーム 備後の家</v>
      </c>
      <c r="C3244" t="str">
        <f>"ステップハウス マイホーム ビンゴノイエ"</f>
        <v>ステップハウス マイホーム ビンゴノイエ</v>
      </c>
      <c r="D3244" t="str">
        <f>"ＫＧ情報"</f>
        <v>ＫＧ情報</v>
      </c>
      <c r="E3244" t="str">
        <f>"ケージージョウホウ"</f>
        <v>ケージージョウホウ</v>
      </c>
      <c r="F3244" t="str">
        <f t="shared" si="173"/>
        <v>岡山</v>
      </c>
      <c r="G3244" t="str">
        <f>"隔月刊"</f>
        <v>隔月刊</v>
      </c>
      <c r="H3244" t="str">
        <f>"2002222315326"</f>
        <v>2002222315326</v>
      </c>
      <c r="I3244" t="str">
        <f>HYPERLINK("#", "https://opac.libnet.pref.okayama.jp/licsxp-opac/WOpacMsgNewListToTifTilDetailAction.do?tilcod=2002222315326")</f>
        <v>https://opac.libnet.pref.okayama.jp/licsxp-opac/WOpacMsgNewListToTifTilDetailAction.do?tilcod=2002222315326</v>
      </c>
    </row>
    <row r="3245" spans="1:9" x14ac:dyDescent="0.4">
      <c r="A3245" t="str">
        <f>"ステップハウス マイホーム 福山・備後"</f>
        <v>ステップハウス マイホーム 福山・備後</v>
      </c>
      <c r="B3245" s="1" t="str">
        <f t="shared" si="170"/>
        <v>ステップハウス マイホーム 福山・備後</v>
      </c>
      <c r="C3245" t="str">
        <f>"ステップハウス マイホーム フクヤマ ビンゴ "</f>
        <v xml:space="preserve">ステップハウス マイホーム フクヤマ ビンゴ </v>
      </c>
      <c r="D3245" t="str">
        <f>"ＫＧ情報"</f>
        <v>ＫＧ情報</v>
      </c>
      <c r="E3245" t="str">
        <f>"ケージージョウホウ"</f>
        <v>ケージージョウホウ</v>
      </c>
      <c r="F3245" t="str">
        <f t="shared" si="173"/>
        <v>岡山</v>
      </c>
      <c r="G3245" t="str">
        <f>"隔月刊"</f>
        <v>隔月刊</v>
      </c>
      <c r="H3245" t="str">
        <f>"2002222313386"</f>
        <v>2002222313386</v>
      </c>
      <c r="I3245" t="str">
        <f>HYPERLINK("#", "https://opac.libnet.pref.okayama.jp/licsxp-opac/WOpacMsgNewListToTifTilDetailAction.do?tilcod=2002222313386")</f>
        <v>https://opac.libnet.pref.okayama.jp/licsxp-opac/WOpacMsgNewListToTifTilDetailAction.do?tilcod=2002222313386</v>
      </c>
    </row>
    <row r="3246" spans="1:9" x14ac:dyDescent="0.4">
      <c r="A3246" t="str">
        <f>"粋道府(複製)"</f>
        <v>粋道府(複製)</v>
      </c>
      <c r="B3246" s="1" t="str">
        <f t="shared" si="170"/>
        <v>粋道府(複製)</v>
      </c>
      <c r="C3246" t="str">
        <f>"スドウフ"</f>
        <v>スドウフ</v>
      </c>
      <c r="D3246" t="str">
        <f>"文友館出版部"</f>
        <v>文友館出版部</v>
      </c>
      <c r="E3246" t="str">
        <f>"ブンユウカン"</f>
        <v>ブンユウカン</v>
      </c>
      <c r="F3246" t="str">
        <f t="shared" si="173"/>
        <v>岡山</v>
      </c>
      <c r="G3246" t="str">
        <f>"月２回刊"</f>
        <v>月２回刊</v>
      </c>
      <c r="H3246" t="str">
        <f>"2002222334786"</f>
        <v>2002222334786</v>
      </c>
      <c r="I3246" t="str">
        <f>HYPERLINK("#", "https://opac.libnet.pref.okayama.jp/licsxp-opac/WOpacMsgNewListToTifTilDetailAction.do?tilcod=2002222334786")</f>
        <v>https://opac.libnet.pref.okayama.jp/licsxp-opac/WOpacMsgNewListToTifTilDetailAction.do?tilcod=2002222334786</v>
      </c>
    </row>
    <row r="3247" spans="1:9" x14ac:dyDescent="0.4">
      <c r="A3247" t="str">
        <f>"ＳＴＯＲＫ　ｉｎｆｏｒｍａｔｉｏｎ（ストーク　インフォメーション）"</f>
        <v>ＳＴＯＲＫ　ｉｎｆｏｒｍａｔｉｏｎ（ストーク　インフォメーション）</v>
      </c>
      <c r="B3247" s="1" t="str">
        <f t="shared" si="170"/>
        <v>ＳＴＯＲＫ　ｉｎｆｏｒｍａｔｉｏｎ（ストーク　インフォメーション）</v>
      </c>
      <c r="C3247" t="str">
        <f>"ストーク　インフォメーション"</f>
        <v>ストーク　インフォメーション</v>
      </c>
      <c r="D3247" t="str">
        <f>"現代玩具博物館・オルゴール夢館"</f>
        <v>現代玩具博物館・オルゴール夢館</v>
      </c>
      <c r="E3247" t="str">
        <f>"ゲンダイ ガング ハクブツカン オルゴール ユメカン"</f>
        <v>ゲンダイ ガング ハクブツカン オルゴール ユメカン</v>
      </c>
      <c r="F3247" t="str">
        <f>"美作"</f>
        <v>美作</v>
      </c>
      <c r="G3247" t="str">
        <f>"月刊"</f>
        <v>月刊</v>
      </c>
      <c r="H3247" t="str">
        <f>"2002222285721"</f>
        <v>2002222285721</v>
      </c>
      <c r="I3247" t="str">
        <f>HYPERLINK("#", "https://opac.libnet.pref.okayama.jp/licsxp-opac/WOpacMsgNewListToTifTilDetailAction.do?tilcod=2002222285721")</f>
        <v>https://opac.libnet.pref.okayama.jp/licsxp-opac/WOpacMsgNewListToTifTilDetailAction.do?tilcod=2002222285721</v>
      </c>
    </row>
    <row r="3248" spans="1:9" x14ac:dyDescent="0.4">
      <c r="A3248" t="str">
        <f>"ＳＴＯＲＫ　ＰＲＥＳＳ（ストーク　プレス）"</f>
        <v>ＳＴＯＲＫ　ＰＲＥＳＳ（ストーク　プレス）</v>
      </c>
      <c r="B3248" s="1" t="str">
        <f t="shared" si="170"/>
        <v>ＳＴＯＲＫ　ＰＲＥＳＳ（ストーク　プレス）</v>
      </c>
      <c r="C3248" t="str">
        <f>"ストーク　プレス"</f>
        <v>ストーク　プレス</v>
      </c>
      <c r="D3248" t="str">
        <f>"現代玩具博物館"</f>
        <v>現代玩具博物館</v>
      </c>
      <c r="E3248" t="str">
        <f>"ゲンダイ ガング ハクブツカン"</f>
        <v>ゲンダイ ガング ハクブツカン</v>
      </c>
      <c r="F3248" t="str">
        <f>"美作"</f>
        <v>美作</v>
      </c>
      <c r="G3248" t="str">
        <f>"頻度不明"</f>
        <v>頻度不明</v>
      </c>
      <c r="H3248" t="str">
        <f>"2002222280881"</f>
        <v>2002222280881</v>
      </c>
      <c r="I3248" t="str">
        <f>HYPERLINK("#", "https://opac.libnet.pref.okayama.jp/licsxp-opac/WOpacMsgNewListToTifTilDetailAction.do?tilcod=2002222280881")</f>
        <v>https://opac.libnet.pref.okayama.jp/licsxp-opac/WOpacMsgNewListToTifTilDetailAction.do?tilcod=2002222280881</v>
      </c>
    </row>
    <row r="3249" spans="1:9" x14ac:dyDescent="0.4">
      <c r="A3249" t="str">
        <f>"ＳＴＯＲＫ　ｍａｇａｚｉｎｅ（ストーク　マガジン）"</f>
        <v>ＳＴＯＲＫ　ｍａｇａｚｉｎｅ（ストーク　マガジン）</v>
      </c>
      <c r="B3249" s="1" t="str">
        <f t="shared" si="170"/>
        <v>ＳＴＯＲＫ　ｍａｇａｚｉｎｅ（ストーク　マガジン）</v>
      </c>
      <c r="C3249" t="str">
        <f>"ストーク　マガジン"</f>
        <v>ストーク　マガジン</v>
      </c>
      <c r="D3249" t="str">
        <f>"現代玩具博物館・オルゴール夢館"</f>
        <v>現代玩具博物館・オルゴール夢館</v>
      </c>
      <c r="E3249" t="str">
        <f>"ゲンダイ ガング ハクブツカン オルゴール ユメカン"</f>
        <v>ゲンダイ ガング ハクブツカン オルゴール ユメカン</v>
      </c>
      <c r="F3249" t="str">
        <f>"美作"</f>
        <v>美作</v>
      </c>
      <c r="G3249" t="str">
        <f>"月刊"</f>
        <v>月刊</v>
      </c>
      <c r="H3249" t="str">
        <f>"2002222302445"</f>
        <v>2002222302445</v>
      </c>
      <c r="I3249" t="str">
        <f>HYPERLINK("#", "https://opac.libnet.pref.okayama.jp/licsxp-opac/WOpacMsgNewListToTifTilDetailAction.do?tilcod=2002222302445")</f>
        <v>https://opac.libnet.pref.okayama.jp/licsxp-opac/WOpacMsgNewListToTifTilDetailAction.do?tilcod=2002222302445</v>
      </c>
    </row>
    <row r="3250" spans="1:9" x14ac:dyDescent="0.4">
      <c r="A3250" t="str">
        <f>"STREET JOUNALくらしき"</f>
        <v>STREET JOUNALくらしき</v>
      </c>
      <c r="B3250" s="1" t="str">
        <f t="shared" si="170"/>
        <v>STREET JOUNALくらしき</v>
      </c>
      <c r="C3250" t="str">
        <f>"ストリート ジャーナル クラシキ"</f>
        <v>ストリート ジャーナル クラシキ</v>
      </c>
      <c r="D3250" t="str">
        <f>"協同企画倉敷支社"</f>
        <v>協同企画倉敷支社</v>
      </c>
      <c r="E3250" t="str">
        <f>"キョウドウ キカク クラシキ シシャ"</f>
        <v>キョウドウ キカク クラシキ シシャ</v>
      </c>
      <c r="F3250" t="str">
        <f>"倉敷"</f>
        <v>倉敷</v>
      </c>
      <c r="G3250" t="str">
        <f>"頻度不明"</f>
        <v>頻度不明</v>
      </c>
      <c r="H3250" t="str">
        <f>"2002222319427"</f>
        <v>2002222319427</v>
      </c>
      <c r="I3250" t="str">
        <f>HYPERLINK("#", "https://opac.libnet.pref.okayama.jp/licsxp-opac/WOpacMsgNewListToTifTilDetailAction.do?tilcod=2002222319427")</f>
        <v>https://opac.libnet.pref.okayama.jp/licsxp-opac/WOpacMsgNewListToTifTilDetailAction.do?tilcod=2002222319427</v>
      </c>
    </row>
    <row r="3251" spans="1:9" x14ac:dyDescent="0.4">
      <c r="A3251" t="str">
        <f>"すながわ"</f>
        <v>すながわ</v>
      </c>
      <c r="B3251" s="1" t="str">
        <f t="shared" si="170"/>
        <v>すながわ</v>
      </c>
      <c r="C3251" t="str">
        <f>"スナガワ"</f>
        <v>スナガワ</v>
      </c>
      <c r="D3251" t="str">
        <f>"山陽小学校ＰＴＡ広報部"</f>
        <v>山陽小学校ＰＴＡ広報部</v>
      </c>
      <c r="E3251" t="str">
        <f>"サンヨウショウガッコウピーティーエーコウホウブ"</f>
        <v>サンヨウショウガッコウピーティーエーコウホウブ</v>
      </c>
      <c r="F3251" t="str">
        <f>"赤磐"</f>
        <v>赤磐</v>
      </c>
      <c r="G3251" t="str">
        <f>"年３回刊"</f>
        <v>年３回刊</v>
      </c>
      <c r="H3251" t="str">
        <f>"2002222280481"</f>
        <v>2002222280481</v>
      </c>
      <c r="I3251" t="str">
        <f>HYPERLINK("#", "https://opac.libnet.pref.okayama.jp/licsxp-opac/WOpacMsgNewListToTifTilDetailAction.do?tilcod=2002222280481")</f>
        <v>https://opac.libnet.pref.okayama.jp/licsxp-opac/WOpacMsgNewListToTifTilDetailAction.do?tilcod=2002222280481</v>
      </c>
    </row>
    <row r="3252" spans="1:9" x14ac:dyDescent="0.4">
      <c r="A3252" t="str">
        <f>"Sparkle（スパークル）；連合岡山女性委員会広報誌"</f>
        <v>Sparkle（スパークル）；連合岡山女性委員会広報誌</v>
      </c>
      <c r="B3252" s="1" t="str">
        <f t="shared" si="170"/>
        <v>Sparkle（スパークル）；連合岡山女性委員会広報誌</v>
      </c>
      <c r="C3252" t="str">
        <f>"スパークル＊レンゴウ オカヤマ ジョセイ イインカイ コウホウシ"</f>
        <v>スパークル＊レンゴウ オカヤマ ジョセイ イインカイ コウホウシ</v>
      </c>
      <c r="D3252" t="str">
        <f>"日本労働組合総連合会岡山県連合会女性委員会"</f>
        <v>日本労働組合総連合会岡山県連合会女性委員会</v>
      </c>
      <c r="E3252" t="str">
        <f>"ニホン ロウドウ クミアイ ソウ レンゴウカイ オカヤマケン レンゴウカイ ジョセイ イインカイ"</f>
        <v>ニホン ロウドウ クミアイ ソウ レンゴウカイ オカヤマケン レンゴウカイ ジョセイ イインカイ</v>
      </c>
      <c r="F3252" t="str">
        <f>"岡山"</f>
        <v>岡山</v>
      </c>
      <c r="G3252" t="str">
        <f>"頻度不明"</f>
        <v>頻度不明</v>
      </c>
      <c r="H3252" t="str">
        <f>"2002222343632"</f>
        <v>2002222343632</v>
      </c>
      <c r="I3252" t="str">
        <f>HYPERLINK("#", "https://opac.libnet.pref.okayama.jp/licsxp-opac/WOpacMsgNewListToTifTilDetailAction.do?tilcod=2002222343632")</f>
        <v>https://opac.libnet.pref.okayama.jp/licsxp-opac/WOpacMsgNewListToTifTilDetailAction.do?tilcod=2002222343632</v>
      </c>
    </row>
    <row r="3253" spans="1:9" x14ac:dyDescent="0.4">
      <c r="A3253" t="str">
        <f>"ＳＰＩＲＡＬ（スパイラル）"</f>
        <v>ＳＰＩＲＡＬ（スパイラル）</v>
      </c>
      <c r="B3253" s="1" t="str">
        <f t="shared" si="170"/>
        <v>ＳＰＩＲＡＬ（スパイラル）</v>
      </c>
      <c r="C3253" t="str">
        <f>"スパイラル"</f>
        <v>スパイラル</v>
      </c>
      <c r="D3253" t="str">
        <f>"岡山大学法経スパイラル刊行委員会"</f>
        <v>岡山大学法経スパイラル刊行委員会</v>
      </c>
      <c r="E3253" t="str">
        <f>"オカヤマダイガクホウケイスパイラルカンコウイインカイ"</f>
        <v>オカヤマダイガクホウケイスパイラルカンコウイインカイ</v>
      </c>
      <c r="F3253" t="str">
        <f>"岡山"</f>
        <v>岡山</v>
      </c>
      <c r="G3253" t="str">
        <f>"年刊"</f>
        <v>年刊</v>
      </c>
      <c r="H3253" t="str">
        <f>"2002222288513"</f>
        <v>2002222288513</v>
      </c>
      <c r="I3253" t="str">
        <f>HYPERLINK("#", "https://opac.libnet.pref.okayama.jp/licsxp-opac/WOpacMsgNewListToTifTilDetailAction.do?tilcod=2002222288513")</f>
        <v>https://opac.libnet.pref.okayama.jp/licsxp-opac/WOpacMsgNewListToTifTilDetailAction.do?tilcod=2002222288513</v>
      </c>
    </row>
    <row r="3254" spans="1:9" x14ac:dyDescent="0.4">
      <c r="A3254" t="str">
        <f>"Ｓｐｏｒｔ＆Ｃｕｌｔｕｒｅイベントガイド"</f>
        <v>Ｓｐｏｒｔ＆Ｃｕｌｔｕｒｅイベントガイド</v>
      </c>
      <c r="B3254" s="1" t="str">
        <f t="shared" si="170"/>
        <v>Ｓｐｏｒｔ＆Ｃｕｌｔｕｒｅイベントガイド</v>
      </c>
      <c r="C3254" t="str">
        <f>"スポーツ　アンド　カルチャー　イベント　ガイド"</f>
        <v>スポーツ　アンド　カルチャー　イベント　ガイド</v>
      </c>
      <c r="D3254" t="str">
        <f>"岡山市スポーツ・文化振興財団"</f>
        <v>岡山市スポーツ・文化振興財団</v>
      </c>
      <c r="E3254" t="str">
        <f>"オカヤマシ スポーツ ブンカ シンコウ ザイダン"</f>
        <v>オカヤマシ スポーツ ブンカ シンコウ ザイダン</v>
      </c>
      <c r="F3254" t="str">
        <f>"岡山"</f>
        <v>岡山</v>
      </c>
      <c r="G3254" t="str">
        <f>"月刊"</f>
        <v>月刊</v>
      </c>
      <c r="H3254" t="str">
        <f>"2002222282121"</f>
        <v>2002222282121</v>
      </c>
      <c r="I3254" t="str">
        <f>HYPERLINK("#", "https://opac.libnet.pref.okayama.jp/licsxp-opac/WOpacMsgNewListToTifTilDetailAction.do?tilcod=2002222282121")</f>
        <v>https://opac.libnet.pref.okayama.jp/licsxp-opac/WOpacMsgNewListToTifTilDetailAction.do?tilcod=2002222282121</v>
      </c>
    </row>
    <row r="3255" spans="1:9" x14ac:dyDescent="0.4">
      <c r="A3255" t="str">
        <f>"スポーツ岡山"</f>
        <v>スポーツ岡山</v>
      </c>
      <c r="B3255" s="1" t="str">
        <f t="shared" si="170"/>
        <v>スポーツ岡山</v>
      </c>
      <c r="C3255" t="str">
        <f>"スポーツ　オカヤマ"</f>
        <v>スポーツ　オカヤマ</v>
      </c>
      <c r="D3255" t="str">
        <f>"スポーツ岡山新聞社"</f>
        <v>スポーツ岡山新聞社</v>
      </c>
      <c r="E3255" t="str">
        <f>"スポーツオカヤマシンブンシャ"</f>
        <v>スポーツオカヤマシンブンシャ</v>
      </c>
      <c r="F3255" t="str">
        <f>"岡山"</f>
        <v>岡山</v>
      </c>
      <c r="G3255" t="str">
        <f>"週刊"</f>
        <v>週刊</v>
      </c>
      <c r="H3255" t="str">
        <f>"2002222300927"</f>
        <v>2002222300927</v>
      </c>
      <c r="I3255" t="str">
        <f>HYPERLINK("#", "https://opac.libnet.pref.okayama.jp/licsxp-opac/WOpacMsgNewListToTifTilDetailAction.do?tilcod=2002222300927")</f>
        <v>https://opac.libnet.pref.okayama.jp/licsxp-opac/WOpacMsgNewListToTifTilDetailAction.do?tilcod=2002222300927</v>
      </c>
    </row>
    <row r="3256" spans="1:9" x14ac:dyDescent="0.4">
      <c r="A3256" t="str">
        <f>"スポーツトレーナー岡山"</f>
        <v>スポーツトレーナー岡山</v>
      </c>
      <c r="B3256" s="1" t="str">
        <f t="shared" si="170"/>
        <v>スポーツトレーナー岡山</v>
      </c>
      <c r="C3256" t="str">
        <f>"スポーツ　トレーナー　オカヤマ"</f>
        <v>スポーツ　トレーナー　オカヤマ</v>
      </c>
      <c r="D3256" t="str">
        <f>"岡山県スポーツトレーナー委員会"</f>
        <v>岡山県スポーツトレーナー委員会</v>
      </c>
      <c r="E3256" t="str">
        <f>"オカヤマケンスポーツトレーナーイインカイ"</f>
        <v>オカヤマケンスポーツトレーナーイインカイ</v>
      </c>
      <c r="F3256" t="str">
        <f>""</f>
        <v/>
      </c>
      <c r="G3256" t="str">
        <f>"頻度不明"</f>
        <v>頻度不明</v>
      </c>
      <c r="H3256" t="str">
        <f>"2002222283193"</f>
        <v>2002222283193</v>
      </c>
      <c r="I3256" t="str">
        <f>HYPERLINK("#", "https://opac.libnet.pref.okayama.jp/licsxp-opac/WOpacMsgNewListToTifTilDetailAction.do?tilcod=2002222283193")</f>
        <v>https://opac.libnet.pref.okayama.jp/licsxp-opac/WOpacMsgNewListToTifTilDetailAction.do?tilcod=2002222283193</v>
      </c>
    </row>
    <row r="3257" spans="1:9" x14ac:dyDescent="0.4">
      <c r="A3257" t="str">
        <f>"SMILEくろーばーMAGAZINE；就労移行支援・自立訓練（生活訓練）"</f>
        <v>SMILEくろーばーMAGAZINE；就労移行支援・自立訓練（生活訓練）</v>
      </c>
      <c r="B3257" s="1" t="str">
        <f t="shared" si="170"/>
        <v>SMILEくろーばーMAGAZINE；就労移行支援・自立訓練（生活訓練）</v>
      </c>
      <c r="C3257" t="str">
        <f>"スマイル クローバー マガジン＊シュウロウ イコウ シエン ジリツ クンレン セイカツ クンレン"</f>
        <v>スマイル クローバー マガジン＊シュウロウ イコウ シエン ジリツ クンレン セイカツ クンレン</v>
      </c>
      <c r="D3257" t="str">
        <f>"SMILEくろーばー"</f>
        <v>SMILEくろーばー</v>
      </c>
      <c r="E3257" t="str">
        <f>"スマイル クローバー"</f>
        <v>スマイル クローバー</v>
      </c>
      <c r="F3257" t="str">
        <f>"岡山"</f>
        <v>岡山</v>
      </c>
      <c r="G3257" t="str">
        <f>"月刊"</f>
        <v>月刊</v>
      </c>
      <c r="H3257" t="str">
        <f>"2002222342732"</f>
        <v>2002222342732</v>
      </c>
      <c r="I3257" t="str">
        <f>HYPERLINK("#", "https://opac.libnet.pref.okayama.jp/licsxp-opac/WOpacMsgNewListToTifTilDetailAction.do?tilcod=2002222342732")</f>
        <v>https://opac.libnet.pref.okayama.jp/licsxp-opac/WOpacMsgNewListToTifTilDetailAction.do?tilcod=2002222342732</v>
      </c>
    </row>
    <row r="3258" spans="1:9" x14ac:dyDescent="0.4">
      <c r="A3258" t="str">
        <f>"SMILEくろーばーMAGAZINE；就労移行支援Ver."</f>
        <v>SMILEくろーばーMAGAZINE；就労移行支援Ver.</v>
      </c>
      <c r="B3258" s="1" t="str">
        <f t="shared" si="170"/>
        <v>SMILEくろーばーMAGAZINE；就労移行支援Ver.</v>
      </c>
      <c r="C3258" t="str">
        <f>"スマイル クローバー マガジン＊シュウロウ イコウ シエン バージョン"</f>
        <v>スマイル クローバー マガジン＊シュウロウ イコウ シエン バージョン</v>
      </c>
      <c r="D3258" t="str">
        <f>"SMILEくろーばー"</f>
        <v>SMILEくろーばー</v>
      </c>
      <c r="E3258" t="str">
        <f>"スマイル クローバー"</f>
        <v>スマイル クローバー</v>
      </c>
      <c r="F3258" t="str">
        <f>"岡山"</f>
        <v>岡山</v>
      </c>
      <c r="G3258" t="str">
        <f>"月刊"</f>
        <v>月刊</v>
      </c>
      <c r="H3258" t="str">
        <f>"2002222343635"</f>
        <v>2002222343635</v>
      </c>
      <c r="I3258" t="str">
        <f>HYPERLINK("#", "https://opac.libnet.pref.okayama.jp/licsxp-opac/WOpacMsgNewListToTifTilDetailAction.do?tilcod=2002222343635")</f>
        <v>https://opac.libnet.pref.okayama.jp/licsxp-opac/WOpacMsgNewListToTifTilDetailAction.do?tilcod=2002222343635</v>
      </c>
    </row>
    <row r="3259" spans="1:9" x14ac:dyDescent="0.4">
      <c r="A3259" t="str">
        <f>"SMILEくろーばーMAGAZINE；自立訓練Ver."</f>
        <v>SMILEくろーばーMAGAZINE；自立訓練Ver.</v>
      </c>
      <c r="B3259" s="1" t="str">
        <f t="shared" si="170"/>
        <v>SMILEくろーばーMAGAZINE；自立訓練Ver.</v>
      </c>
      <c r="C3259" t="str">
        <f>"スマイル クローバー マガジン＊ジリツ クンレン バージョン"</f>
        <v>スマイル クローバー マガジン＊ジリツ クンレン バージョン</v>
      </c>
      <c r="D3259" t="str">
        <f>"SMILEくろーばー"</f>
        <v>SMILEくろーばー</v>
      </c>
      <c r="E3259" t="str">
        <f>"スマイル クローバー"</f>
        <v>スマイル クローバー</v>
      </c>
      <c r="F3259" t="str">
        <f>"岡山"</f>
        <v>岡山</v>
      </c>
      <c r="G3259" t="str">
        <f>"月刊"</f>
        <v>月刊</v>
      </c>
      <c r="H3259" t="str">
        <f>"2002222343636"</f>
        <v>2002222343636</v>
      </c>
      <c r="I3259" t="str">
        <f>HYPERLINK("#", "https://opac.libnet.pref.okayama.jp/licsxp-opac/WOpacMsgNewListToTifTilDetailAction.do?tilcod=2002222343636")</f>
        <v>https://opac.libnet.pref.okayama.jp/licsxp-opac/WOpacMsgNewListToTifTilDetailAction.do?tilcod=2002222343636</v>
      </c>
    </row>
    <row r="3260" spans="1:9" x14ac:dyDescent="0.4">
      <c r="A3260" t="str">
        <f>"すまいる；あなたの暮らしに素敵なエッセンス。"</f>
        <v>すまいる；あなたの暮らしに素敵なエッセンス。</v>
      </c>
      <c r="B3260" s="1" t="str">
        <f t="shared" si="170"/>
        <v>すまいる；あなたの暮らしに素敵なエッセンス。</v>
      </c>
      <c r="C3260" t="str">
        <f>"スマイル＊アナタ ノ クラシ ニ ステキナ エッセンス"</f>
        <v>スマイル＊アナタ ノ クラシ ニ ステキナ エッセンス</v>
      </c>
      <c r="D3260" t="str">
        <f>"すまいる広報室"</f>
        <v>すまいる広報室</v>
      </c>
      <c r="E3260" t="str">
        <f>"スマイル コウホウシツ"</f>
        <v>スマイル コウホウシツ</v>
      </c>
      <c r="F3260" t="str">
        <f>"岡山"</f>
        <v>岡山</v>
      </c>
      <c r="G3260" t="str">
        <f>"隔月刊"</f>
        <v>隔月刊</v>
      </c>
      <c r="H3260" t="str">
        <f>"2002222331346"</f>
        <v>2002222331346</v>
      </c>
      <c r="I3260" t="str">
        <f>HYPERLINK("#", "https://opac.libnet.pref.okayama.jp/licsxp-opac/WOpacMsgNewListToTifTilDetailAction.do?tilcod=2002222331346")</f>
        <v>https://opac.libnet.pref.okayama.jp/licsxp-opac/WOpacMsgNewListToTifTilDetailAction.do?tilcod=2002222331346</v>
      </c>
    </row>
    <row r="3261" spans="1:9" x14ac:dyDescent="0.4">
      <c r="A3261" t="str">
        <f>"Ｓｍｉｌｅ；スマイル"</f>
        <v>Ｓｍｉｌｅ；スマイル</v>
      </c>
      <c r="B3261" s="1" t="str">
        <f t="shared" si="170"/>
        <v>Ｓｍｉｌｅ；スマイル</v>
      </c>
      <c r="C3261" t="str">
        <f>"スマイル＊スマイル"</f>
        <v>スマイル＊スマイル</v>
      </c>
      <c r="D3261" t="str">
        <f>"山陽折込広告センター"</f>
        <v>山陽折込広告センター</v>
      </c>
      <c r="E3261" t="str">
        <f>"サンヨウ オリコミ コウコク センター"</f>
        <v>サンヨウ オリコミ コウコク センター</v>
      </c>
      <c r="F3261" t="str">
        <f>"岡山"</f>
        <v>岡山</v>
      </c>
      <c r="G3261" t="str">
        <f>"月刊"</f>
        <v>月刊</v>
      </c>
      <c r="H3261" t="str">
        <f>"2002222300306"</f>
        <v>2002222300306</v>
      </c>
      <c r="I3261" t="str">
        <f>HYPERLINK("#", "https://opac.libnet.pref.okayama.jp/licsxp-opac/WOpacMsgNewListToTifTilDetailAction.do?tilcod=2002222300306")</f>
        <v>https://opac.libnet.pref.okayama.jp/licsxp-opac/WOpacMsgNewListToTifTilDetailAction.do?tilcod=2002222300306</v>
      </c>
    </row>
    <row r="3262" spans="1:9" x14ac:dyDescent="0.4">
      <c r="A3262" t="str">
        <f>"税の広報 たまの"</f>
        <v>税の広報 たまの</v>
      </c>
      <c r="B3262" s="1" t="str">
        <f t="shared" si="170"/>
        <v>税の広報 たまの</v>
      </c>
      <c r="C3262" t="str">
        <f>"ゼイ ノ コウホウ タマノ"</f>
        <v>ゼイ ノ コウホウ タマノ</v>
      </c>
      <c r="D3262" t="str">
        <f>"玉野地区納税貯蓄組合連合会"</f>
        <v>玉野地区納税貯蓄組合連合会</v>
      </c>
      <c r="E3262" t="str">
        <f>"タマノ チク ノウゼイ チョチク クミアイ レンゴウカイ"</f>
        <v>タマノ チク ノウゼイ チョチク クミアイ レンゴウカイ</v>
      </c>
      <c r="F3262" t="str">
        <f>"玉野"</f>
        <v>玉野</v>
      </c>
      <c r="G3262" t="str">
        <f>"頻度不明"</f>
        <v>頻度不明</v>
      </c>
      <c r="H3262" t="str">
        <f>"2002222317126"</f>
        <v>2002222317126</v>
      </c>
      <c r="I3262" t="str">
        <f>HYPERLINK("#", "https://opac.libnet.pref.okayama.jp/licsxp-opac/WOpacMsgNewListToTifTilDetailAction.do?tilcod=2002222317126")</f>
        <v>https://opac.libnet.pref.okayama.jp/licsxp-opac/WOpacMsgNewListToTifTilDetailAction.do?tilcod=2002222317126</v>
      </c>
    </row>
    <row r="3263" spans="1:9" x14ac:dyDescent="0.4">
      <c r="A3263" t="str">
        <f>"税のたより西大寺"</f>
        <v>税のたより西大寺</v>
      </c>
      <c r="B3263" s="1" t="str">
        <f t="shared" si="170"/>
        <v>税のたより西大寺</v>
      </c>
      <c r="C3263" t="str">
        <f>"ゼイ ノ タヨリ サイダイジ"</f>
        <v>ゼイ ノ タヨリ サイダイジ</v>
      </c>
      <c r="D3263" t="str">
        <f>"西大寺税務署管内納税貯蓄組合連合会"</f>
        <v>西大寺税務署管内納税貯蓄組合連合会</v>
      </c>
      <c r="E3263" t="str">
        <f>"サイダイジ ゼイムショ カンナイ ノウゼイ チョチク クミアイ レンゴウカイ"</f>
        <v>サイダイジ ゼイムショ カンナイ ノウゼイ チョチク クミアイ レンゴウカイ</v>
      </c>
      <c r="F3263" t="str">
        <f>"岡山"</f>
        <v>岡山</v>
      </c>
      <c r="G3263" t="str">
        <f>"頻度不明"</f>
        <v>頻度不明</v>
      </c>
      <c r="H3263" t="str">
        <f>"2002222327906"</f>
        <v>2002222327906</v>
      </c>
      <c r="I3263" t="str">
        <f>HYPERLINK("#", "https://opac.libnet.pref.okayama.jp/licsxp-opac/WOpacMsgNewListToTifTilDetailAction.do?tilcod=2002222327906")</f>
        <v>https://opac.libnet.pref.okayama.jp/licsxp-opac/WOpacMsgNewListToTifTilDetailAction.do?tilcod=2002222327906</v>
      </c>
    </row>
    <row r="3264" spans="1:9" x14ac:dyDescent="0.4">
      <c r="A3264" t="str">
        <f>"青雲"</f>
        <v>青雲</v>
      </c>
      <c r="B3264" s="1" t="str">
        <f t="shared" si="170"/>
        <v>青雲</v>
      </c>
      <c r="C3264" t="str">
        <f>"セイウン"</f>
        <v>セイウン</v>
      </c>
      <c r="D3264" t="str">
        <f>"岡山操山高等学校通信制課程"</f>
        <v>岡山操山高等学校通信制課程</v>
      </c>
      <c r="E3264" t="str">
        <f>"オカヤマソウザンコウトウガッコウツウシンセイカテイ"</f>
        <v>オカヤマソウザンコウトウガッコウツウシンセイカテイ</v>
      </c>
      <c r="F3264" t="str">
        <f>"岡山"</f>
        <v>岡山</v>
      </c>
      <c r="G3264" t="str">
        <f>"頻度不明"</f>
        <v>頻度不明</v>
      </c>
      <c r="H3264" t="str">
        <f>"2002222283213"</f>
        <v>2002222283213</v>
      </c>
      <c r="I3264" t="str">
        <f>HYPERLINK("#", "https://opac.libnet.pref.okayama.jp/licsxp-opac/WOpacMsgNewListToTifTilDetailAction.do?tilcod=2002222283213")</f>
        <v>https://opac.libnet.pref.okayama.jp/licsxp-opac/WOpacMsgNewListToTifTilDetailAction.do?tilcod=2002222283213</v>
      </c>
    </row>
    <row r="3265" spans="1:9" x14ac:dyDescent="0.4">
      <c r="A3265" t="str">
        <f>"青雲"</f>
        <v>青雲</v>
      </c>
      <c r="B3265" s="1" t="str">
        <f t="shared" si="170"/>
        <v>青雲</v>
      </c>
      <c r="C3265" t="str">
        <f>"セイウン"</f>
        <v>セイウン</v>
      </c>
      <c r="D3265" t="str">
        <f>"岡山市立伊島小学校"</f>
        <v>岡山市立伊島小学校</v>
      </c>
      <c r="E3265" t="str">
        <f>"オカヤマシリツ イシマ ショウガッコウ"</f>
        <v>オカヤマシリツ イシマ ショウガッコウ</v>
      </c>
      <c r="F3265" t="str">
        <f>"岡山"</f>
        <v>岡山</v>
      </c>
      <c r="G3265" t="str">
        <f>"頻度不明"</f>
        <v>頻度不明</v>
      </c>
      <c r="H3265" t="str">
        <f>"2002222307246"</f>
        <v>2002222307246</v>
      </c>
      <c r="I3265" t="str">
        <f>HYPERLINK("#", "https://opac.libnet.pref.okayama.jp/licsxp-opac/WOpacMsgNewListToTifTilDetailAction.do?tilcod=2002222307246")</f>
        <v>https://opac.libnet.pref.okayama.jp/licsxp-opac/WOpacMsgNewListToTifTilDetailAction.do?tilcod=2002222307246</v>
      </c>
    </row>
    <row r="3266" spans="1:9" x14ac:dyDescent="0.4">
      <c r="A3266" t="str">
        <f>"青苑"</f>
        <v>青苑</v>
      </c>
      <c r="B3266" s="1" t="str">
        <f t="shared" si="170"/>
        <v>青苑</v>
      </c>
      <c r="C3266" t="str">
        <f>"セイエン"</f>
        <v>セイエン</v>
      </c>
      <c r="D3266" t="str">
        <f>"清音村文化連盟"</f>
        <v>清音村文化連盟</v>
      </c>
      <c r="E3266" t="str">
        <f>"キヨネソン ブンカ レンメイ"</f>
        <v>キヨネソン ブンカ レンメイ</v>
      </c>
      <c r="F3266" t="str">
        <f>"清音村(都窪郡)"</f>
        <v>清音村(都窪郡)</v>
      </c>
      <c r="G3266" t="str">
        <f>"頻度不明"</f>
        <v>頻度不明</v>
      </c>
      <c r="H3266" t="str">
        <f>"2002222283203"</f>
        <v>2002222283203</v>
      </c>
      <c r="I3266" t="str">
        <f>HYPERLINK("#", "https://opac.libnet.pref.okayama.jp/licsxp-opac/WOpacMsgNewListToTifTilDetailAction.do?tilcod=2002222283203")</f>
        <v>https://opac.libnet.pref.okayama.jp/licsxp-opac/WOpacMsgNewListToTifTilDetailAction.do?tilcod=2002222283203</v>
      </c>
    </row>
    <row r="3267" spans="1:9" x14ac:dyDescent="0.4">
      <c r="A3267" t="str">
        <f>"聖学"</f>
        <v>聖学</v>
      </c>
      <c r="B3267" s="1" t="str">
        <f t="shared" si="170"/>
        <v>聖学</v>
      </c>
      <c r="C3267" t="str">
        <f>"セイガク"</f>
        <v>セイガク</v>
      </c>
      <c r="D3267" t="str">
        <f>"岡山県聖学会"</f>
        <v>岡山県聖学会</v>
      </c>
      <c r="E3267" t="str">
        <f>"オカヤマケン セイガクカイ"</f>
        <v>オカヤマケン セイガクカイ</v>
      </c>
      <c r="F3267" t="str">
        <f>""</f>
        <v/>
      </c>
      <c r="G3267" t="str">
        <f>"季刊"</f>
        <v>季刊</v>
      </c>
      <c r="H3267" t="str">
        <f>"2002222283223"</f>
        <v>2002222283223</v>
      </c>
      <c r="I3267" t="str">
        <f>HYPERLINK("#", "https://opac.libnet.pref.okayama.jp/licsxp-opac/WOpacMsgNewListToTifTilDetailAction.do?tilcod=2002222283223")</f>
        <v>https://opac.libnet.pref.okayama.jp/licsxp-opac/WOpacMsgNewListToTifTilDetailAction.do?tilcod=2002222283223</v>
      </c>
    </row>
    <row r="3268" spans="1:9" x14ac:dyDescent="0.4">
      <c r="A3268" t="str">
        <f>"生活"</f>
        <v>生活</v>
      </c>
      <c r="B3268" s="1" t="str">
        <f t="shared" ref="B3268:B3331" si="174">HYPERLINK("#", A3268)</f>
        <v>生活</v>
      </c>
      <c r="C3268" t="str">
        <f>"セイカツ"</f>
        <v>セイカツ</v>
      </c>
      <c r="D3268" t="str">
        <f>"生活社"</f>
        <v>生活社</v>
      </c>
      <c r="E3268" t="str">
        <f>"セイカツシャ"</f>
        <v>セイカツシャ</v>
      </c>
      <c r="F3268" t="str">
        <f>"岡山"</f>
        <v>岡山</v>
      </c>
      <c r="G3268" t="str">
        <f>"頻度不明"</f>
        <v>頻度不明</v>
      </c>
      <c r="H3268" t="str">
        <f>"2002222283233"</f>
        <v>2002222283233</v>
      </c>
      <c r="I3268" t="str">
        <f>HYPERLINK("#", "https://opac.libnet.pref.okayama.jp/licsxp-opac/WOpacMsgNewListToTifTilDetailAction.do?tilcod=2002222283233")</f>
        <v>https://opac.libnet.pref.okayama.jp/licsxp-opac/WOpacMsgNewListToTifTilDetailAction.do?tilcod=2002222283233</v>
      </c>
    </row>
    <row r="3269" spans="1:9" x14ac:dyDescent="0.4">
      <c r="A3269" t="str">
        <f>"生活"</f>
        <v>生活</v>
      </c>
      <c r="B3269" s="1" t="str">
        <f t="shared" si="174"/>
        <v>生活</v>
      </c>
      <c r="C3269" t="str">
        <f>"セイカツ"</f>
        <v>セイカツ</v>
      </c>
      <c r="D3269" t="str">
        <f>"地方職員共済組合岡山県支部"</f>
        <v>地方職員共済組合岡山県支部</v>
      </c>
      <c r="E3269" t="str">
        <f>"チホウショクインキョウサイクミアイオカヤマケンシブ"</f>
        <v>チホウショクインキョウサイクミアイオカヤマケンシブ</v>
      </c>
      <c r="F3269" t="str">
        <f>""</f>
        <v/>
      </c>
      <c r="G3269" t="str">
        <f>"頻度不明"</f>
        <v>頻度不明</v>
      </c>
      <c r="H3269" t="str">
        <f>"2002222283243"</f>
        <v>2002222283243</v>
      </c>
      <c r="I3269" t="str">
        <f>HYPERLINK("#", "https://opac.libnet.pref.okayama.jp/licsxp-opac/WOpacMsgNewListToTifTilDetailAction.do?tilcod=2002222283243")</f>
        <v>https://opac.libnet.pref.okayama.jp/licsxp-opac/WOpacMsgNewListToTifTilDetailAction.do?tilcod=2002222283243</v>
      </c>
    </row>
    <row r="3270" spans="1:9" x14ac:dyDescent="0.4">
      <c r="A3270" t="str">
        <f>"生活安定対策情報"</f>
        <v>生活安定対策情報</v>
      </c>
      <c r="B3270" s="1" t="str">
        <f t="shared" si="174"/>
        <v>生活安定対策情報</v>
      </c>
      <c r="C3270" t="str">
        <f>"セイカツ　アンテイ　タイサク　ジョウホウ"</f>
        <v>セイカツ　アンテイ　タイサク　ジョウホウ</v>
      </c>
      <c r="D3270" t="str">
        <f>"岡山県県民生活部生活安定課"</f>
        <v>岡山県県民生活部生活安定課</v>
      </c>
      <c r="E3270" t="str">
        <f>"オカヤマケン ケンミン セイカツブ セイカツ アンテイカ"</f>
        <v>オカヤマケン ケンミン セイカツブ セイカツ アンテイカ</v>
      </c>
      <c r="F3270" t="str">
        <f>"岡山"</f>
        <v>岡山</v>
      </c>
      <c r="G3270" t="str">
        <f>"月刊"</f>
        <v>月刊</v>
      </c>
      <c r="H3270" t="str">
        <f>"2002222283253"</f>
        <v>2002222283253</v>
      </c>
      <c r="I3270" t="str">
        <f>HYPERLINK("#", "https://opac.libnet.pref.okayama.jp/licsxp-opac/WOpacMsgNewListToTifTilDetailAction.do?tilcod=2002222283253")</f>
        <v>https://opac.libnet.pref.okayama.jp/licsxp-opac/WOpacMsgNewListToTifTilDetailAction.do?tilcod=2002222283253</v>
      </c>
    </row>
    <row r="3271" spans="1:9" x14ac:dyDescent="0.4">
      <c r="A3271" t="str">
        <f>"生活衛生おかやま"</f>
        <v>生活衛生おかやま</v>
      </c>
      <c r="B3271" s="1" t="str">
        <f t="shared" si="174"/>
        <v>生活衛生おかやま</v>
      </c>
      <c r="C3271" t="str">
        <f>"セイカツ　エイセイ　オカヤマ"</f>
        <v>セイカツ　エイセイ　オカヤマ</v>
      </c>
      <c r="D3271" t="str">
        <f>"岡山県生活衛生営業指導センター"</f>
        <v>岡山県生活衛生営業指導センター</v>
      </c>
      <c r="E3271" t="str">
        <f>"オカヤマケン セイカツ エイセイ エイギョウ シドウ センター"</f>
        <v>オカヤマケン セイカツ エイセイ エイギョウ シドウ センター</v>
      </c>
      <c r="F3271" t="str">
        <f>"岡山"</f>
        <v>岡山</v>
      </c>
      <c r="G3271" t="str">
        <f>"年２回刊"</f>
        <v>年２回刊</v>
      </c>
      <c r="H3271" t="str">
        <f>"2002222300177"</f>
        <v>2002222300177</v>
      </c>
      <c r="I3271" t="str">
        <f>HYPERLINK("#", "https://opac.libnet.pref.okayama.jp/licsxp-opac/WOpacMsgNewListToTifTilDetailAction.do?tilcod=2002222300177")</f>
        <v>https://opac.libnet.pref.okayama.jp/licsxp-opac/WOpacMsgNewListToTifTilDetailAction.do?tilcod=2002222300177</v>
      </c>
    </row>
    <row r="3272" spans="1:9" x14ac:dyDescent="0.4">
      <c r="A3272" t="str">
        <f>"生活と文学"</f>
        <v>生活と文学</v>
      </c>
      <c r="B3272" s="1" t="str">
        <f t="shared" si="174"/>
        <v>生活と文学</v>
      </c>
      <c r="C3272" t="str">
        <f>"セイカツ　ト　ブンガク"</f>
        <v>セイカツ　ト　ブンガク</v>
      </c>
      <c r="D3272" t="str">
        <f>"岡山生活と文学の会"</f>
        <v>岡山生活と文学の会</v>
      </c>
      <c r="E3272" t="str">
        <f>"オカヤマセイカツトブンガクノカイ"</f>
        <v>オカヤマセイカツトブンガクノカイ</v>
      </c>
      <c r="F3272" t="str">
        <f>""</f>
        <v/>
      </c>
      <c r="G3272" t="str">
        <f>"頻度不明"</f>
        <v>頻度不明</v>
      </c>
      <c r="H3272" t="str">
        <f>"2002222283263"</f>
        <v>2002222283263</v>
      </c>
      <c r="I3272" t="str">
        <f>HYPERLINK("#", "https://opac.libnet.pref.okayama.jp/licsxp-opac/WOpacMsgNewListToTifTilDetailAction.do?tilcod=2002222283263")</f>
        <v>https://opac.libnet.pref.okayama.jp/licsxp-opac/WOpacMsgNewListToTifTilDetailAction.do?tilcod=2002222283263</v>
      </c>
    </row>
    <row r="3273" spans="1:9" x14ac:dyDescent="0.4">
      <c r="A3273" t="str">
        <f>"青騎"</f>
        <v>青騎</v>
      </c>
      <c r="B3273" s="1" t="str">
        <f t="shared" si="174"/>
        <v>青騎</v>
      </c>
      <c r="C3273" t="str">
        <f>"セイキ"</f>
        <v>セイキ</v>
      </c>
      <c r="D3273" t="str">
        <f>"青騎会"</f>
        <v>青騎会</v>
      </c>
      <c r="E3273" t="str">
        <f>"セイキカイ"</f>
        <v>セイキカイ</v>
      </c>
      <c r="F3273" t="str">
        <f>""</f>
        <v/>
      </c>
      <c r="G3273" t="str">
        <f>"頻度不明"</f>
        <v>頻度不明</v>
      </c>
      <c r="H3273" t="str">
        <f>"2002222283273"</f>
        <v>2002222283273</v>
      </c>
      <c r="I3273" t="str">
        <f>HYPERLINK("#", "https://opac.libnet.pref.okayama.jp/licsxp-opac/WOpacMsgNewListToTifTilDetailAction.do?tilcod=2002222283273")</f>
        <v>https://opac.libnet.pref.okayama.jp/licsxp-opac/WOpacMsgNewListToTifTilDetailAction.do?tilcod=2002222283273</v>
      </c>
    </row>
    <row r="3274" spans="1:9" x14ac:dyDescent="0.4">
      <c r="A3274" t="str">
        <f>"清輝"</f>
        <v>清輝</v>
      </c>
      <c r="B3274" s="1" t="str">
        <f t="shared" si="174"/>
        <v>清輝</v>
      </c>
      <c r="C3274" t="str">
        <f>"セイキ"</f>
        <v>セイキ</v>
      </c>
      <c r="D3274" t="str">
        <f>"岡山市立清輝小学校"</f>
        <v>岡山市立清輝小学校</v>
      </c>
      <c r="E3274" t="str">
        <f>"オカヤマシリツ セイキ ショウガッコウ"</f>
        <v>オカヤマシリツ セイキ ショウガッコウ</v>
      </c>
      <c r="F3274" t="str">
        <f>"岡山"</f>
        <v>岡山</v>
      </c>
      <c r="G3274" t="str">
        <f>"頻度不明"</f>
        <v>頻度不明</v>
      </c>
      <c r="H3274" t="str">
        <f>"2002222283283"</f>
        <v>2002222283283</v>
      </c>
      <c r="I3274" t="str">
        <f>HYPERLINK("#", "https://opac.libnet.pref.okayama.jp/licsxp-opac/WOpacMsgNewListToTifTilDetailAction.do?tilcod=2002222283283")</f>
        <v>https://opac.libnet.pref.okayama.jp/licsxp-opac/WOpacMsgNewListToTifTilDetailAction.do?tilcod=2002222283283</v>
      </c>
    </row>
    <row r="3275" spans="1:9" x14ac:dyDescent="0.4">
      <c r="A3275" t="str">
        <f>"精義"</f>
        <v>精義</v>
      </c>
      <c r="B3275" s="1" t="str">
        <f t="shared" si="174"/>
        <v>精義</v>
      </c>
      <c r="C3275" t="str">
        <f>"セイギ"</f>
        <v>セイギ</v>
      </c>
      <c r="D3275" t="str">
        <f>"精義塾"</f>
        <v>精義塾</v>
      </c>
      <c r="E3275" t="str">
        <f>"セイギジュク"</f>
        <v>セイギジュク</v>
      </c>
      <c r="F3275" t="str">
        <f>""</f>
        <v/>
      </c>
      <c r="G3275" t="str">
        <f>"頻度不明"</f>
        <v>頻度不明</v>
      </c>
      <c r="H3275" t="str">
        <f>"2002222283293"</f>
        <v>2002222283293</v>
      </c>
      <c r="I3275" t="str">
        <f>HYPERLINK("#", "https://opac.libnet.pref.okayama.jp/licsxp-opac/WOpacMsgNewListToTifTilDetailAction.do?tilcod=2002222283293")</f>
        <v>https://opac.libnet.pref.okayama.jp/licsxp-opac/WOpacMsgNewListToTifTilDetailAction.do?tilcod=2002222283293</v>
      </c>
    </row>
    <row r="3276" spans="1:9" x14ac:dyDescent="0.4">
      <c r="A3276" t="str">
        <f>"政経調査特報；広報版"</f>
        <v>政経調査特報；広報版</v>
      </c>
      <c r="B3276" s="1" t="str">
        <f t="shared" si="174"/>
        <v>政経調査特報；広報版</v>
      </c>
      <c r="C3276" t="str">
        <f>"セイケイ　チョウサ　トクホウ＊コウホウバン"</f>
        <v>セイケイ　チョウサ　トクホウ＊コウホウバン</v>
      </c>
      <c r="D3276" t="str">
        <f>"政経岡山調査会"</f>
        <v>政経岡山調査会</v>
      </c>
      <c r="E3276" t="str">
        <f>"セイケイオカヤマチョウサカイ"</f>
        <v>セイケイオカヤマチョウサカイ</v>
      </c>
      <c r="F3276" t="str">
        <f>"岡山"</f>
        <v>岡山</v>
      </c>
      <c r="G3276" t="str">
        <f>"旬刊"</f>
        <v>旬刊</v>
      </c>
      <c r="H3276" t="str">
        <f>"2002222300928"</f>
        <v>2002222300928</v>
      </c>
      <c r="I3276" t="str">
        <f>HYPERLINK("#", "https://opac.libnet.pref.okayama.jp/licsxp-opac/WOpacMsgNewListToTifTilDetailAction.do?tilcod=2002222300928")</f>
        <v>https://opac.libnet.pref.okayama.jp/licsxp-opac/WOpacMsgNewListToTifTilDetailAction.do?tilcod=2002222300928</v>
      </c>
    </row>
    <row r="3277" spans="1:9" x14ac:dyDescent="0.4">
      <c r="A3277" t="str">
        <f>"精研高等学校学校案内"</f>
        <v>精研高等学校学校案内</v>
      </c>
      <c r="B3277" s="1" t="str">
        <f t="shared" si="174"/>
        <v>精研高等学校学校案内</v>
      </c>
      <c r="C3277" t="str">
        <f>"セイケン　コウトウ　ガッコウ　ガッコウ　アンナイ"</f>
        <v>セイケン　コウトウ　ガッコウ　ガッコウ　アンナイ</v>
      </c>
      <c r="D3277" t="str">
        <f>"精研高等学校"</f>
        <v>精研高等学校</v>
      </c>
      <c r="E3277" t="str">
        <f>"セイケン コウトウ ガッコウ"</f>
        <v>セイケン コウトウ ガッコウ</v>
      </c>
      <c r="F3277" t="str">
        <f>"井原"</f>
        <v>井原</v>
      </c>
      <c r="G3277" t="str">
        <f>"年刊"</f>
        <v>年刊</v>
      </c>
      <c r="H3277" t="str">
        <f>"2002222301255"</f>
        <v>2002222301255</v>
      </c>
      <c r="I3277" t="str">
        <f>HYPERLINK("#", "https://opac.libnet.pref.okayama.jp/licsxp-opac/WOpacMsgNewListToTifTilDetailAction.do?tilcod=2002222301255")</f>
        <v>https://opac.libnet.pref.okayama.jp/licsxp-opac/WOpacMsgNewListToTifTilDetailAction.do?tilcod=2002222301255</v>
      </c>
    </row>
    <row r="3278" spans="1:9" x14ac:dyDescent="0.4">
      <c r="A3278" t="str">
        <f>"精研高等学校学校要覧"</f>
        <v>精研高等学校学校要覧</v>
      </c>
      <c r="B3278" s="1" t="str">
        <f t="shared" si="174"/>
        <v>精研高等学校学校要覧</v>
      </c>
      <c r="C3278" t="str">
        <f>"セイケン　コウトウ　ガッコウ　ガッコウ　ヨウラン"</f>
        <v>セイケン　コウトウ　ガッコウ　ガッコウ　ヨウラン</v>
      </c>
      <c r="D3278" t="str">
        <f>"精研高等学校"</f>
        <v>精研高等学校</v>
      </c>
      <c r="E3278" t="str">
        <f>"セイケン コウトウ ガッコウ"</f>
        <v>セイケン コウトウ ガッコウ</v>
      </c>
      <c r="F3278" t="str">
        <f>"井原"</f>
        <v>井原</v>
      </c>
      <c r="G3278" t="str">
        <f>"年刊"</f>
        <v>年刊</v>
      </c>
      <c r="H3278" t="str">
        <f>"2002222300520"</f>
        <v>2002222300520</v>
      </c>
      <c r="I3278" t="str">
        <f>HYPERLINK("#", "https://opac.libnet.pref.okayama.jp/licsxp-opac/WOpacMsgNewListToTifTilDetailAction.do?tilcod=2002222300520")</f>
        <v>https://opac.libnet.pref.okayama.jp/licsxp-opac/WOpacMsgNewListToTifTilDetailAction.do?tilcod=2002222300520</v>
      </c>
    </row>
    <row r="3279" spans="1:9" x14ac:dyDescent="0.4">
      <c r="A3279" t="str">
        <f>"せいご"</f>
        <v>せいご</v>
      </c>
      <c r="B3279" s="1" t="str">
        <f t="shared" si="174"/>
        <v>せいご</v>
      </c>
      <c r="C3279" t="str">
        <f>"セイゴ"</f>
        <v>セイゴ</v>
      </c>
      <c r="D3279" t="str">
        <f>"[寄島町立]寄島中学校生徒会"</f>
        <v>[寄島町立]寄島中学校生徒会</v>
      </c>
      <c r="E3279" t="str">
        <f>"ヨリシマチョウリツ ヨリシマ チュウガッコウ"</f>
        <v>ヨリシマチョウリツ ヨリシマ チュウガッコウ</v>
      </c>
      <c r="F3279" t="str">
        <f>"寄島町(浅口郡)"</f>
        <v>寄島町(浅口郡)</v>
      </c>
      <c r="G3279" t="str">
        <f>"頻度不明"</f>
        <v>頻度不明</v>
      </c>
      <c r="H3279" t="str">
        <f>"2002222331046"</f>
        <v>2002222331046</v>
      </c>
      <c r="I3279" t="str">
        <f>HYPERLINK("#", "https://opac.libnet.pref.okayama.jp/licsxp-opac/WOpacMsgNewListToTifTilDetailAction.do?tilcod=2002222331046")</f>
        <v>https://opac.libnet.pref.okayama.jp/licsxp-opac/WOpacMsgNewListToTifTilDetailAction.do?tilcod=2002222331046</v>
      </c>
    </row>
    <row r="3280" spans="1:9" x14ac:dyDescent="0.4">
      <c r="A3280" t="str">
        <f>"星光"</f>
        <v>星光</v>
      </c>
      <c r="B3280" s="1" t="str">
        <f t="shared" si="174"/>
        <v>星光</v>
      </c>
      <c r="C3280" t="str">
        <f>"セイコウ"</f>
        <v>セイコウ</v>
      </c>
      <c r="D3280" t="str">
        <f>"黄陽文学会"</f>
        <v>黄陽文学会</v>
      </c>
      <c r="E3280" t="str">
        <f>"コウヨウブンガクカイ"</f>
        <v>コウヨウブンガクカイ</v>
      </c>
      <c r="F3280" t="str">
        <f>""</f>
        <v/>
      </c>
      <c r="G3280" t="str">
        <f>"頻度不明"</f>
        <v>頻度不明</v>
      </c>
      <c r="H3280" t="str">
        <f>"2002222289993"</f>
        <v>2002222289993</v>
      </c>
      <c r="I3280" t="str">
        <f>HYPERLINK("#", "https://opac.libnet.pref.okayama.jp/licsxp-opac/WOpacMsgNewListToTifTilDetailAction.do?tilcod=2002222289993")</f>
        <v>https://opac.libnet.pref.okayama.jp/licsxp-opac/WOpacMsgNewListToTifTilDetailAction.do?tilcod=2002222289993</v>
      </c>
    </row>
    <row r="3281" spans="1:9" x14ac:dyDescent="0.4">
      <c r="A3281" t="str">
        <f>"西郊民俗"</f>
        <v>西郊民俗</v>
      </c>
      <c r="B3281" s="1" t="str">
        <f t="shared" si="174"/>
        <v>西郊民俗</v>
      </c>
      <c r="C3281" t="str">
        <f>"セイコウ　ミンゾク"</f>
        <v>セイコウ　ミンゾク</v>
      </c>
      <c r="D3281" t="str">
        <f>"西郊民俗談話会"</f>
        <v>西郊民俗談話会</v>
      </c>
      <c r="E3281" t="str">
        <f>"セイコウミンゾクダンワカイ"</f>
        <v>セイコウミンゾクダンワカイ</v>
      </c>
      <c r="F3281" t="str">
        <f>"東京"</f>
        <v>東京</v>
      </c>
      <c r="G3281" t="str">
        <f>"季刊"</f>
        <v>季刊</v>
      </c>
      <c r="H3281" t="str">
        <f>"2002222301753"</f>
        <v>2002222301753</v>
      </c>
      <c r="I3281" t="str">
        <f>HYPERLINK("#", "https://opac.libnet.pref.okayama.jp/licsxp-opac/WOpacMsgNewListToTifTilDetailAction.do?tilcod=2002222301753")</f>
        <v>https://opac.libnet.pref.okayama.jp/licsxp-opac/WOpacMsgNewListToTifTilDetailAction.do?tilcod=2002222301753</v>
      </c>
    </row>
    <row r="3282" spans="1:9" x14ac:dyDescent="0.4">
      <c r="A3282" t="str">
        <f>"姓氏研究"</f>
        <v>姓氏研究</v>
      </c>
      <c r="B3282" s="1" t="str">
        <f t="shared" si="174"/>
        <v>姓氏研究</v>
      </c>
      <c r="C3282" t="str">
        <f>"セイシ　ケンキュウ"</f>
        <v>セイシ　ケンキュウ</v>
      </c>
      <c r="D3282" t="str">
        <f>"岡山姓氏研究会"</f>
        <v>岡山姓氏研究会</v>
      </c>
      <c r="E3282" t="str">
        <f>"オカヤマセイシケンキュウカイ"</f>
        <v>オカヤマセイシケンキュウカイ</v>
      </c>
      <c r="F3282" t="str">
        <f>""</f>
        <v/>
      </c>
      <c r="G3282" t="str">
        <f>"頻度不明"</f>
        <v>頻度不明</v>
      </c>
      <c r="H3282" t="str">
        <f>"2002222283303"</f>
        <v>2002222283303</v>
      </c>
      <c r="I3282" t="str">
        <f>HYPERLINK("#", "https://opac.libnet.pref.okayama.jp/licsxp-opac/WOpacMsgNewListToTifTilDetailAction.do?tilcod=2002222283303")</f>
        <v>https://opac.libnet.pref.okayama.jp/licsxp-opac/WOpacMsgNewListToTifTilDetailAction.do?tilcod=2002222283303</v>
      </c>
    </row>
    <row r="3283" spans="1:9" x14ac:dyDescent="0.4">
      <c r="A3283" t="str">
        <f>"〔精思高等女学校〕校友"</f>
        <v>〔精思高等女学校〕校友</v>
      </c>
      <c r="B3283" s="1" t="str">
        <f t="shared" si="174"/>
        <v>〔精思高等女学校〕校友</v>
      </c>
      <c r="C3283" t="str">
        <f>"セイシ　コウトウ　ジョガッコウ＊コウユウ"</f>
        <v>セイシ　コウトウ　ジョガッコウ＊コウユウ</v>
      </c>
      <c r="D3283" t="str">
        <f>"精思高等女学校校友会"</f>
        <v>精思高等女学校校友会</v>
      </c>
      <c r="E3283" t="str">
        <f>"セイシコウトウジョガッコウコウユウカイ"</f>
        <v>セイシコウトウジョガッコウコウユウカイ</v>
      </c>
      <c r="F3283" t="str">
        <f>"倉敷"</f>
        <v>倉敷</v>
      </c>
      <c r="G3283" t="str">
        <f>"年刊"</f>
        <v>年刊</v>
      </c>
      <c r="H3283" t="str">
        <f>"2002222302099"</f>
        <v>2002222302099</v>
      </c>
      <c r="I3283" t="str">
        <f>HYPERLINK("#", "https://opac.libnet.pref.okayama.jp/licsxp-opac/WOpacMsgNewListToTifTilDetailAction.do?tilcod=2002222302099")</f>
        <v>https://opac.libnet.pref.okayama.jp/licsxp-opac/WOpacMsgNewListToTifTilDetailAction.do?tilcod=2002222302099</v>
      </c>
    </row>
    <row r="3284" spans="1:9" x14ac:dyDescent="0.4">
      <c r="A3284" t="str">
        <f>"精思月報"</f>
        <v>精思月報</v>
      </c>
      <c r="B3284" s="1" t="str">
        <f t="shared" si="174"/>
        <v>精思月報</v>
      </c>
      <c r="C3284" t="str">
        <f>"セイシゲッポウ"</f>
        <v>セイシゲッポウ</v>
      </c>
      <c r="D3284" t="str">
        <f>"岡山県立倉敷精思高等学校会誌部"</f>
        <v>岡山県立倉敷精思高等学校会誌部</v>
      </c>
      <c r="E3284" t="str">
        <f>"オカヤマケンリツ クラシキ セイシ コウトウ ガッコウ カイシブ"</f>
        <v>オカヤマケンリツ クラシキ セイシ コウトウ ガッコウ カイシブ</v>
      </c>
      <c r="F3284" t="str">
        <f>"倉敷"</f>
        <v>倉敷</v>
      </c>
      <c r="G3284" t="str">
        <f>"月刊"</f>
        <v>月刊</v>
      </c>
      <c r="H3284" t="str">
        <f>"2002222317187"</f>
        <v>2002222317187</v>
      </c>
      <c r="I3284" t="str">
        <f>HYPERLINK("#", "https://opac.libnet.pref.okayama.jp/licsxp-opac/WOpacMsgNewListToTifTilDetailAction.do?tilcod=2002222317187")</f>
        <v>https://opac.libnet.pref.okayama.jp/licsxp-opac/WOpacMsgNewListToTifTilDetailAction.do?tilcod=2002222317187</v>
      </c>
    </row>
    <row r="3285" spans="1:9" x14ac:dyDescent="0.4">
      <c r="A3285" t="str">
        <f>"青春；新聞労連 山陽新聞労働組合 青春グループ機関誌"</f>
        <v>青春；新聞労連 山陽新聞労働組合 青春グループ機関誌</v>
      </c>
      <c r="B3285" s="1" t="str">
        <f t="shared" si="174"/>
        <v>青春；新聞労連 山陽新聞労働組合 青春グループ機関誌</v>
      </c>
      <c r="C3285" t="str">
        <f>"セイシュン＊シンブン ロウレン サンヨウ シンブン ロウドウ クミアイ セイシュン グループ キカンシ"</f>
        <v>セイシュン＊シンブン ロウレン サンヨウ シンブン ロウドウ クミアイ セイシュン グループ キカンシ</v>
      </c>
      <c r="D3285" t="str">
        <f>"山陽新聞労働組合 青春グループ"</f>
        <v>山陽新聞労働組合 青春グループ</v>
      </c>
      <c r="E3285" t="str">
        <f>"サンヨウ シンブン ロウドウ クミアイ セイシュン グループ"</f>
        <v>サンヨウ シンブン ロウドウ クミアイ セイシュン グループ</v>
      </c>
      <c r="F3285" t="str">
        <f>""</f>
        <v/>
      </c>
      <c r="G3285" t="str">
        <f>"頻度不明"</f>
        <v>頻度不明</v>
      </c>
      <c r="H3285" t="str">
        <f>"2002222334076"</f>
        <v>2002222334076</v>
      </c>
      <c r="I3285" t="str">
        <f>HYPERLINK("#", "https://opac.libnet.pref.okayama.jp/licsxp-opac/WOpacMsgNewListToTifTilDetailAction.do?tilcod=2002222334076")</f>
        <v>https://opac.libnet.pref.okayama.jp/licsxp-opac/WOpacMsgNewListToTifTilDetailAction.do?tilcod=2002222334076</v>
      </c>
    </row>
    <row r="3286" spans="1:9" x14ac:dyDescent="0.4">
      <c r="A3286" t="str">
        <f>"成商"</f>
        <v>成商</v>
      </c>
      <c r="B3286" s="1" t="str">
        <f t="shared" si="174"/>
        <v>成商</v>
      </c>
      <c r="C3286" t="str">
        <f>"セイショウ"</f>
        <v>セイショウ</v>
      </c>
      <c r="D3286" t="str">
        <f>"岡山県第一岡山商業学校成商会"</f>
        <v>岡山県第一岡山商業学校成商会</v>
      </c>
      <c r="E3286" t="str">
        <f>"オカヤマケンダイイチオカヤマショウギョウガッコウセイショウカイ"</f>
        <v>オカヤマケンダイイチオカヤマショウギョウガッコウセイショウカイ</v>
      </c>
      <c r="F3286" t="str">
        <f>"岡山"</f>
        <v>岡山</v>
      </c>
      <c r="G3286" t="str">
        <f>"年刊"</f>
        <v>年刊</v>
      </c>
      <c r="H3286" t="str">
        <f>"2002222301036"</f>
        <v>2002222301036</v>
      </c>
      <c r="I3286" t="str">
        <f>HYPERLINK("#", "https://opac.libnet.pref.okayama.jp/licsxp-opac/WOpacMsgNewListToTifTilDetailAction.do?tilcod=2002222301036")</f>
        <v>https://opac.libnet.pref.okayama.jp/licsxp-opac/WOpacMsgNewListToTifTilDetailAction.do?tilcod=2002222301036</v>
      </c>
    </row>
    <row r="3287" spans="1:9" x14ac:dyDescent="0.4">
      <c r="A3287" t="str">
        <f>"成商会誌"</f>
        <v>成商会誌</v>
      </c>
      <c r="B3287" s="1" t="str">
        <f t="shared" si="174"/>
        <v>成商会誌</v>
      </c>
      <c r="C3287" t="str">
        <f>"セイショウ　カイシ"</f>
        <v>セイショウ　カイシ</v>
      </c>
      <c r="D3287" t="str">
        <f>"岡山県商業学校成商会"</f>
        <v>岡山県商業学校成商会</v>
      </c>
      <c r="E3287" t="str">
        <f>"オカヤマケンショウギョウガッコウセイショウカイ"</f>
        <v>オカヤマケンショウギョウガッコウセイショウカイ</v>
      </c>
      <c r="F3287" t="str">
        <f>"岡山"</f>
        <v>岡山</v>
      </c>
      <c r="G3287" t="str">
        <f>"頻度不明"</f>
        <v>頻度不明</v>
      </c>
      <c r="H3287" t="str">
        <f>"2002222283323"</f>
        <v>2002222283323</v>
      </c>
      <c r="I3287" t="str">
        <f>HYPERLINK("#", "https://opac.libnet.pref.okayama.jp/licsxp-opac/WOpacMsgNewListToTifTilDetailAction.do?tilcod=2002222283323")</f>
        <v>https://opac.libnet.pref.okayama.jp/licsxp-opac/WOpacMsgNewListToTifTilDetailAction.do?tilcod=2002222283323</v>
      </c>
    </row>
    <row r="3288" spans="1:9" x14ac:dyDescent="0.4">
      <c r="A3288" t="str">
        <f>"成商会雑誌"</f>
        <v>成商会雑誌</v>
      </c>
      <c r="B3288" s="1" t="str">
        <f t="shared" si="174"/>
        <v>成商会雑誌</v>
      </c>
      <c r="C3288" t="str">
        <f>"セイショウカイ　ザッシ"</f>
        <v>セイショウカイ　ザッシ</v>
      </c>
      <c r="D3288" t="str">
        <f>"岡山県立商業学校成商会"</f>
        <v>岡山県立商業学校成商会</v>
      </c>
      <c r="E3288" t="str">
        <f>"オカヤマケンリツ ショウギョウ ガッコウ セイショウカイ"</f>
        <v>オカヤマケンリツ ショウギョウ ガッコウ セイショウカイ</v>
      </c>
      <c r="F3288" t="str">
        <f>"岡山"</f>
        <v>岡山</v>
      </c>
      <c r="G3288" t="str">
        <f>"年刊"</f>
        <v>年刊</v>
      </c>
      <c r="H3288" t="str">
        <f>"2002222283313"</f>
        <v>2002222283313</v>
      </c>
      <c r="I3288" t="str">
        <f>HYPERLINK("#", "https://opac.libnet.pref.okayama.jp/licsxp-opac/WOpacMsgNewListToTifTilDetailAction.do?tilcod=2002222283313")</f>
        <v>https://opac.libnet.pref.okayama.jp/licsxp-opac/WOpacMsgNewListToTifTilDetailAction.do?tilcod=2002222283313</v>
      </c>
    </row>
    <row r="3289" spans="1:9" x14ac:dyDescent="0.4">
      <c r="A3289" t="str">
        <f>"青少年岡山"</f>
        <v>青少年岡山</v>
      </c>
      <c r="B3289" s="1" t="str">
        <f t="shared" si="174"/>
        <v>青少年岡山</v>
      </c>
      <c r="C3289" t="str">
        <f>"セイショウネン　オカヤマ"</f>
        <v>セイショウネン　オカヤマ</v>
      </c>
      <c r="D3289" t="str">
        <f>"岡山県青少年育成県民会議"</f>
        <v>岡山県青少年育成県民会議</v>
      </c>
      <c r="E3289" t="str">
        <f>"オカヤマケンセイショウネンイクセイケンミンカイギ"</f>
        <v>オカヤマケンセイショウネンイクセイケンミンカイギ</v>
      </c>
      <c r="F3289" t="str">
        <f>"岡山"</f>
        <v>岡山</v>
      </c>
      <c r="G3289" t="str">
        <f>"年２回刊"</f>
        <v>年２回刊</v>
      </c>
      <c r="H3289" t="str">
        <f>"2002222280501"</f>
        <v>2002222280501</v>
      </c>
      <c r="I3289" t="str">
        <f>HYPERLINK("#", "https://opac.libnet.pref.okayama.jp/licsxp-opac/WOpacMsgNewListToTifTilDetailAction.do?tilcod=2002222280501")</f>
        <v>https://opac.libnet.pref.okayama.jp/licsxp-opac/WOpacMsgNewListToTifTilDetailAction.do?tilcod=2002222280501</v>
      </c>
    </row>
    <row r="3290" spans="1:9" x14ac:dyDescent="0.4">
      <c r="A3290" t="str">
        <f>"青少年保導；会報青少年保導"</f>
        <v>青少年保導；会報青少年保導</v>
      </c>
      <c r="B3290" s="1" t="str">
        <f t="shared" si="174"/>
        <v>青少年保導；会報青少年保導</v>
      </c>
      <c r="C3290" t="str">
        <f>"セイショウネン ホドウ  カイホウ セイショウネン ホドウ"</f>
        <v>セイショウネン ホドウ  カイホウ セイショウネン ホドウ</v>
      </c>
      <c r="D3290" t="str">
        <f>"岡山市青少年保導協議会"</f>
        <v>岡山市青少年保導協議会</v>
      </c>
      <c r="E3290" t="str">
        <f>"オカヤマシセイショウネンホドウキョウギカイ"</f>
        <v>オカヤマシセイショウネンホドウキョウギカイ</v>
      </c>
      <c r="F3290" t="str">
        <f>"岡山"</f>
        <v>岡山</v>
      </c>
      <c r="G3290" t="str">
        <f>"年２回刊"</f>
        <v>年２回刊</v>
      </c>
      <c r="H3290" t="str">
        <f>"2002222283333"</f>
        <v>2002222283333</v>
      </c>
      <c r="I3290" t="str">
        <f>HYPERLINK("#", "https://opac.libnet.pref.okayama.jp/licsxp-opac/WOpacMsgNewListToTifTilDetailAction.do?tilcod=2002222283333")</f>
        <v>https://opac.libnet.pref.okayama.jp/licsxp-opac/WOpacMsgNewListToTifTilDetailAction.do?tilcod=2002222283333</v>
      </c>
    </row>
    <row r="3291" spans="1:9" x14ac:dyDescent="0.4">
      <c r="A3291" t="str">
        <f>"清心"</f>
        <v>清心</v>
      </c>
      <c r="B3291" s="1" t="str">
        <f t="shared" si="174"/>
        <v>清心</v>
      </c>
      <c r="C3291" t="str">
        <f>"セイシン"</f>
        <v>セイシン</v>
      </c>
      <c r="D3291" t="str">
        <f>"和氣神社"</f>
        <v>和氣神社</v>
      </c>
      <c r="E3291" t="str">
        <f>"ワケ ジンジャ"</f>
        <v>ワケ ジンジャ</v>
      </c>
      <c r="F3291" t="str">
        <f>"和気町"</f>
        <v>和気町</v>
      </c>
      <c r="G3291" t="str">
        <f>"年２回刊"</f>
        <v>年２回刊</v>
      </c>
      <c r="H3291" t="str">
        <f>"2002222310627"</f>
        <v>2002222310627</v>
      </c>
      <c r="I3291" t="str">
        <f>HYPERLINK("#", "https://opac.libnet.pref.okayama.jp/licsxp-opac/WOpacMsgNewListToTifTilDetailAction.do?tilcod=2002222310627")</f>
        <v>https://opac.libnet.pref.okayama.jp/licsxp-opac/WOpacMsgNewListToTifTilDetailAction.do?tilcod=2002222310627</v>
      </c>
    </row>
    <row r="3292" spans="1:9" x14ac:dyDescent="0.4">
      <c r="A3292" t="str">
        <f>"清心国文"</f>
        <v>清心国文</v>
      </c>
      <c r="B3292" s="1" t="str">
        <f t="shared" si="174"/>
        <v>清心国文</v>
      </c>
      <c r="C3292" t="str">
        <f>"セイシン　コクブン"</f>
        <v>セイシン　コクブン</v>
      </c>
      <c r="D3292" t="str">
        <f>"ノートルダム清心女子大学国文学研究室"</f>
        <v>ノートルダム清心女子大学国文学研究室</v>
      </c>
      <c r="E3292" t="str">
        <f>"ノートルダムセイシンジョシダイガクコクブンガクケンキュウシツ"</f>
        <v>ノートルダムセイシンジョシダイガクコクブンガクケンキュウシツ</v>
      </c>
      <c r="F3292" t="str">
        <f>"岡山"</f>
        <v>岡山</v>
      </c>
      <c r="G3292" t="str">
        <f>"頻度不明"</f>
        <v>頻度不明</v>
      </c>
      <c r="H3292" t="str">
        <f>"2002222288613"</f>
        <v>2002222288613</v>
      </c>
      <c r="I3292" t="str">
        <f>HYPERLINK("#", "https://opac.libnet.pref.okayama.jp/licsxp-opac/WOpacMsgNewListToTifTilDetailAction.do?tilcod=2002222288613")</f>
        <v>https://opac.libnet.pref.okayama.jp/licsxp-opac/WOpacMsgNewListToTifTilDetailAction.do?tilcod=2002222288613</v>
      </c>
    </row>
    <row r="3293" spans="1:9" x14ac:dyDescent="0.4">
      <c r="A3293" t="str">
        <f>"清心語文"</f>
        <v>清心語文</v>
      </c>
      <c r="B3293" s="1" t="str">
        <f t="shared" si="174"/>
        <v>清心語文</v>
      </c>
      <c r="C3293" t="str">
        <f>"セイシン　ゴブン"</f>
        <v>セイシン　ゴブン</v>
      </c>
      <c r="D3293" t="str">
        <f>"ノートルダム清心女子大学日本語日本文学会"</f>
        <v>ノートルダム清心女子大学日本語日本文学会</v>
      </c>
      <c r="E3293" t="str">
        <f>"ノートルダムセイシンジョシダイガクニホンゴニホンブンガクカイ"</f>
        <v>ノートルダムセイシンジョシダイガクニホンゴニホンブンガクカイ</v>
      </c>
      <c r="F3293" t="str">
        <f>"岡山"</f>
        <v>岡山</v>
      </c>
      <c r="G3293" t="str">
        <f>"年刊"</f>
        <v>年刊</v>
      </c>
      <c r="H3293" t="str">
        <f>"2002222284321"</f>
        <v>2002222284321</v>
      </c>
      <c r="I3293" t="str">
        <f>HYPERLINK("#", "https://opac.libnet.pref.okayama.jp/licsxp-opac/WOpacMsgNewListToTifTilDetailAction.do?tilcod=2002222284321")</f>
        <v>https://opac.libnet.pref.okayama.jp/licsxp-opac/WOpacMsgNewListToTifTilDetailAction.do?tilcod=2002222284321</v>
      </c>
    </row>
    <row r="3294" spans="1:9" x14ac:dyDescent="0.4">
      <c r="A3294" t="str">
        <f>"[清心女子高等学校JRC機関誌]　ひまわり"</f>
        <v>[清心女子高等学校JRC機関誌]　ひまわり</v>
      </c>
      <c r="B3294" s="1" t="str">
        <f t="shared" si="174"/>
        <v>[清心女子高等学校JRC機関誌]　ひまわり</v>
      </c>
      <c r="C3294" t="str">
        <f>"セイシン ジョシ コウトウ ガッコウ ジェイ アール シー キカンシ ヒマワリ"</f>
        <v>セイシン ジョシ コウトウ ガッコウ ジェイ アール シー キカンシ ヒマワリ</v>
      </c>
      <c r="D3294" t="str">
        <f>"清心女子高等学校JRC（青少年赤十字団）"</f>
        <v>清心女子高等学校JRC（青少年赤十字団）</v>
      </c>
      <c r="E3294" t="str">
        <f>"セイシン ジョシ コウトウ ガッコウ ジェイ アール シー セイショウネン セキジュウジダン"</f>
        <v>セイシン ジョシ コウトウ ガッコウ ジェイ アール シー セイショウネン セキジュウジダン</v>
      </c>
      <c r="F3294" t="str">
        <f>"倉敷"</f>
        <v>倉敷</v>
      </c>
      <c r="G3294" t="str">
        <f>"頻度不明"</f>
        <v>頻度不明</v>
      </c>
      <c r="H3294" t="str">
        <f>"2002222328518"</f>
        <v>2002222328518</v>
      </c>
      <c r="I3294" t="str">
        <f>HYPERLINK("#", "https://opac.libnet.pref.okayama.jp/licsxp-opac/WOpacMsgNewListToTifTilDetailAction.do?tilcod=2002222328518")</f>
        <v>https://opac.libnet.pref.okayama.jp/licsxp-opac/WOpacMsgNewListToTifTilDetailAction.do?tilcod=2002222328518</v>
      </c>
    </row>
    <row r="3295" spans="1:9" x14ac:dyDescent="0.4">
      <c r="A3295" t="str">
        <f>"〔清心女子高等学校・清心中学校〕紀要"</f>
        <v>〔清心女子高等学校・清心中学校〕紀要</v>
      </c>
      <c r="B3295" s="1" t="str">
        <f t="shared" si="174"/>
        <v>〔清心女子高等学校・清心中学校〕紀要</v>
      </c>
      <c r="C3295" t="str">
        <f>"セイシン　ジョシ　コウトウ　ガッコウ　セイシン　チュウガッコウ＊キヨウ"</f>
        <v>セイシン　ジョシ　コウトウ　ガッコウ　セイシン　チュウガッコウ＊キヨウ</v>
      </c>
      <c r="D3295" t="str">
        <f>"清心女子高等学校・清心中学校"</f>
        <v>清心女子高等学校・清心中学校</v>
      </c>
      <c r="E3295" t="str">
        <f>"セイシンジョシコウトウガッコウセイシンチュウガッコウ"</f>
        <v>セイシンジョシコウトウガッコウセイシンチュウガッコウ</v>
      </c>
      <c r="F3295" t="str">
        <f>"倉敷"</f>
        <v>倉敷</v>
      </c>
      <c r="G3295" t="str">
        <f>"不定期刊"</f>
        <v>不定期刊</v>
      </c>
      <c r="H3295" t="str">
        <f>"2002222289573"</f>
        <v>2002222289573</v>
      </c>
      <c r="I3295" t="str">
        <f>HYPERLINK("#", "https://opac.libnet.pref.okayama.jp/licsxp-opac/WOpacMsgNewListToTifTilDetailAction.do?tilcod=2002222289573")</f>
        <v>https://opac.libnet.pref.okayama.jp/licsxp-opac/WOpacMsgNewListToTifTilDetailAction.do?tilcod=2002222289573</v>
      </c>
    </row>
    <row r="3296" spans="1:9" x14ac:dyDescent="0.4">
      <c r="A3296" t="str">
        <f>"[清心中学校・清心女子高等学校] 学園だより"</f>
        <v>[清心中学校・清心女子高等学校] 学園だより</v>
      </c>
      <c r="B3296" s="1" t="str">
        <f t="shared" si="174"/>
        <v>[清心中学校・清心女子高等学校] 学園だより</v>
      </c>
      <c r="C3296" t="str">
        <f>"セイシン　チュウガッコウ　セイシン　ジョシ　コウトウ　ガッコウ　ガクエン　ダヨリ"</f>
        <v>セイシン　チュウガッコウ　セイシン　ジョシ　コウトウ　ガッコウ　ガクエン　ダヨリ</v>
      </c>
      <c r="D3296" t="str">
        <f>"清心女子高等学校・清心中学校"</f>
        <v>清心女子高等学校・清心中学校</v>
      </c>
      <c r="E3296" t="str">
        <f>"セイシンジョシコウトウガッコウセイシンチュウガッコウ"</f>
        <v>セイシンジョシコウトウガッコウセイシンチュウガッコウ</v>
      </c>
      <c r="F3296" t="str">
        <f>"倉敷"</f>
        <v>倉敷</v>
      </c>
      <c r="G3296" t="str">
        <f>"年３回刊"</f>
        <v>年３回刊</v>
      </c>
      <c r="H3296" t="str">
        <f>"2002222301824"</f>
        <v>2002222301824</v>
      </c>
      <c r="I3296" t="str">
        <f>HYPERLINK("#", "https://opac.libnet.pref.okayama.jp/licsxp-opac/WOpacMsgNewListToTifTilDetailAction.do?tilcod=2002222301824")</f>
        <v>https://opac.libnet.pref.okayama.jp/licsxp-opac/WOpacMsgNewListToTifTilDetailAction.do?tilcod=2002222301824</v>
      </c>
    </row>
    <row r="3297" spans="1:9" x14ac:dyDescent="0.4">
      <c r="A3297" t="str">
        <f>"[清心中学校･清心女子高等学校]学校案内"</f>
        <v>[清心中学校･清心女子高等学校]学校案内</v>
      </c>
      <c r="B3297" s="1" t="str">
        <f t="shared" si="174"/>
        <v>[清心中学校･清心女子高等学校]学校案内</v>
      </c>
      <c r="C3297" t="str">
        <f>"セイシン　チュウガッコウ　セイシン　ジョシ　コウトウ　ガッコウ　ガッコウ　アンナイ"</f>
        <v>セイシン　チュウガッコウ　セイシン　ジョシ　コウトウ　ガッコウ　ガッコウ　アンナイ</v>
      </c>
      <c r="D3297" t="str">
        <f>"清心女子高等学校・清心中学校"</f>
        <v>清心女子高等学校・清心中学校</v>
      </c>
      <c r="E3297" t="str">
        <f>"セイシンジョシコウトウガッコウセイシンチュウガッコウ"</f>
        <v>セイシンジョシコウトウガッコウセイシンチュウガッコウ</v>
      </c>
      <c r="F3297" t="str">
        <f>"倉敷"</f>
        <v>倉敷</v>
      </c>
      <c r="G3297" t="str">
        <f>"年刊"</f>
        <v>年刊</v>
      </c>
      <c r="H3297" t="str">
        <f>"2002222301270"</f>
        <v>2002222301270</v>
      </c>
      <c r="I3297" t="str">
        <f>HYPERLINK("#", "https://opac.libnet.pref.okayama.jp/licsxp-opac/WOpacMsgNewListToTifTilDetailAction.do?tilcod=2002222301270")</f>
        <v>https://opac.libnet.pref.okayama.jp/licsxp-opac/WOpacMsgNewListToTifTilDetailAction.do?tilcod=2002222301270</v>
      </c>
    </row>
    <row r="3298" spans="1:9" x14ac:dyDescent="0.4">
      <c r="A3298" t="str">
        <f>"[清心中学校･清心女子高等学校]学校要覧"</f>
        <v>[清心中学校･清心女子高等学校]学校要覧</v>
      </c>
      <c r="B3298" s="1" t="str">
        <f t="shared" si="174"/>
        <v>[清心中学校･清心女子高等学校]学校要覧</v>
      </c>
      <c r="C3298" t="str">
        <f>"セイシン　チュウガッコウ　セイシン　ジョシ　コウトウ　ガッコウ　ガッコウ　ヨウラン"</f>
        <v>セイシン　チュウガッコウ　セイシン　ジョシ　コウトウ　ガッコウ　ガッコウ　ヨウラン</v>
      </c>
      <c r="D3298" t="str">
        <f>"清心女子高等学校・清心中学校"</f>
        <v>清心女子高等学校・清心中学校</v>
      </c>
      <c r="E3298" t="str">
        <f>"セイシンジョシコウトウガッコウセイシンチュウガッコウ"</f>
        <v>セイシンジョシコウトウガッコウセイシンチュウガッコウ</v>
      </c>
      <c r="F3298" t="str">
        <f>"倉敷"</f>
        <v>倉敷</v>
      </c>
      <c r="G3298" t="str">
        <f>"年刊"</f>
        <v>年刊</v>
      </c>
      <c r="H3298" t="str">
        <f>"2002222300579"</f>
        <v>2002222300579</v>
      </c>
      <c r="I3298" t="str">
        <f>HYPERLINK("#", "https://opac.libnet.pref.okayama.jp/licsxp-opac/WOpacMsgNewListToTifTilDetailAction.do?tilcod=2002222300579")</f>
        <v>https://opac.libnet.pref.okayama.jp/licsxp-opac/WOpacMsgNewListToTifTilDetailAction.do?tilcod=2002222300579</v>
      </c>
    </row>
    <row r="3299" spans="1:9" x14ac:dyDescent="0.4">
      <c r="A3299" t="str">
        <f>"清心図書館報"</f>
        <v>清心図書館報</v>
      </c>
      <c r="B3299" s="1" t="str">
        <f t="shared" si="174"/>
        <v>清心図書館報</v>
      </c>
      <c r="C3299" t="str">
        <f>"セイシン トショカン ホウ"</f>
        <v>セイシン トショカン ホウ</v>
      </c>
      <c r="D3299" t="str">
        <f>"清心中学校清心女子高等学校図書委員会"</f>
        <v>清心中学校清心女子高等学校図書委員会</v>
      </c>
      <c r="E3299" t="str">
        <f>"セイシン チュウガッコウ セイシン ジョシ コウトウ ガッコウ トショ イインカイ"</f>
        <v>セイシン チュウガッコウ セイシン ジョシ コウトウ ガッコウ トショ イインカイ</v>
      </c>
      <c r="F3299" t="str">
        <f>""</f>
        <v/>
      </c>
      <c r="G3299" t="str">
        <f>"頻度不明"</f>
        <v>頻度不明</v>
      </c>
      <c r="H3299" t="str">
        <f>"2002222307406"</f>
        <v>2002222307406</v>
      </c>
      <c r="I3299" t="str">
        <f>HYPERLINK("#", "https://opac.libnet.pref.okayama.jp/licsxp-opac/WOpacMsgNewListToTifTilDetailAction.do?tilcod=2002222307406")</f>
        <v>https://opac.libnet.pref.okayama.jp/licsxp-opac/WOpacMsgNewListToTifTilDetailAction.do?tilcod=2002222307406</v>
      </c>
    </row>
    <row r="3300" spans="1:9" x14ac:dyDescent="0.4">
      <c r="A3300" t="str">
        <f>"政調リポート"</f>
        <v>政調リポート</v>
      </c>
      <c r="B3300" s="1" t="str">
        <f t="shared" si="174"/>
        <v>政調リポート</v>
      </c>
      <c r="C3300" t="str">
        <f>"セイチョウ　リポート"</f>
        <v>セイチョウ　リポート</v>
      </c>
      <c r="D3300" t="str">
        <f>"岡山県議会事務局"</f>
        <v>岡山県議会事務局</v>
      </c>
      <c r="E3300" t="str">
        <f>"オカヤマケンギカイ ジムキョク"</f>
        <v>オカヤマケンギカイ ジムキョク</v>
      </c>
      <c r="F3300" t="str">
        <f>"岡山"</f>
        <v>岡山</v>
      </c>
      <c r="G3300" t="str">
        <f>"頻度不明"</f>
        <v>頻度不明</v>
      </c>
      <c r="H3300" t="str">
        <f>"2002222283343"</f>
        <v>2002222283343</v>
      </c>
      <c r="I3300" t="str">
        <f>HYPERLINK("#", "https://opac.libnet.pref.okayama.jp/licsxp-opac/WOpacMsgNewListToTifTilDetailAction.do?tilcod=2002222283343")</f>
        <v>https://opac.libnet.pref.okayama.jp/licsxp-opac/WOpacMsgNewListToTifTilDetailAction.do?tilcod=2002222283343</v>
      </c>
    </row>
    <row r="3301" spans="1:9" x14ac:dyDescent="0.4">
      <c r="A3301" t="str">
        <f>"青橙"</f>
        <v>青橙</v>
      </c>
      <c r="B3301" s="1" t="str">
        <f t="shared" si="174"/>
        <v>青橙</v>
      </c>
      <c r="C3301" t="str">
        <f>"セイトウ"</f>
        <v>セイトウ</v>
      </c>
      <c r="D3301" t="str">
        <f>"青橙発行所"</f>
        <v>青橙発行所</v>
      </c>
      <c r="E3301" t="str">
        <f>"セイトウハッコウショ"</f>
        <v>セイトウハッコウショ</v>
      </c>
      <c r="F3301" t="str">
        <f>"新見"</f>
        <v>新見</v>
      </c>
      <c r="G3301" t="str">
        <f>"季刊"</f>
        <v>季刊</v>
      </c>
      <c r="H3301" t="str">
        <f>"2002222292811"</f>
        <v>2002222292811</v>
      </c>
      <c r="I3301" t="str">
        <f>HYPERLINK("#", "https://opac.libnet.pref.okayama.jp/licsxp-opac/WOpacMsgNewListToTifTilDetailAction.do?tilcod=2002222292811")</f>
        <v>https://opac.libnet.pref.okayama.jp/licsxp-opac/WOpacMsgNewListToTifTilDetailAction.do?tilcod=2002222292811</v>
      </c>
    </row>
    <row r="3302" spans="1:9" x14ac:dyDescent="0.4">
      <c r="A3302" t="str">
        <f>"生徒会誌「至道」"</f>
        <v>生徒会誌「至道」</v>
      </c>
      <c r="B3302" s="1" t="str">
        <f t="shared" si="174"/>
        <v>生徒会誌「至道」</v>
      </c>
      <c r="C3302" t="str">
        <f>"セイトカイシ　シドウ"</f>
        <v>セイトカイシ　シドウ</v>
      </c>
      <c r="D3302" t="str">
        <f>"至道高等学校"</f>
        <v>至道高等学校</v>
      </c>
      <c r="E3302" t="str">
        <f>"シドウコウトウガッコウ"</f>
        <v>シドウコウトウガッコウ</v>
      </c>
      <c r="F3302" t="str">
        <f>"真庭市"</f>
        <v>真庭市</v>
      </c>
      <c r="G3302" t="str">
        <f>"年刊"</f>
        <v>年刊</v>
      </c>
      <c r="H3302" t="str">
        <f>"2002222284401"</f>
        <v>2002222284401</v>
      </c>
      <c r="I3302" t="str">
        <f>HYPERLINK("#", "https://opac.libnet.pref.okayama.jp/licsxp-opac/WOpacMsgNewListToTifTilDetailAction.do?tilcod=2002222284401")</f>
        <v>https://opac.libnet.pref.okayama.jp/licsxp-opac/WOpacMsgNewListToTifTilDetailAction.do?tilcod=2002222284401</v>
      </c>
    </row>
    <row r="3303" spans="1:9" x14ac:dyDescent="0.4">
      <c r="A3303" t="str">
        <f>"青年"</f>
        <v>青年</v>
      </c>
      <c r="B3303" s="1" t="str">
        <f t="shared" si="174"/>
        <v>青年</v>
      </c>
      <c r="C3303" t="str">
        <f>"セイネン"</f>
        <v>セイネン</v>
      </c>
      <c r="D3303" t="str">
        <f>"作東町青年協議会"</f>
        <v>作東町青年協議会</v>
      </c>
      <c r="E3303" t="str">
        <f>"サクトウチョウセイネンキョウギカイ"</f>
        <v>サクトウチョウセイネンキョウギカイ</v>
      </c>
      <c r="F3303" t="str">
        <f>"作東町（英田郡）"</f>
        <v>作東町（英田郡）</v>
      </c>
      <c r="G3303" t="str">
        <f>"頻度不明"</f>
        <v>頻度不明</v>
      </c>
      <c r="H3303" t="str">
        <f>"2002222283353"</f>
        <v>2002222283353</v>
      </c>
      <c r="I3303" t="str">
        <f>HYPERLINK("#", "https://opac.libnet.pref.okayama.jp/licsxp-opac/WOpacMsgNewListToTifTilDetailAction.do?tilcod=2002222283353")</f>
        <v>https://opac.libnet.pref.okayama.jp/licsxp-opac/WOpacMsgNewListToTifTilDetailAction.do?tilcod=2002222283353</v>
      </c>
    </row>
    <row r="3304" spans="1:9" x14ac:dyDescent="0.4">
      <c r="A3304" t="str">
        <f>"西備支援学校学校案内"</f>
        <v>西備支援学校学校案内</v>
      </c>
      <c r="B3304" s="1" t="str">
        <f t="shared" si="174"/>
        <v>西備支援学校学校案内</v>
      </c>
      <c r="C3304" t="str">
        <f>"セイビ シエン ガッコウ ガッコウ アンナイ"</f>
        <v>セイビ シエン ガッコウ ガッコウ アンナイ</v>
      </c>
      <c r="D3304" t="str">
        <f>"西備支援学校"</f>
        <v>西備支援学校</v>
      </c>
      <c r="E3304" t="str">
        <f>"セイビ シエン ガッコウ"</f>
        <v>セイビ シエン ガッコウ</v>
      </c>
      <c r="F3304" t="str">
        <f>"笠岡"</f>
        <v>笠岡</v>
      </c>
      <c r="G3304" t="str">
        <f>"年刊"</f>
        <v>年刊</v>
      </c>
      <c r="H3304" t="str">
        <f>"2002222307288"</f>
        <v>2002222307288</v>
      </c>
      <c r="I3304" t="str">
        <f>HYPERLINK("#", "https://opac.libnet.pref.okayama.jp/licsxp-opac/WOpacMsgNewListToTifTilDetailAction.do?tilcod=2002222307288")</f>
        <v>https://opac.libnet.pref.okayama.jp/licsxp-opac/WOpacMsgNewListToTifTilDetailAction.do?tilcod=2002222307288</v>
      </c>
    </row>
    <row r="3305" spans="1:9" x14ac:dyDescent="0.4">
      <c r="A3305" t="str">
        <f>"西備支援学校学校しおり"</f>
        <v>西備支援学校学校しおり</v>
      </c>
      <c r="B3305" s="1" t="str">
        <f t="shared" si="174"/>
        <v>西備支援学校学校しおり</v>
      </c>
      <c r="C3305" t="str">
        <f>"セイビ シエン ガッコウ ガッコウ シオリ"</f>
        <v>セイビ シエン ガッコウ ガッコウ シオリ</v>
      </c>
      <c r="D3305" t="str">
        <f>"西備支援学校"</f>
        <v>西備支援学校</v>
      </c>
      <c r="E3305" t="str">
        <f>"セイビ シエン ガッコウ"</f>
        <v>セイビ シエン ガッコウ</v>
      </c>
      <c r="F3305" t="str">
        <f>"笠岡"</f>
        <v>笠岡</v>
      </c>
      <c r="G3305" t="str">
        <f>"年刊"</f>
        <v>年刊</v>
      </c>
      <c r="H3305" t="str">
        <f>"2002222311909"</f>
        <v>2002222311909</v>
      </c>
      <c r="I3305" t="str">
        <f>HYPERLINK("#", "https://opac.libnet.pref.okayama.jp/licsxp-opac/WOpacMsgNewListToTifTilDetailAction.do?tilcod=2002222311909")</f>
        <v>https://opac.libnet.pref.okayama.jp/licsxp-opac/WOpacMsgNewListToTifTilDetailAction.do?tilcod=2002222311909</v>
      </c>
    </row>
    <row r="3306" spans="1:9" x14ac:dyDescent="0.4">
      <c r="A3306" t="str">
        <f>"西備支援学校学校要覧"</f>
        <v>西備支援学校学校要覧</v>
      </c>
      <c r="B3306" s="1" t="str">
        <f t="shared" si="174"/>
        <v>西備支援学校学校要覧</v>
      </c>
      <c r="C3306" t="str">
        <f>"セイビ シエン ガッコウ ガッコウ ヨウラン"</f>
        <v>セイビ シエン ガッコウ ガッコウ ヨウラン</v>
      </c>
      <c r="D3306" t="str">
        <f>"西備支援学校"</f>
        <v>西備支援学校</v>
      </c>
      <c r="E3306" t="str">
        <f>"セイビ シエン ガッコウ"</f>
        <v>セイビ シエン ガッコウ</v>
      </c>
      <c r="F3306" t="str">
        <f>"岡山"</f>
        <v>岡山</v>
      </c>
      <c r="G3306" t="str">
        <f>"年刊"</f>
        <v>年刊</v>
      </c>
      <c r="H3306" t="str">
        <f>"2002222307346"</f>
        <v>2002222307346</v>
      </c>
      <c r="I3306" t="str">
        <f>HYPERLINK("#", "https://opac.libnet.pref.okayama.jp/licsxp-opac/WOpacMsgNewListToTifTilDetailAction.do?tilcod=2002222307346")</f>
        <v>https://opac.libnet.pref.okayama.jp/licsxp-opac/WOpacMsgNewListToTifTilDetailAction.do?tilcod=2002222307346</v>
      </c>
    </row>
    <row r="3307" spans="1:9" x14ac:dyDescent="0.4">
      <c r="A3307" t="str">
        <f>"西備だより"</f>
        <v>西備だより</v>
      </c>
      <c r="B3307" s="1" t="str">
        <f t="shared" si="174"/>
        <v>西備だより</v>
      </c>
      <c r="C3307" t="str">
        <f>"セイビ　ダヨリ"</f>
        <v>セイビ　ダヨリ</v>
      </c>
      <c r="D3307" t="str">
        <f>"西備支援学校PTA"</f>
        <v>西備支援学校PTA</v>
      </c>
      <c r="E3307" t="str">
        <f>"セイビ シエン ガッコウ　ピーティーエー"</f>
        <v>セイビ シエン ガッコウ　ピーティーエー</v>
      </c>
      <c r="F3307" t="str">
        <f>"笠岡"</f>
        <v>笠岡</v>
      </c>
      <c r="G3307" t="str">
        <f>"年刊"</f>
        <v>年刊</v>
      </c>
      <c r="H3307" t="str">
        <f>"2002222301807"</f>
        <v>2002222301807</v>
      </c>
      <c r="I3307" t="str">
        <f>HYPERLINK("#", "https://opac.libnet.pref.okayama.jp/licsxp-opac/WOpacMsgNewListToTifTilDetailAction.do?tilcod=2002222301807")</f>
        <v>https://opac.libnet.pref.okayama.jp/licsxp-opac/WOpacMsgNewListToTifTilDetailAction.do?tilcod=2002222301807</v>
      </c>
    </row>
    <row r="3308" spans="1:9" x14ac:dyDescent="0.4">
      <c r="A3308" t="str">
        <f>"西備探勝会々報"</f>
        <v>西備探勝会々報</v>
      </c>
      <c r="B3308" s="1" t="str">
        <f t="shared" si="174"/>
        <v>西備探勝会々報</v>
      </c>
      <c r="C3308" t="str">
        <f>"セイビ　タンショウカイ　カイホウ"</f>
        <v>セイビ　タンショウカイ　カイホウ</v>
      </c>
      <c r="D3308" t="str">
        <f>"西備探勝会"</f>
        <v>西備探勝会</v>
      </c>
      <c r="E3308" t="str">
        <f>"セイビタンショウカイ"</f>
        <v>セイビタンショウカイ</v>
      </c>
      <c r="F3308" t="str">
        <f>"井原"</f>
        <v>井原</v>
      </c>
      <c r="G3308" t="str">
        <f>"年２回刊"</f>
        <v>年２回刊</v>
      </c>
      <c r="H3308" t="str">
        <f>"2002222301141"</f>
        <v>2002222301141</v>
      </c>
      <c r="I3308" t="str">
        <f>HYPERLINK("#", "https://opac.libnet.pref.okayama.jp/licsxp-opac/WOpacMsgNewListToTifTilDetailAction.do?tilcod=2002222301141")</f>
        <v>https://opac.libnet.pref.okayama.jp/licsxp-opac/WOpacMsgNewListToTifTilDetailAction.do?tilcod=2002222301141</v>
      </c>
    </row>
    <row r="3309" spans="1:9" x14ac:dyDescent="0.4">
      <c r="A3309" t="str">
        <f>"西備養護学校学校案内"</f>
        <v>西備養護学校学校案内</v>
      </c>
      <c r="B3309" s="1" t="str">
        <f t="shared" si="174"/>
        <v>西備養護学校学校案内</v>
      </c>
      <c r="C3309" t="str">
        <f>"セイビ ヨウゴ ガッコウ ガッコウ アンナイ"</f>
        <v>セイビ ヨウゴ ガッコウ ガッコウ アンナイ</v>
      </c>
      <c r="D3309" t="str">
        <f>"西備養護学校"</f>
        <v>西備養護学校</v>
      </c>
      <c r="E3309" t="str">
        <f>"セイビ ヨウゴ ガッコウ"</f>
        <v>セイビ ヨウゴ ガッコウ</v>
      </c>
      <c r="F3309" t="str">
        <f>"笠岡"</f>
        <v>笠岡</v>
      </c>
      <c r="G3309" t="str">
        <f>"年刊"</f>
        <v>年刊</v>
      </c>
      <c r="H3309" t="str">
        <f>"2002222301118"</f>
        <v>2002222301118</v>
      </c>
      <c r="I3309" t="str">
        <f>HYPERLINK("#", "https://opac.libnet.pref.okayama.jp/licsxp-opac/WOpacMsgNewListToTifTilDetailAction.do?tilcod=2002222301118")</f>
        <v>https://opac.libnet.pref.okayama.jp/licsxp-opac/WOpacMsgNewListToTifTilDetailAction.do?tilcod=2002222301118</v>
      </c>
    </row>
    <row r="3310" spans="1:9" x14ac:dyDescent="0.4">
      <c r="A3310" t="str">
        <f>"西備養護学校学校要覧"</f>
        <v>西備養護学校学校要覧</v>
      </c>
      <c r="B3310" s="1" t="str">
        <f t="shared" si="174"/>
        <v>西備養護学校学校要覧</v>
      </c>
      <c r="C3310" t="str">
        <f>"セイビ ヨウゴ ガッコウ ガッコウ ヨウラン"</f>
        <v>セイビ ヨウゴ ガッコウ ガッコウ ヨウラン</v>
      </c>
      <c r="D3310" t="str">
        <f>"西備養護学校"</f>
        <v>西備養護学校</v>
      </c>
      <c r="E3310" t="str">
        <f>"セイビ ヨウゴ ガッコウ"</f>
        <v>セイビ ヨウゴ ガッコウ</v>
      </c>
      <c r="F3310" t="str">
        <f>"笠岡"</f>
        <v>笠岡</v>
      </c>
      <c r="G3310" t="str">
        <f>"年刊"</f>
        <v>年刊</v>
      </c>
      <c r="H3310" t="str">
        <f>"2002222300599"</f>
        <v>2002222300599</v>
      </c>
      <c r="I3310" t="str">
        <f>HYPERLINK("#", "https://opac.libnet.pref.okayama.jp/licsxp-opac/WOpacMsgNewListToTifTilDetailAction.do?tilcod=2002222300599")</f>
        <v>https://opac.libnet.pref.okayama.jp/licsxp-opac/WOpacMsgNewListToTifTilDetailAction.do?tilcod=2002222300599</v>
      </c>
    </row>
    <row r="3311" spans="1:9" x14ac:dyDescent="0.4">
      <c r="A3311" t="str">
        <f>"清風"</f>
        <v>清風</v>
      </c>
      <c r="B3311" s="1" t="str">
        <f t="shared" si="174"/>
        <v>清風</v>
      </c>
      <c r="C3311" t="str">
        <f>"セイフウ"</f>
        <v>セイフウ</v>
      </c>
      <c r="D3311" t="str">
        <f>"光嶋虎夫"</f>
        <v>光嶋虎夫</v>
      </c>
      <c r="E3311" t="str">
        <f>"ミツシマトラオ"</f>
        <v>ミツシマトラオ</v>
      </c>
      <c r="F3311" t="str">
        <f>"〔勝央町（勝田郡）〕"</f>
        <v>〔勝央町（勝田郡）〕</v>
      </c>
      <c r="G3311" t="str">
        <f>"頻度不明"</f>
        <v>頻度不明</v>
      </c>
      <c r="H3311" t="str">
        <f>"2002222300929"</f>
        <v>2002222300929</v>
      </c>
      <c r="I3311" t="str">
        <f>HYPERLINK("#", "https://opac.libnet.pref.okayama.jp/licsxp-opac/WOpacMsgNewListToTifTilDetailAction.do?tilcod=2002222300929")</f>
        <v>https://opac.libnet.pref.okayama.jp/licsxp-opac/WOpacMsgNewListToTifTilDetailAction.do?tilcod=2002222300929</v>
      </c>
    </row>
    <row r="3312" spans="1:9" x14ac:dyDescent="0.4">
      <c r="A3312" t="str">
        <f>"清風；社内報"</f>
        <v>清風；社内報</v>
      </c>
      <c r="B3312" s="1" t="str">
        <f t="shared" si="174"/>
        <v>清風；社内報</v>
      </c>
      <c r="C3312" t="str">
        <f>"セイフウ＊シャナイホウ"</f>
        <v>セイフウ＊シャナイホウ</v>
      </c>
      <c r="D3312" t="str">
        <f>"ナイカイ塩業"</f>
        <v>ナイカイ塩業</v>
      </c>
      <c r="E3312" t="str">
        <f>"ナイカイ エンギョウ"</f>
        <v>ナイカイ エンギョウ</v>
      </c>
      <c r="F3312" t="str">
        <f>"倉敷"</f>
        <v>倉敷</v>
      </c>
      <c r="G3312" t="str">
        <f>"頻度不明"</f>
        <v>頻度不明</v>
      </c>
      <c r="H3312" t="str">
        <f>"2002222300700"</f>
        <v>2002222300700</v>
      </c>
      <c r="I3312" t="str">
        <f>HYPERLINK("#", "https://opac.libnet.pref.okayama.jp/licsxp-opac/WOpacMsgNewListToTifTilDetailAction.do?tilcod=2002222300700")</f>
        <v>https://opac.libnet.pref.okayama.jp/licsxp-opac/WOpacMsgNewListToTifTilDetailAction.do?tilcod=2002222300700</v>
      </c>
    </row>
    <row r="3313" spans="1:9" x14ac:dyDescent="0.4">
      <c r="A3313" t="str">
        <f>"生物学に関する試験研究論叢"</f>
        <v>生物学に関する試験研究論叢</v>
      </c>
      <c r="B3313" s="1" t="str">
        <f t="shared" si="174"/>
        <v>生物学に関する試験研究論叢</v>
      </c>
      <c r="C3313" t="str">
        <f>"セイブツガク　ニ　カンスル　シケン　ケンキュウ　ロンソウ"</f>
        <v>セイブツガク　ニ　カンスル　シケン　ケンキュウ　ロンソウ</v>
      </c>
      <c r="D3313" t="str">
        <f>"両備〓園記念財団"</f>
        <v>両備〓園記念財団</v>
      </c>
      <c r="E3313" t="str">
        <f>"リョウビテイエンキネンザイダン"</f>
        <v>リョウビテイエンキネンザイダン</v>
      </c>
      <c r="F3313" t="str">
        <f>"岡山"</f>
        <v>岡山</v>
      </c>
      <c r="G3313" t="str">
        <f>"年刊"</f>
        <v>年刊</v>
      </c>
      <c r="H3313" t="str">
        <f>"2002222283363"</f>
        <v>2002222283363</v>
      </c>
      <c r="I3313" t="str">
        <f>HYPERLINK("#", "https://opac.libnet.pref.okayama.jp/licsxp-opac/WOpacMsgNewListToTifTilDetailAction.do?tilcod=2002222283363")</f>
        <v>https://opac.libnet.pref.okayama.jp/licsxp-opac/WOpacMsgNewListToTifTilDetailAction.do?tilcod=2002222283363</v>
      </c>
    </row>
    <row r="3314" spans="1:9" x14ac:dyDescent="0.4">
      <c r="A3314" t="str">
        <f>"清流"</f>
        <v>清流</v>
      </c>
      <c r="B3314" s="1" t="str">
        <f t="shared" si="174"/>
        <v>清流</v>
      </c>
      <c r="C3314" t="str">
        <f>"セイリュウ"</f>
        <v>セイリュウ</v>
      </c>
      <c r="D3314" t="str">
        <f>"加茂教育研修所"</f>
        <v>加茂教育研修所</v>
      </c>
      <c r="E3314" t="str">
        <f>"カモ キョウイク ケンシュウジョ"</f>
        <v>カモ キョウイク ケンシュウジョ</v>
      </c>
      <c r="F3314" t="str">
        <f>""</f>
        <v/>
      </c>
      <c r="G3314" t="str">
        <f>"頻度不明"</f>
        <v>頻度不明</v>
      </c>
      <c r="H3314" t="str">
        <f>"2002222283373"</f>
        <v>2002222283373</v>
      </c>
      <c r="I3314" t="str">
        <f>HYPERLINK("#", "https://opac.libnet.pref.okayama.jp/licsxp-opac/WOpacMsgNewListToTifTilDetailAction.do?tilcod=2002222283373")</f>
        <v>https://opac.libnet.pref.okayama.jp/licsxp-opac/WOpacMsgNewListToTifTilDetailAction.do?tilcod=2002222283373</v>
      </c>
    </row>
    <row r="3315" spans="1:9" x14ac:dyDescent="0.4">
      <c r="A3315" t="str">
        <f>"清流なりわ川"</f>
        <v>清流なりわ川</v>
      </c>
      <c r="B3315" s="1" t="str">
        <f t="shared" si="174"/>
        <v>清流なりわ川</v>
      </c>
      <c r="C3315" t="str">
        <f>"セイリュウ　ナリワガワ"</f>
        <v>セイリュウ　ナリワガワ</v>
      </c>
      <c r="D3315" t="str">
        <f>"成羽川流域水質浄化対策推進協議会"</f>
        <v>成羽川流域水質浄化対策推進協議会</v>
      </c>
      <c r="E3315" t="str">
        <f>"ナリワガワリュウイキスイシツジョウカタイサクスイシンキョウギカイ"</f>
        <v>ナリワガワリュウイキスイシツジョウカタイサクスイシンキョウギカイ</v>
      </c>
      <c r="F3315" t="str">
        <f>"岡山"</f>
        <v>岡山</v>
      </c>
      <c r="G3315" t="str">
        <f>"年刊"</f>
        <v>年刊</v>
      </c>
      <c r="H3315" t="str">
        <f>"2002222301396"</f>
        <v>2002222301396</v>
      </c>
      <c r="I3315" t="str">
        <f>HYPERLINK("#", "https://opac.libnet.pref.okayama.jp/licsxp-opac/WOpacMsgNewListToTifTilDetailAction.do?tilcod=2002222301396")</f>
        <v>https://opac.libnet.pref.okayama.jp/licsxp-opac/WOpacMsgNewListToTifTilDetailAction.do?tilcod=2002222301396</v>
      </c>
    </row>
    <row r="3316" spans="1:9" x14ac:dyDescent="0.4">
      <c r="A3316" t="str">
        <f>"赤十字おかやま"</f>
        <v>赤十字おかやま</v>
      </c>
      <c r="B3316" s="1" t="str">
        <f t="shared" si="174"/>
        <v>赤十字おかやま</v>
      </c>
      <c r="C3316" t="str">
        <f>"セキジュウジ オカヤマ"</f>
        <v>セキジュウジ オカヤマ</v>
      </c>
      <c r="D3316" t="str">
        <f>"日本赤十字社岡山県支部"</f>
        <v>日本赤十字社岡山県支部</v>
      </c>
      <c r="E3316" t="str">
        <f>"ニホン セキジュウジシャ オカヤマケン シブ"</f>
        <v>ニホン セキジュウジシャ オカヤマケン シブ</v>
      </c>
      <c r="F3316" t="str">
        <f>"岡山"</f>
        <v>岡山</v>
      </c>
      <c r="G3316" t="str">
        <f>"隔週刊"</f>
        <v>隔週刊</v>
      </c>
      <c r="H3316" t="str">
        <f>"2002222332352"</f>
        <v>2002222332352</v>
      </c>
      <c r="I3316" t="str">
        <f>HYPERLINK("#", "https://opac.libnet.pref.okayama.jp/licsxp-opac/WOpacMsgNewListToTifTilDetailAction.do?tilcod=2002222332352")</f>
        <v>https://opac.libnet.pref.okayama.jp/licsxp-opac/WOpacMsgNewListToTifTilDetailAction.do?tilcod=2002222332352</v>
      </c>
    </row>
    <row r="3317" spans="1:9" x14ac:dyDescent="0.4">
      <c r="A3317" t="str">
        <f>"積善；餘慶寺だより"</f>
        <v>積善；餘慶寺だより</v>
      </c>
      <c r="B3317" s="1" t="str">
        <f t="shared" si="174"/>
        <v>積善；餘慶寺だより</v>
      </c>
      <c r="C3317" t="str">
        <f>"セキゼン＊ヨケイジ　ダヨリ"</f>
        <v>セキゼン＊ヨケイジ　ダヨリ</v>
      </c>
      <c r="D3317" t="str">
        <f>"上寺山餘慶寺"</f>
        <v>上寺山餘慶寺</v>
      </c>
      <c r="E3317" t="str">
        <f>"ウエテラサン ヨケイジ"</f>
        <v>ウエテラサン ヨケイジ</v>
      </c>
      <c r="F3317" t="str">
        <f>"岡山"</f>
        <v>岡山</v>
      </c>
      <c r="G3317" t="str">
        <f>"頻度不明"</f>
        <v>頻度不明</v>
      </c>
      <c r="H3317" t="str">
        <f>"2002222330907"</f>
        <v>2002222330907</v>
      </c>
      <c r="I3317" t="str">
        <f>HYPERLINK("#", "https://opac.libnet.pref.okayama.jp/licsxp-opac/WOpacMsgNewListToTifTilDetailAction.do?tilcod=2002222330907")</f>
        <v>https://opac.libnet.pref.okayama.jp/licsxp-opac/WOpacMsgNewListToTifTilDetailAction.do?tilcod=2002222330907</v>
      </c>
    </row>
    <row r="3318" spans="1:9" x14ac:dyDescent="0.4">
      <c r="A3318" t="str">
        <f>"ゼクシィ岡山"</f>
        <v>ゼクシィ岡山</v>
      </c>
      <c r="B3318" s="1" t="str">
        <f t="shared" si="174"/>
        <v>ゼクシィ岡山</v>
      </c>
      <c r="C3318" t="str">
        <f>"ゼクシィ　オカヤマ"</f>
        <v>ゼクシィ　オカヤマ</v>
      </c>
      <c r="D3318" t="str">
        <f>"リクルート岡山支社"</f>
        <v>リクルート岡山支社</v>
      </c>
      <c r="E3318" t="str">
        <f>"リクルートオカヤマシシャ"</f>
        <v>リクルートオカヤマシシャ</v>
      </c>
      <c r="F3318" t="str">
        <f>"岡山"</f>
        <v>岡山</v>
      </c>
      <c r="G3318" t="str">
        <f>"月刊"</f>
        <v>月刊</v>
      </c>
      <c r="H3318" t="str">
        <f>"2002222301060"</f>
        <v>2002222301060</v>
      </c>
      <c r="I3318" t="str">
        <f>HYPERLINK("#", "https://opac.libnet.pref.okayama.jp/licsxp-opac/WOpacMsgNewListToTifTilDetailAction.do?tilcod=2002222301060")</f>
        <v>https://opac.libnet.pref.okayama.jp/licsxp-opac/WOpacMsgNewListToTifTilDetailAction.do?tilcod=2002222301060</v>
      </c>
    </row>
    <row r="3319" spans="1:9" x14ac:dyDescent="0.4">
      <c r="A3319" t="str">
        <f>"ゼクシィ　岡山・広島・山口"</f>
        <v>ゼクシィ　岡山・広島・山口</v>
      </c>
      <c r="B3319" s="1" t="str">
        <f t="shared" si="174"/>
        <v>ゼクシィ　岡山・広島・山口</v>
      </c>
      <c r="C3319" t="str">
        <f>"ゼクシィ　オカヤマ　ヒロシマ　ヤマグチ"</f>
        <v>ゼクシィ　オカヤマ　ヒロシマ　ヤマグチ</v>
      </c>
      <c r="D3319" t="str">
        <f>"リクルート"</f>
        <v>リクルート</v>
      </c>
      <c r="E3319" t="str">
        <f>"リクルート"</f>
        <v>リクルート</v>
      </c>
      <c r="F3319" t="str">
        <f>"広島"</f>
        <v>広島</v>
      </c>
      <c r="G3319" t="str">
        <f>"月刊"</f>
        <v>月刊</v>
      </c>
      <c r="H3319" t="str">
        <f>"2002222302151"</f>
        <v>2002222302151</v>
      </c>
      <c r="I3319" t="str">
        <f>HYPERLINK("#", "https://opac.libnet.pref.okayama.jp/licsxp-opac/WOpacMsgNewListToTifTilDetailAction.do?tilcod=2002222302151")</f>
        <v>https://opac.libnet.pref.okayama.jp/licsxp-opac/WOpacMsgNewListToTifTilDetailAction.do?tilcod=2002222302151</v>
      </c>
    </row>
    <row r="3320" spans="1:9" x14ac:dyDescent="0.4">
      <c r="A3320" t="str">
        <f>"ゼクシィ 岡山・広島・山口・鳥取・島根 "</f>
        <v xml:space="preserve">ゼクシィ 岡山・広島・山口・鳥取・島根 </v>
      </c>
      <c r="B3320" s="1" t="str">
        <f t="shared" si="174"/>
        <v xml:space="preserve">ゼクシィ 岡山・広島・山口・鳥取・島根 </v>
      </c>
      <c r="C3320" t="str">
        <f>"ゼクシィ オカヤマ ヒロシマ ヤマグチ トットリ シマネ "</f>
        <v xml:space="preserve">ゼクシィ オカヤマ ヒロシマ ヤマグチ トットリ シマネ </v>
      </c>
      <c r="D3320" t="str">
        <f>"リクルートホールディングス"</f>
        <v>リクルートホールディングス</v>
      </c>
      <c r="E3320" t="str">
        <f>"リクルート ホールディングス"</f>
        <v>リクルート ホールディングス</v>
      </c>
      <c r="F3320" t="str">
        <f>"広島"</f>
        <v>広島</v>
      </c>
      <c r="G3320" t="str">
        <f>"月刊"</f>
        <v>月刊</v>
      </c>
      <c r="H3320" t="str">
        <f>"2002222312972"</f>
        <v>2002222312972</v>
      </c>
      <c r="I3320" t="str">
        <f>HYPERLINK("#", "https://opac.libnet.pref.okayama.jp/licsxp-opac/WOpacMsgNewListToTifTilDetailAction.do?tilcod=2002222312972")</f>
        <v>https://opac.libnet.pref.okayama.jp/licsxp-opac/WOpacMsgNewListToTifTilDetailAction.do?tilcod=2002222312972</v>
      </c>
    </row>
    <row r="3321" spans="1:9" x14ac:dyDescent="0.4">
      <c r="A3321" t="str">
        <f>"細流"</f>
        <v>細流</v>
      </c>
      <c r="B3321" s="1" t="str">
        <f t="shared" si="174"/>
        <v>細流</v>
      </c>
      <c r="C3321" t="str">
        <f>"セセラギ"</f>
        <v>セセラギ</v>
      </c>
      <c r="D3321" t="str">
        <f>"セセラギ社"</f>
        <v>セセラギ社</v>
      </c>
      <c r="E3321" t="str">
        <f>"セセラギシャ"</f>
        <v>セセラギシャ</v>
      </c>
      <c r="F3321" t="str">
        <f>"井原"</f>
        <v>井原</v>
      </c>
      <c r="G3321" t="str">
        <f>"頻度不明"</f>
        <v>頻度不明</v>
      </c>
      <c r="H3321" t="str">
        <f>"2002222340470"</f>
        <v>2002222340470</v>
      </c>
      <c r="I3321" t="str">
        <f>HYPERLINK("#", "https://opac.libnet.pref.okayama.jp/licsxp-opac/WOpacMsgNewListToTifTilDetailAction.do?tilcod=2002222340470")</f>
        <v>https://opac.libnet.pref.okayama.jp/licsxp-opac/WOpacMsgNewListToTifTilDetailAction.do?tilcod=2002222340470</v>
      </c>
    </row>
    <row r="3322" spans="1:9" x14ac:dyDescent="0.4">
      <c r="A3322" t="str">
        <f>"設立準備会会誌　岡山版；日仏野村小三郎学会"</f>
        <v>設立準備会会誌　岡山版；日仏野村小三郎学会</v>
      </c>
      <c r="B3322" s="1" t="str">
        <f t="shared" si="174"/>
        <v>設立準備会会誌　岡山版；日仏野村小三郎学会</v>
      </c>
      <c r="C3322" t="str">
        <f>"セツリツ　ジュンビカイ　カイシ　オカヤマバン＊ニチブツ　ノムラ　コサブロウ　ガッカイ"</f>
        <v>セツリツ　ジュンビカイ　カイシ　オカヤマバン＊ニチブツ　ノムラ　コサブロウ　ガッカイ</v>
      </c>
      <c r="D3322" t="str">
        <f>"日仏野村小三郎学会設立準備会"</f>
        <v>日仏野村小三郎学会設立準備会</v>
      </c>
      <c r="E3322" t="str">
        <f>"ニチブツノムラコサブロウガッカイセツリツジュンビカイ"</f>
        <v>ニチブツノムラコサブロウガッカイセツリツジュンビカイ</v>
      </c>
      <c r="F3322" t="str">
        <f>"岡山"</f>
        <v>岡山</v>
      </c>
      <c r="G3322" t="str">
        <f>"不定期刊"</f>
        <v>不定期刊</v>
      </c>
      <c r="H3322" t="str">
        <f>"2002222281684"</f>
        <v>2002222281684</v>
      </c>
      <c r="I3322" t="str">
        <f>HYPERLINK("#", "https://opac.libnet.pref.okayama.jp/licsxp-opac/WOpacMsgNewListToTifTilDetailAction.do?tilcod=2002222281684")</f>
        <v>https://opac.libnet.pref.okayama.jp/licsxp-opac/WOpacMsgNewListToTifTilDetailAction.do?tilcod=2002222281684</v>
      </c>
    </row>
    <row r="3323" spans="1:9" x14ac:dyDescent="0.4">
      <c r="A3323" t="str">
        <f>"瀬戸"</f>
        <v>瀬戸</v>
      </c>
      <c r="B3323" s="1" t="str">
        <f t="shared" si="174"/>
        <v>瀬戸</v>
      </c>
      <c r="C3323" t="str">
        <f>"セト"</f>
        <v>セト</v>
      </c>
      <c r="D3323" t="str">
        <f>"岡山東鉄道研究会"</f>
        <v>岡山東鉄道研究会</v>
      </c>
      <c r="E3323" t="str">
        <f>"オカヤマヒガシテツドウケンキュウカイ"</f>
        <v>オカヤマヒガシテツドウケンキュウカイ</v>
      </c>
      <c r="F3323" t="str">
        <f>""</f>
        <v/>
      </c>
      <c r="G3323" t="str">
        <f>"隔月刊"</f>
        <v>隔月刊</v>
      </c>
      <c r="H3323" t="str">
        <f>"2002222283403"</f>
        <v>2002222283403</v>
      </c>
      <c r="I3323" t="str">
        <f>HYPERLINK("#", "https://opac.libnet.pref.okayama.jp/licsxp-opac/WOpacMsgNewListToTifTilDetailAction.do?tilcod=2002222283403")</f>
        <v>https://opac.libnet.pref.okayama.jp/licsxp-opac/WOpacMsgNewListToTifTilDetailAction.do?tilcod=2002222283403</v>
      </c>
    </row>
    <row r="3324" spans="1:9" x14ac:dyDescent="0.4">
      <c r="A3324" t="str">
        <f>"[瀬戸高校] 図書館報"</f>
        <v>[瀬戸高校] 図書館報</v>
      </c>
      <c r="B3324" s="1" t="str">
        <f t="shared" si="174"/>
        <v>[瀬戸高校] 図書館報</v>
      </c>
      <c r="C3324" t="str">
        <f>"セト　コウコウ　トショカンホウ"</f>
        <v>セト　コウコウ　トショカンホウ</v>
      </c>
      <c r="D3324" t="str">
        <f>"瀬戸高等学校図書委員会"</f>
        <v>瀬戸高等学校図書委員会</v>
      </c>
      <c r="E3324" t="str">
        <f>"セトコウトウガッコウトショイインカイ"</f>
        <v>セトコウトウガッコウトショイインカイ</v>
      </c>
      <c r="F3324" t="str">
        <f>"瀬戸町（赤磐郡）"</f>
        <v>瀬戸町（赤磐郡）</v>
      </c>
      <c r="G3324" t="str">
        <f>"頻度不明"</f>
        <v>頻度不明</v>
      </c>
      <c r="H3324" t="str">
        <f>"2002222301659"</f>
        <v>2002222301659</v>
      </c>
      <c r="I3324" t="str">
        <f>HYPERLINK("#", "https://opac.libnet.pref.okayama.jp/licsxp-opac/WOpacMsgNewListToTifTilDetailAction.do?tilcod=2002222301659")</f>
        <v>https://opac.libnet.pref.okayama.jp/licsxp-opac/WOpacMsgNewListToTifTilDetailAction.do?tilcod=2002222301659</v>
      </c>
    </row>
    <row r="3325" spans="1:9" x14ac:dyDescent="0.4">
      <c r="A3325" t="str">
        <f>"[瀬戸高等学校] 学校案内"</f>
        <v>[瀬戸高等学校] 学校案内</v>
      </c>
      <c r="B3325" s="1" t="str">
        <f t="shared" si="174"/>
        <v>[瀬戸高等学校] 学校案内</v>
      </c>
      <c r="C3325" t="str">
        <f>"セト　コウトウ　ガッコウ　ガッコウ　アンナイ"</f>
        <v>セト　コウトウ　ガッコウ　ガッコウ　アンナイ</v>
      </c>
      <c r="D3325" t="str">
        <f>"瀬戸高等学校"</f>
        <v>瀬戸高等学校</v>
      </c>
      <c r="E3325" t="str">
        <f>"セトコウトウガッコウ"</f>
        <v>セトコウトウガッコウ</v>
      </c>
      <c r="F3325" t="str">
        <f>"岡山"</f>
        <v>岡山</v>
      </c>
      <c r="G3325" t="str">
        <f>"年刊"</f>
        <v>年刊</v>
      </c>
      <c r="H3325" t="str">
        <f>"2002222301191"</f>
        <v>2002222301191</v>
      </c>
      <c r="I3325" t="str">
        <f>HYPERLINK("#", "https://opac.libnet.pref.okayama.jp/licsxp-opac/WOpacMsgNewListToTifTilDetailAction.do?tilcod=2002222301191")</f>
        <v>https://opac.libnet.pref.okayama.jp/licsxp-opac/WOpacMsgNewListToTifTilDetailAction.do?tilcod=2002222301191</v>
      </c>
    </row>
    <row r="3326" spans="1:9" x14ac:dyDescent="0.4">
      <c r="A3326" t="str">
        <f>"[瀬戸高等学校] 学校要覧"</f>
        <v>[瀬戸高等学校] 学校要覧</v>
      </c>
      <c r="B3326" s="1" t="str">
        <f t="shared" si="174"/>
        <v>[瀬戸高等学校] 学校要覧</v>
      </c>
      <c r="C3326" t="str">
        <f>"セト　コウトウ　ガッコウ　ガッコウ　ヨウラン"</f>
        <v>セト　コウトウ　ガッコウ　ガッコウ　ヨウラン</v>
      </c>
      <c r="D3326" t="str">
        <f>"瀬戸高等学校"</f>
        <v>瀬戸高等学校</v>
      </c>
      <c r="E3326" t="str">
        <f>"セトコウトウガッコウ"</f>
        <v>セトコウトウガッコウ</v>
      </c>
      <c r="F3326" t="str">
        <f>"瀬戸町（赤磐郡）"</f>
        <v>瀬戸町（赤磐郡）</v>
      </c>
      <c r="G3326" t="str">
        <f>"年刊"</f>
        <v>年刊</v>
      </c>
      <c r="H3326" t="str">
        <f>"2002222300534"</f>
        <v>2002222300534</v>
      </c>
      <c r="I3326" t="str">
        <f>HYPERLINK("#", "https://opac.libnet.pref.okayama.jp/licsxp-opac/WOpacMsgNewListToTifTilDetailAction.do?tilcod=2002222300534")</f>
        <v>https://opac.libnet.pref.okayama.jp/licsxp-opac/WOpacMsgNewListToTifTilDetailAction.do?tilcod=2002222300534</v>
      </c>
    </row>
    <row r="3327" spans="1:9" x14ac:dyDescent="0.4">
      <c r="A3327" t="str">
        <f>"瀬戸公民館だより 万富公民館だより"</f>
        <v>瀬戸公民館だより 万富公民館だより</v>
      </c>
      <c r="B3327" s="1" t="str">
        <f t="shared" si="174"/>
        <v>瀬戸公民館だより 万富公民館だより</v>
      </c>
      <c r="C3327" t="str">
        <f>"セト コウミンカン ダヨリ マントミ コウミンカン ダヨリ"</f>
        <v>セト コウミンカン ダヨリ マントミ コウミンカン ダヨリ</v>
      </c>
      <c r="D3327" t="str">
        <f>"岡山市立瀬戸公民館"</f>
        <v>岡山市立瀬戸公民館</v>
      </c>
      <c r="E3327" t="str">
        <f>"オカヤマシリツ セト コウミンカン"</f>
        <v>オカヤマシリツ セト コウミンカン</v>
      </c>
      <c r="F3327" t="str">
        <f>""</f>
        <v/>
      </c>
      <c r="G3327" t="str">
        <f>"月刊"</f>
        <v>月刊</v>
      </c>
      <c r="H3327" t="str">
        <f>"2002222332129"</f>
        <v>2002222332129</v>
      </c>
      <c r="I3327" t="str">
        <f>HYPERLINK("#", "https://opac.libnet.pref.okayama.jp/licsxp-opac/WOpacMsgNewListToTifTilDetailAction.do?tilcod=2002222332129")</f>
        <v>https://opac.libnet.pref.okayama.jp/licsxp-opac/WOpacMsgNewListToTifTilDetailAction.do?tilcod=2002222332129</v>
      </c>
    </row>
    <row r="3328" spans="1:9" x14ac:dyDescent="0.4">
      <c r="A3328" t="str">
        <f>"瀬戸の書"</f>
        <v>瀬戸の書</v>
      </c>
      <c r="B3328" s="1" t="str">
        <f t="shared" si="174"/>
        <v>瀬戸の書</v>
      </c>
      <c r="C3328" t="str">
        <f>"セト　ノ　ショ"</f>
        <v>セト　ノ　ショ</v>
      </c>
      <c r="D3328" t="str">
        <f>"瀬戸大橋教育書道連盟"</f>
        <v>瀬戸大橋教育書道連盟</v>
      </c>
      <c r="E3328" t="str">
        <f>"セトオオハシキョウイクショドウレンメイ"</f>
        <v>セトオオハシキョウイクショドウレンメイ</v>
      </c>
      <c r="F3328" t="str">
        <f>"岡山"</f>
        <v>岡山</v>
      </c>
      <c r="G3328" t="str">
        <f>"月刊"</f>
        <v>月刊</v>
      </c>
      <c r="H3328" t="str">
        <f>"2002222292831"</f>
        <v>2002222292831</v>
      </c>
      <c r="I3328" t="str">
        <f>HYPERLINK("#", "https://opac.libnet.pref.okayama.jp/licsxp-opac/WOpacMsgNewListToTifTilDetailAction.do?tilcod=2002222292831")</f>
        <v>https://opac.libnet.pref.okayama.jp/licsxp-opac/WOpacMsgNewListToTifTilDetailAction.do?tilcod=2002222292831</v>
      </c>
    </row>
    <row r="3329" spans="1:9" x14ac:dyDescent="0.4">
      <c r="A3329" t="str">
        <f>"［瀬戸南高等学校］学校案内"</f>
        <v>［瀬戸南高等学校］学校案内</v>
      </c>
      <c r="B3329" s="1" t="str">
        <f t="shared" si="174"/>
        <v>［瀬戸南高等学校］学校案内</v>
      </c>
      <c r="C3329" t="str">
        <f>"セト　ミナミ　コウトウ　ガッコウ　ガッコウ　アンナイ"</f>
        <v>セト　ミナミ　コウトウ　ガッコウ　ガッコウ　アンナイ</v>
      </c>
      <c r="D3329" t="str">
        <f>"瀬戸南高等学校"</f>
        <v>瀬戸南高等学校</v>
      </c>
      <c r="E3329" t="str">
        <f>"セト ミナミ コウトウ ガッコウ"</f>
        <v>セト ミナミ コウトウ ガッコウ</v>
      </c>
      <c r="F3329" t="str">
        <f>"瀬戸町（赤磐郡）"</f>
        <v>瀬戸町（赤磐郡）</v>
      </c>
      <c r="G3329" t="str">
        <f>"年刊"</f>
        <v>年刊</v>
      </c>
      <c r="H3329" t="str">
        <f>"2002222301189"</f>
        <v>2002222301189</v>
      </c>
      <c r="I3329" t="str">
        <f>HYPERLINK("#", "https://opac.libnet.pref.okayama.jp/licsxp-opac/WOpacMsgNewListToTifTilDetailAction.do?tilcod=2002222301189")</f>
        <v>https://opac.libnet.pref.okayama.jp/licsxp-opac/WOpacMsgNewListToTifTilDetailAction.do?tilcod=2002222301189</v>
      </c>
    </row>
    <row r="3330" spans="1:9" x14ac:dyDescent="0.4">
      <c r="A3330" t="str">
        <f>"［瀬戸南高等学校］学校要覧"</f>
        <v>［瀬戸南高等学校］学校要覧</v>
      </c>
      <c r="B3330" s="1" t="str">
        <f t="shared" si="174"/>
        <v>［瀬戸南高等学校］学校要覧</v>
      </c>
      <c r="C3330" t="str">
        <f>"セト　ミナミ　コウトウ　ガッコウ　ガッコウ　ヨウラン"</f>
        <v>セト　ミナミ　コウトウ　ガッコウ　ガッコウ　ヨウラン</v>
      </c>
      <c r="D3330" t="str">
        <f>"瀬戸南高等学校"</f>
        <v>瀬戸南高等学校</v>
      </c>
      <c r="E3330" t="str">
        <f>"セト ミナミ コウトウ ガッコウ"</f>
        <v>セト ミナミ コウトウ ガッコウ</v>
      </c>
      <c r="F3330" t="str">
        <f>"瀬戸町（赤磐郡）"</f>
        <v>瀬戸町（赤磐郡）</v>
      </c>
      <c r="G3330" t="str">
        <f>"年刊"</f>
        <v>年刊</v>
      </c>
      <c r="H3330" t="str">
        <f>"2002222300535"</f>
        <v>2002222300535</v>
      </c>
      <c r="I3330" t="str">
        <f>HYPERLINK("#", "https://opac.libnet.pref.okayama.jp/licsxp-opac/WOpacMsgNewListToTifTilDetailAction.do?tilcod=2002222300535")</f>
        <v>https://opac.libnet.pref.okayama.jp/licsxp-opac/WOpacMsgNewListToTifTilDetailAction.do?tilcod=2002222300535</v>
      </c>
    </row>
    <row r="3331" spans="1:9" x14ac:dyDescent="0.4">
      <c r="A3331" t="str">
        <f>"〔瀬戸南高等学校〕砂川学報"</f>
        <v>〔瀬戸南高等学校〕砂川学報</v>
      </c>
      <c r="B3331" s="1" t="str">
        <f t="shared" si="174"/>
        <v>〔瀬戸南高等学校〕砂川学報</v>
      </c>
      <c r="C3331" t="str">
        <f>"セト　ミナミ　コウトウ　ガッコウ＊スナガワ　ガクホウ"</f>
        <v>セト　ミナミ　コウトウ　ガッコウ＊スナガワ　ガクホウ</v>
      </c>
      <c r="D3331" t="str">
        <f>"瀬戸南高等学校"</f>
        <v>瀬戸南高等学校</v>
      </c>
      <c r="E3331" t="str">
        <f>"セト ミナミ コウトウ ガッコウ"</f>
        <v>セト ミナミ コウトウ ガッコウ</v>
      </c>
      <c r="F3331" t="str">
        <f>"瀬戸町（赤磐郡）"</f>
        <v>瀬戸町（赤磐郡）</v>
      </c>
      <c r="G3331" t="str">
        <f>"頻度不明"</f>
        <v>頻度不明</v>
      </c>
      <c r="H3331" t="str">
        <f>"2002222301972"</f>
        <v>2002222301972</v>
      </c>
      <c r="I3331" t="str">
        <f>HYPERLINK("#", "https://opac.libnet.pref.okayama.jp/licsxp-opac/WOpacMsgNewListToTifTilDetailAction.do?tilcod=2002222301972")</f>
        <v>https://opac.libnet.pref.okayama.jp/licsxp-opac/WOpacMsgNewListToTifTilDetailAction.do?tilcod=2002222301972</v>
      </c>
    </row>
    <row r="3332" spans="1:9" x14ac:dyDescent="0.4">
      <c r="A3332" t="str">
        <f>"せとうち"</f>
        <v>せとうち</v>
      </c>
      <c r="B3332" s="1" t="str">
        <f t="shared" ref="B3332:B3395" si="175">HYPERLINK("#", A3332)</f>
        <v>せとうち</v>
      </c>
      <c r="C3332" t="str">
        <f>"セトウチ"</f>
        <v>セトウチ</v>
      </c>
      <c r="D3332" t="str">
        <f>"広島経営サービスセンター"</f>
        <v>広島経営サービスセンター</v>
      </c>
      <c r="E3332" t="str">
        <f>"ヒロシマケイエイサービスセンター"</f>
        <v>ヒロシマケイエイサービスセンター</v>
      </c>
      <c r="F3332" t="str">
        <f>""</f>
        <v/>
      </c>
      <c r="G3332" t="str">
        <f>"隔月刊"</f>
        <v>隔月刊</v>
      </c>
      <c r="H3332" t="str">
        <f>"2002222283413"</f>
        <v>2002222283413</v>
      </c>
      <c r="I3332" t="str">
        <f>HYPERLINK("#", "https://opac.libnet.pref.okayama.jp/licsxp-opac/WOpacMsgNewListToTifTilDetailAction.do?tilcod=2002222283413")</f>
        <v>https://opac.libnet.pref.okayama.jp/licsxp-opac/WOpacMsgNewListToTifTilDetailAction.do?tilcod=2002222283413</v>
      </c>
    </row>
    <row r="3333" spans="1:9" x14ac:dyDescent="0.4">
      <c r="A3333" t="str">
        <f>"せとうちアート通信"</f>
        <v>せとうちアート通信</v>
      </c>
      <c r="B3333" s="1" t="str">
        <f t="shared" si="175"/>
        <v>せとうちアート通信</v>
      </c>
      <c r="C3333" t="str">
        <f>"セトウチ アート ツウシン"</f>
        <v>セトウチ アート ツウシン</v>
      </c>
      <c r="D3333" t="str">
        <f>"本州四国連絡高速道路"</f>
        <v>本州四国連絡高速道路</v>
      </c>
      <c r="E3333" t="str">
        <f>"ホンシュウ シコク レンラク コウソク ドウロ"</f>
        <v>ホンシュウ シコク レンラク コウソク ドウロ</v>
      </c>
      <c r="F3333" t="str">
        <f>"神戸"</f>
        <v>神戸</v>
      </c>
      <c r="G3333" t="str">
        <f>"不定期刊"</f>
        <v>不定期刊</v>
      </c>
      <c r="H3333" t="str">
        <f>"2002222342691"</f>
        <v>2002222342691</v>
      </c>
      <c r="I3333" t="str">
        <f>HYPERLINK("#", "https://opac.libnet.pref.okayama.jp/licsxp-opac/WOpacMsgNewListToTifTilDetailAction.do?tilcod=2002222342691")</f>
        <v>https://opac.libnet.pref.okayama.jp/licsxp-opac/WOpacMsgNewListToTifTilDetailAction.do?tilcod=2002222342691</v>
      </c>
    </row>
    <row r="3334" spans="1:9" x14ac:dyDescent="0.4">
      <c r="A3334" t="str">
        <f>"瀬戸内考古学"</f>
        <v>瀬戸内考古学</v>
      </c>
      <c r="B3334" s="1" t="str">
        <f t="shared" si="175"/>
        <v>瀬戸内考古学</v>
      </c>
      <c r="C3334" t="str">
        <f>"セトウチ　コウコガク"</f>
        <v>セトウチ　コウコガク</v>
      </c>
      <c r="D3334" t="str">
        <f>"瀬戸内考古学会"</f>
        <v>瀬戸内考古学会</v>
      </c>
      <c r="E3334" t="str">
        <f>"セトウチコウコガッカイ"</f>
        <v>セトウチコウコガッカイ</v>
      </c>
      <c r="F3334" t="str">
        <f>""</f>
        <v/>
      </c>
      <c r="G3334" t="str">
        <f>"頻度不明"</f>
        <v>頻度不明</v>
      </c>
      <c r="H3334" t="str">
        <f>"2002222283423"</f>
        <v>2002222283423</v>
      </c>
      <c r="I3334" t="str">
        <f>HYPERLINK("#", "https://opac.libnet.pref.okayama.jp/licsxp-opac/WOpacMsgNewListToTifTilDetailAction.do?tilcod=2002222283423")</f>
        <v>https://opac.libnet.pref.okayama.jp/licsxp-opac/WOpacMsgNewListToTifTilDetailAction.do?tilcod=2002222283423</v>
      </c>
    </row>
    <row r="3335" spans="1:9" x14ac:dyDescent="0.4">
      <c r="A3335" t="str">
        <f>"瀬戸内新報"</f>
        <v>瀬戸内新報</v>
      </c>
      <c r="B3335" s="1" t="str">
        <f t="shared" si="175"/>
        <v>瀬戸内新報</v>
      </c>
      <c r="C3335" t="str">
        <f>"セトウチ　シンポウ"</f>
        <v>セトウチ　シンポウ</v>
      </c>
      <c r="D3335" t="str">
        <f>"瀬戸内新報"</f>
        <v>瀬戸内新報</v>
      </c>
      <c r="E3335" t="str">
        <f>"セトウチシンポウ"</f>
        <v>セトウチシンポウ</v>
      </c>
      <c r="F3335" t="str">
        <f>"早島町（都窪郡）"</f>
        <v>早島町（都窪郡）</v>
      </c>
      <c r="G3335" t="str">
        <f>"月刊"</f>
        <v>月刊</v>
      </c>
      <c r="H3335" t="str">
        <f>"2002222300930"</f>
        <v>2002222300930</v>
      </c>
      <c r="I3335" t="str">
        <f>HYPERLINK("#", "https://opac.libnet.pref.okayama.jp/licsxp-opac/WOpacMsgNewListToTifTilDetailAction.do?tilcod=2002222300930")</f>
        <v>https://opac.libnet.pref.okayama.jp/licsxp-opac/WOpacMsgNewListToTifTilDetailAction.do?tilcod=2002222300930</v>
      </c>
    </row>
    <row r="3336" spans="1:9" x14ac:dyDescent="0.4">
      <c r="A3336" t="str">
        <f>"瀬戸内労働者[岡山労働運動研究会総合機関誌]"</f>
        <v>瀬戸内労働者[岡山労働運動研究会総合機関誌]</v>
      </c>
      <c r="B3336" s="1" t="str">
        <f t="shared" si="175"/>
        <v>瀬戸内労働者[岡山労働運動研究会総合機関誌]</v>
      </c>
      <c r="C3336" t="str">
        <f>"セトウチ ロウドウシャ オカヤマ ロウドウ ウンドウ ケンキュウカイ ソウゴウ キカンシ"</f>
        <v>セトウチ ロウドウシャ オカヤマ ロウドウ ウンドウ ケンキュウカイ ソウゴウ キカンシ</v>
      </c>
      <c r="D3336" t="str">
        <f>"岡山労働運動研究会"</f>
        <v>岡山労働運動研究会</v>
      </c>
      <c r="E3336" t="str">
        <f>"オカヤマ ロウドウ ウンドウ ケンキュウカイ"</f>
        <v>オカヤマ ロウドウ ウンドウ ケンキュウカイ</v>
      </c>
      <c r="F3336" t="str">
        <f>"岡山"</f>
        <v>岡山</v>
      </c>
      <c r="G3336" t="str">
        <f>"頻度不明"</f>
        <v>頻度不明</v>
      </c>
      <c r="H3336" t="str">
        <f>"2002222331420"</f>
        <v>2002222331420</v>
      </c>
      <c r="I3336" t="str">
        <f>HYPERLINK("#", "https://opac.libnet.pref.okayama.jp/licsxp-opac/WOpacMsgNewListToTifTilDetailAction.do?tilcod=2002222331420")</f>
        <v>https://opac.libnet.pref.okayama.jp/licsxp-opac/WOpacMsgNewListToTifTilDetailAction.do?tilcod=2002222331420</v>
      </c>
    </row>
    <row r="3337" spans="1:9" x14ac:dyDescent="0.4">
      <c r="A3337" t="str">
        <f>"せとうちロマン"</f>
        <v>せとうちロマン</v>
      </c>
      <c r="B3337" s="1" t="str">
        <f t="shared" si="175"/>
        <v>せとうちロマン</v>
      </c>
      <c r="C3337" t="str">
        <f>"セトウチ　ロマン"</f>
        <v>セトウチ　ロマン</v>
      </c>
      <c r="D3337" t="str">
        <f>"福山地方拠点都市地域推進協議会"</f>
        <v>福山地方拠点都市地域推進協議会</v>
      </c>
      <c r="E3337" t="str">
        <f>"フクヤマチホウキョテントシチイキスイシンキョウギカイ"</f>
        <v>フクヤマチホウキョテントシチイキスイシンキョウギカイ</v>
      </c>
      <c r="F3337" t="str">
        <f>"福山"</f>
        <v>福山</v>
      </c>
      <c r="G3337" t="str">
        <f>"月刊"</f>
        <v>月刊</v>
      </c>
      <c r="H3337" t="str">
        <f>"2002222281681"</f>
        <v>2002222281681</v>
      </c>
      <c r="I3337" t="str">
        <f>HYPERLINK("#", "https://opac.libnet.pref.okayama.jp/licsxp-opac/WOpacMsgNewListToTifTilDetailAction.do?tilcod=2002222281681")</f>
        <v>https://opac.libnet.pref.okayama.jp/licsxp-opac/WOpacMsgNewListToTifTilDetailAction.do?tilcod=2002222281681</v>
      </c>
    </row>
    <row r="3338" spans="1:9" x14ac:dyDescent="0.4">
      <c r="A3338" t="str">
        <f>"瀬戸内市公民館だより"</f>
        <v>瀬戸内市公民館だより</v>
      </c>
      <c r="B3338" s="1" t="str">
        <f t="shared" si="175"/>
        <v>瀬戸内市公民館だより</v>
      </c>
      <c r="C3338" t="str">
        <f>"セトウチシ　コウミンカン　ダヨリ"</f>
        <v>セトウチシ　コウミンカン　ダヨリ</v>
      </c>
      <c r="D3338" t="str">
        <f>"〔瀬戸内市中央公民館〕"</f>
        <v>〔瀬戸内市中央公民館〕</v>
      </c>
      <c r="E3338" t="str">
        <f>"セトウチシチュウオウコウミンカン"</f>
        <v>セトウチシチュウオウコウミンカン</v>
      </c>
      <c r="F3338" t="str">
        <f>"瀬戸内"</f>
        <v>瀬戸内</v>
      </c>
      <c r="G3338" t="str">
        <f>"頻度不明"</f>
        <v>頻度不明</v>
      </c>
      <c r="H3338" t="str">
        <f>"2002222300427"</f>
        <v>2002222300427</v>
      </c>
      <c r="I3338" t="str">
        <f>HYPERLINK("#", "https://opac.libnet.pref.okayama.jp/licsxp-opac/WOpacMsgNewListToTifTilDetailAction.do?tilcod=2002222300427")</f>
        <v>https://opac.libnet.pref.okayama.jp/licsxp-opac/WOpacMsgNewListToTifTilDetailAction.do?tilcod=2002222300427</v>
      </c>
    </row>
    <row r="3339" spans="1:9" x14ac:dyDescent="0.4">
      <c r="A3339" t="str">
        <f>"瀬戸内市商工会会報"</f>
        <v>瀬戸内市商工会会報</v>
      </c>
      <c r="B3339" s="1" t="str">
        <f t="shared" si="175"/>
        <v>瀬戸内市商工会会報</v>
      </c>
      <c r="C3339" t="str">
        <f>"セトウチシ ショウコウカイ カイホウ"</f>
        <v>セトウチシ ショウコウカイ カイホウ</v>
      </c>
      <c r="D3339" t="str">
        <f>"瀬戸内市商工会"</f>
        <v>瀬戸内市商工会</v>
      </c>
      <c r="E3339" t="str">
        <f>"セトウチシ ショウコウカイ"</f>
        <v>セトウチシ ショウコウカイ</v>
      </c>
      <c r="F3339" t="str">
        <f>"瀬戸内"</f>
        <v>瀬戸内</v>
      </c>
      <c r="G3339" t="str">
        <f>"年２回刊"</f>
        <v>年２回刊</v>
      </c>
      <c r="H3339" t="str">
        <f>"2002222333647"</f>
        <v>2002222333647</v>
      </c>
      <c r="I3339" t="str">
        <f>HYPERLINK("#", "https://opac.libnet.pref.okayama.jp/licsxp-opac/WOpacMsgNewListToTifTilDetailAction.do?tilcod=2002222333647")</f>
        <v>https://opac.libnet.pref.okayama.jp/licsxp-opac/WOpacMsgNewListToTifTilDetailAction.do?tilcod=2002222333647</v>
      </c>
    </row>
    <row r="3340" spans="1:9" x14ac:dyDescent="0.4">
      <c r="A3340" t="str">
        <f>"瀬戸内市備前市赤穂市 ; 地域みっちゃく愛情報誌"</f>
        <v>瀬戸内市備前市赤穂市 ; 地域みっちゃく愛情報誌</v>
      </c>
      <c r="B3340" s="1" t="str">
        <f t="shared" si="175"/>
        <v>瀬戸内市備前市赤穂市 ; 地域みっちゃく愛情報誌</v>
      </c>
      <c r="C3340" t="str">
        <f>"セトウチシ ビゼンシ アコウシ チイキ ミッチャク アイ ジョウホウシ"</f>
        <v>セトウチシ ビゼンシ アコウシ チイキ ミッチャク アイ ジョウホウシ</v>
      </c>
      <c r="D3340" t="str">
        <f>"プライマリー"</f>
        <v>プライマリー</v>
      </c>
      <c r="E3340" t="str">
        <f>"プライマリー"</f>
        <v>プライマリー</v>
      </c>
      <c r="F3340" t="str">
        <f>"岡山"</f>
        <v>岡山</v>
      </c>
      <c r="G3340" t="str">
        <f>"頻度不明"</f>
        <v>頻度不明</v>
      </c>
      <c r="H3340" t="str">
        <f>"2002222334070"</f>
        <v>2002222334070</v>
      </c>
      <c r="I3340" t="str">
        <f>HYPERLINK("#", "https://opac.libnet.pref.okayama.jp/licsxp-opac/WOpacMsgNewListToTifTilDetailAction.do?tilcod=2002222334070")</f>
        <v>https://opac.libnet.pref.okayama.jp/licsxp-opac/WOpacMsgNewListToTifTilDetailAction.do?tilcod=2002222334070</v>
      </c>
    </row>
    <row r="3341" spans="1:9" x14ac:dyDescent="0.4">
      <c r="A3341" t="str">
        <f>"瀬戸圏企画　広報版"</f>
        <v>瀬戸圏企画　広報版</v>
      </c>
      <c r="B3341" s="1" t="str">
        <f t="shared" si="175"/>
        <v>瀬戸圏企画　広報版</v>
      </c>
      <c r="C3341" t="str">
        <f>"セトケン　キカク　コウホウバン"</f>
        <v>セトケン　キカク　コウホウバン</v>
      </c>
      <c r="D3341" t="str">
        <f>"瀬戸圏企画社"</f>
        <v>瀬戸圏企画社</v>
      </c>
      <c r="E3341" t="str">
        <f>"セトケンキカク"</f>
        <v>セトケンキカク</v>
      </c>
      <c r="F3341" t="str">
        <f>"岡山"</f>
        <v>岡山</v>
      </c>
      <c r="G3341" t="str">
        <f>"旬刊"</f>
        <v>旬刊</v>
      </c>
      <c r="H3341" t="str">
        <f>"2002222300997"</f>
        <v>2002222300997</v>
      </c>
      <c r="I3341" t="str">
        <f>HYPERLINK("#", "https://opac.libnet.pref.okayama.jp/licsxp-opac/WOpacMsgNewListToTifTilDetailAction.do?tilcod=2002222300997")</f>
        <v>https://opac.libnet.pref.okayama.jp/licsxp-opac/WOpacMsgNewListToTifTilDetailAction.do?tilcod=2002222300997</v>
      </c>
    </row>
    <row r="3342" spans="1:9" x14ac:dyDescent="0.4">
      <c r="A3342" t="str">
        <f>"瀬戸研同好通信"</f>
        <v>瀬戸研同好通信</v>
      </c>
      <c r="B3342" s="1" t="str">
        <f t="shared" si="175"/>
        <v>瀬戸研同好通信</v>
      </c>
      <c r="C3342" t="str">
        <f>"セトケン　ドウコウ　ツウシン"</f>
        <v>セトケン　ドウコウ　ツウシン</v>
      </c>
      <c r="D3342" t="str">
        <f>"瀬戸内海研究同好会"</f>
        <v>瀬戸内海研究同好会</v>
      </c>
      <c r="E3342" t="str">
        <f>"セトナイカイケンキュウドウコウカイ"</f>
        <v>セトナイカイケンキュウドウコウカイ</v>
      </c>
      <c r="F3342" t="str">
        <f>""</f>
        <v/>
      </c>
      <c r="G3342" t="str">
        <f>"頻度不明"</f>
        <v>頻度不明</v>
      </c>
      <c r="H3342" t="str">
        <f>"2002222283433"</f>
        <v>2002222283433</v>
      </c>
      <c r="I3342" t="str">
        <f>HYPERLINK("#", "https://opac.libnet.pref.okayama.jp/licsxp-opac/WOpacMsgNewListToTifTilDetailAction.do?tilcod=2002222283433")</f>
        <v>https://opac.libnet.pref.okayama.jp/licsxp-opac/WOpacMsgNewListToTifTilDetailAction.do?tilcod=2002222283433</v>
      </c>
    </row>
    <row r="3343" spans="1:9" x14ac:dyDescent="0.4">
      <c r="A3343" t="str">
        <f>"瀬戸内海"</f>
        <v>瀬戸内海</v>
      </c>
      <c r="B3343" s="1" t="str">
        <f t="shared" si="175"/>
        <v>瀬戸内海</v>
      </c>
      <c r="C3343" t="str">
        <f>"セトナイカイ"</f>
        <v>セトナイカイ</v>
      </c>
      <c r="D3343" t="str">
        <f>"西日本放送"</f>
        <v>西日本放送</v>
      </c>
      <c r="E3343" t="str">
        <f>"ニシニホンホウソウ"</f>
        <v>ニシニホンホウソウ</v>
      </c>
      <c r="F3343" t="str">
        <f>""</f>
        <v/>
      </c>
      <c r="G3343" t="str">
        <f>"隔月刊"</f>
        <v>隔月刊</v>
      </c>
      <c r="H3343" t="str">
        <f>"2002222283443"</f>
        <v>2002222283443</v>
      </c>
      <c r="I3343" t="str">
        <f>HYPERLINK("#", "https://opac.libnet.pref.okayama.jp/licsxp-opac/WOpacMsgNewListToTifTilDetailAction.do?tilcod=2002222283443")</f>
        <v>https://opac.libnet.pref.okayama.jp/licsxp-opac/WOpacMsgNewListToTifTilDetailAction.do?tilcod=2002222283443</v>
      </c>
    </row>
    <row r="3344" spans="1:9" x14ac:dyDescent="0.4">
      <c r="A3344" t="str">
        <f>"瀬戸内海"</f>
        <v>瀬戸内海</v>
      </c>
      <c r="B3344" s="1" t="str">
        <f t="shared" si="175"/>
        <v>瀬戸内海</v>
      </c>
      <c r="C3344" t="str">
        <f>"セトナイカイ"</f>
        <v>セトナイカイ</v>
      </c>
      <c r="D3344" t="str">
        <f>"瀬戸内海研究同好会"</f>
        <v>瀬戸内海研究同好会</v>
      </c>
      <c r="E3344" t="str">
        <f>"セトナイカイケンキュウドウコウカイ"</f>
        <v>セトナイカイケンキュウドウコウカイ</v>
      </c>
      <c r="F3344" t="str">
        <f>""</f>
        <v/>
      </c>
      <c r="G3344" t="str">
        <f>"年刊"</f>
        <v>年刊</v>
      </c>
      <c r="H3344" t="str">
        <f>"2002222283453"</f>
        <v>2002222283453</v>
      </c>
      <c r="I3344" t="str">
        <f>HYPERLINK("#", "https://opac.libnet.pref.okayama.jp/licsxp-opac/WOpacMsgNewListToTifTilDetailAction.do?tilcod=2002222283453")</f>
        <v>https://opac.libnet.pref.okayama.jp/licsxp-opac/WOpacMsgNewListToTifTilDetailAction.do?tilcod=2002222283453</v>
      </c>
    </row>
    <row r="3345" spans="1:9" x14ac:dyDescent="0.4">
      <c r="A3345" t="str">
        <f>"瀬戸内海"</f>
        <v>瀬戸内海</v>
      </c>
      <c r="B3345" s="1" t="str">
        <f t="shared" si="175"/>
        <v>瀬戸内海</v>
      </c>
      <c r="C3345" t="str">
        <f>"セトナイカイ"</f>
        <v>セトナイカイ</v>
      </c>
      <c r="D3345" t="str">
        <f>"瀬戸内海文学社"</f>
        <v>瀬戸内海文学社</v>
      </c>
      <c r="E3345" t="str">
        <f>"セトナイカイブンガクシャ"</f>
        <v>セトナイカイブンガクシャ</v>
      </c>
      <c r="F3345" t="str">
        <f>""</f>
        <v/>
      </c>
      <c r="G3345" t="str">
        <f>"頻度不明"</f>
        <v>頻度不明</v>
      </c>
      <c r="H3345" t="str">
        <f>"2002222283463"</f>
        <v>2002222283463</v>
      </c>
      <c r="I3345" t="str">
        <f>HYPERLINK("#", "https://opac.libnet.pref.okayama.jp/licsxp-opac/WOpacMsgNewListToTifTilDetailAction.do?tilcod=2002222283463")</f>
        <v>https://opac.libnet.pref.okayama.jp/licsxp-opac/WOpacMsgNewListToTifTilDetailAction.do?tilcod=2002222283463</v>
      </c>
    </row>
    <row r="3346" spans="1:9" x14ac:dyDescent="0.4">
      <c r="A3346" t="str">
        <f>"瀬戸内海"</f>
        <v>瀬戸内海</v>
      </c>
      <c r="B3346" s="1" t="str">
        <f t="shared" si="175"/>
        <v>瀬戸内海</v>
      </c>
      <c r="C3346" t="str">
        <f>"セトナイカイ"</f>
        <v>セトナイカイ</v>
      </c>
      <c r="D3346" t="str">
        <f>"瀬戸内海文化連盟岡山事務局"</f>
        <v>瀬戸内海文化連盟岡山事務局</v>
      </c>
      <c r="E3346" t="str">
        <f>"セトナイカイブンカレンメイオカヤマジムキョク"</f>
        <v>セトナイカイブンカレンメイオカヤマジムキョク</v>
      </c>
      <c r="F3346" t="str">
        <f>"児島"</f>
        <v>児島</v>
      </c>
      <c r="G3346" t="str">
        <f>"頻度不明"</f>
        <v>頻度不明</v>
      </c>
      <c r="H3346" t="str">
        <f>"2002222300702"</f>
        <v>2002222300702</v>
      </c>
      <c r="I3346" t="str">
        <f>HYPERLINK("#", "https://opac.libnet.pref.okayama.jp/licsxp-opac/WOpacMsgNewListToTifTilDetailAction.do?tilcod=2002222300702")</f>
        <v>https://opac.libnet.pref.okayama.jp/licsxp-opac/WOpacMsgNewListToTifTilDetailAction.do?tilcod=2002222300702</v>
      </c>
    </row>
    <row r="3347" spans="1:9" x14ac:dyDescent="0.4">
      <c r="A3347" t="str">
        <f>"瀬戸内海"</f>
        <v>瀬戸内海</v>
      </c>
      <c r="B3347" s="1" t="str">
        <f t="shared" si="175"/>
        <v>瀬戸内海</v>
      </c>
      <c r="C3347" t="str">
        <f>"セトナイカイ"</f>
        <v>セトナイカイ</v>
      </c>
      <c r="D3347" t="str">
        <f>"瀬戸内海総合研究会"</f>
        <v>瀬戸内海総合研究会</v>
      </c>
      <c r="E3347" t="str">
        <f>"セトナイカイ ソウゴウ ケンキュウカイ"</f>
        <v>セトナイカイ ソウゴウ ケンキュウカイ</v>
      </c>
      <c r="F3347" t="str">
        <f>"岡山"</f>
        <v>岡山</v>
      </c>
      <c r="G3347" t="str">
        <f>"頻度不明"</f>
        <v>頻度不明</v>
      </c>
      <c r="H3347" t="str">
        <f>"2002222283473"</f>
        <v>2002222283473</v>
      </c>
      <c r="I3347" t="str">
        <f>HYPERLINK("#", "https://opac.libnet.pref.okayama.jp/licsxp-opac/WOpacMsgNewListToTifTilDetailAction.do?tilcod=2002222283473")</f>
        <v>https://opac.libnet.pref.okayama.jp/licsxp-opac/WOpacMsgNewListToTifTilDetailAction.do?tilcod=2002222283473</v>
      </c>
    </row>
    <row r="3348" spans="1:9" x14ac:dyDescent="0.4">
      <c r="A3348" t="str">
        <f>"瀬戸内海経済レポート"</f>
        <v>瀬戸内海経済レポート</v>
      </c>
      <c r="B3348" s="1" t="str">
        <f t="shared" si="175"/>
        <v>瀬戸内海経済レポート</v>
      </c>
      <c r="C3348" t="str">
        <f>"セトナイカイ ケイザイ レポート"</f>
        <v>セトナイカイ ケイザイ レポート</v>
      </c>
      <c r="D3348" t="str">
        <f>"瀬戸内海経済レポート"</f>
        <v>瀬戸内海経済レポート</v>
      </c>
      <c r="E3348" t="str">
        <f>"セトナイカイ ケイザイ レポート"</f>
        <v>セトナイカイ ケイザイ レポート</v>
      </c>
      <c r="F3348" t="str">
        <f>"岡山"</f>
        <v>岡山</v>
      </c>
      <c r="G3348" t="str">
        <f>"旬刊"</f>
        <v>旬刊</v>
      </c>
      <c r="H3348" t="str">
        <f>"2002222291481"</f>
        <v>2002222291481</v>
      </c>
      <c r="I3348" t="str">
        <f>HYPERLINK("#", "https://opac.libnet.pref.okayama.jp/licsxp-opac/WOpacMsgNewListToTifTilDetailAction.do?tilcod=2002222291481")</f>
        <v>https://opac.libnet.pref.okayama.jp/licsxp-opac/WOpacMsgNewListToTifTilDetailAction.do?tilcod=2002222291481</v>
      </c>
    </row>
    <row r="3349" spans="1:9" x14ac:dyDescent="0.4">
      <c r="A3349" t="str">
        <f>"瀬戸内海研究"</f>
        <v>瀬戸内海研究</v>
      </c>
      <c r="B3349" s="1" t="str">
        <f t="shared" si="175"/>
        <v>瀬戸内海研究</v>
      </c>
      <c r="C3349" t="str">
        <f>"セトナイカイ ケンキュウ"</f>
        <v>セトナイカイ ケンキュウ</v>
      </c>
      <c r="D3349" t="str">
        <f>"瀬戸内海総合研究会"</f>
        <v>瀬戸内海総合研究会</v>
      </c>
      <c r="E3349" t="str">
        <f>"セトナイカイ ソウゴウ ケンキュウカイ"</f>
        <v>セトナイカイ ソウゴウ ケンキュウカイ</v>
      </c>
      <c r="F3349" t="str">
        <f>""</f>
        <v/>
      </c>
      <c r="G3349" t="str">
        <f>"頻度不明"</f>
        <v>頻度不明</v>
      </c>
      <c r="H3349" t="str">
        <f>"2002222283483"</f>
        <v>2002222283483</v>
      </c>
      <c r="I3349" t="str">
        <f>HYPERLINK("#", "https://opac.libnet.pref.okayama.jp/licsxp-opac/WOpacMsgNewListToTifTilDetailAction.do?tilcod=2002222283483")</f>
        <v>https://opac.libnet.pref.okayama.jp/licsxp-opac/WOpacMsgNewListToTifTilDetailAction.do?tilcod=2002222283483</v>
      </c>
    </row>
    <row r="3350" spans="1:9" x14ac:dyDescent="0.4">
      <c r="A3350" t="str">
        <f>"瀬戸内海文学"</f>
        <v>瀬戸内海文学</v>
      </c>
      <c r="B3350" s="1" t="str">
        <f t="shared" si="175"/>
        <v>瀬戸内海文学</v>
      </c>
      <c r="C3350" t="str">
        <f>"セトナイカイ　ブンガク"</f>
        <v>セトナイカイ　ブンガク</v>
      </c>
      <c r="D3350" t="str">
        <f>"瀬戸内海文学会"</f>
        <v>瀬戸内海文学会</v>
      </c>
      <c r="E3350" t="str">
        <f>"セトナイカイブンガクカイ"</f>
        <v>セトナイカイブンガクカイ</v>
      </c>
      <c r="F3350" t="str">
        <f>"岡山"</f>
        <v>岡山</v>
      </c>
      <c r="G3350" t="str">
        <f>"年刊"</f>
        <v>年刊</v>
      </c>
      <c r="H3350" t="str">
        <f>"2002222292821"</f>
        <v>2002222292821</v>
      </c>
      <c r="I3350" t="str">
        <f>HYPERLINK("#", "https://opac.libnet.pref.okayama.jp/licsxp-opac/WOpacMsgNewListToTifTilDetailAction.do?tilcod=2002222292821")</f>
        <v>https://opac.libnet.pref.okayama.jp/licsxp-opac/WOpacMsgNewListToTifTilDetailAction.do?tilcod=2002222292821</v>
      </c>
    </row>
    <row r="3351" spans="1:9" x14ac:dyDescent="0.4">
      <c r="A3351" t="str">
        <f>"せとらんどＮＯＷ"</f>
        <v>せとらんどＮＯＷ</v>
      </c>
      <c r="B3351" s="1" t="str">
        <f t="shared" si="175"/>
        <v>せとらんどＮＯＷ</v>
      </c>
      <c r="C3351" t="str">
        <f>"セトランド　ナウ"</f>
        <v>セトランド　ナウ</v>
      </c>
      <c r="D3351" t="str">
        <f>"西日本放送"</f>
        <v>西日本放送</v>
      </c>
      <c r="E3351" t="str">
        <f>"ニシニホンホウソウ"</f>
        <v>ニシニホンホウソウ</v>
      </c>
      <c r="F3351" t="str">
        <f>"高松"</f>
        <v>高松</v>
      </c>
      <c r="G3351" t="str">
        <f>"頻度不明"</f>
        <v>頻度不明</v>
      </c>
      <c r="H3351" t="str">
        <f>"2002222283493"</f>
        <v>2002222283493</v>
      </c>
      <c r="I3351" t="str">
        <f>HYPERLINK("#", "https://opac.libnet.pref.okayama.jp/licsxp-opac/WOpacMsgNewListToTifTilDetailAction.do?tilcod=2002222283493")</f>
        <v>https://opac.libnet.pref.okayama.jp/licsxp-opac/WOpacMsgNewListToTifTilDetailAction.do?tilcod=2002222283493</v>
      </c>
    </row>
    <row r="3352" spans="1:9" x14ac:dyDescent="0.4">
      <c r="A3352" t="str">
        <f>"妹尾公民館だより"</f>
        <v>妹尾公民館だより</v>
      </c>
      <c r="B3352" s="1" t="str">
        <f t="shared" si="175"/>
        <v>妹尾公民館だより</v>
      </c>
      <c r="C3352" t="str">
        <f>"セノオ コウミンカン ダヨリ"</f>
        <v>セノオ コウミンカン ダヨリ</v>
      </c>
      <c r="D3352" t="str">
        <f>"岡山市立妹尾公民館"</f>
        <v>岡山市立妹尾公民館</v>
      </c>
      <c r="E3352" t="str">
        <f>"オカヤマシリツセノオコウミンカン"</f>
        <v>オカヤマシリツセノオコウミンカン</v>
      </c>
      <c r="F3352" t="str">
        <f>"岡山"</f>
        <v>岡山</v>
      </c>
      <c r="G3352" t="str">
        <f>"隔月刊"</f>
        <v>隔月刊</v>
      </c>
      <c r="H3352" t="str">
        <f>"2002222281991"</f>
        <v>2002222281991</v>
      </c>
      <c r="I3352" t="str">
        <f>HYPERLINK("#", "https://opac.libnet.pref.okayama.jp/licsxp-opac/WOpacMsgNewListToTifTilDetailAction.do?tilcod=2002222281991")</f>
        <v>https://opac.libnet.pref.okayama.jp/licsxp-opac/WOpacMsgNewListToTifTilDetailAction.do?tilcod=2002222281991</v>
      </c>
    </row>
    <row r="3353" spans="1:9" x14ac:dyDescent="0.4">
      <c r="A3353" t="str">
        <f>"ゼピロス；環瀬戸内生活情報誌"</f>
        <v>ゼピロス；環瀬戸内生活情報誌</v>
      </c>
      <c r="B3353" s="1" t="str">
        <f t="shared" si="175"/>
        <v>ゼピロス；環瀬戸内生活情報誌</v>
      </c>
      <c r="C3353" t="str">
        <f>"ゼピロス　カンセトウチ　セイカツ　ジョウホウシ"</f>
        <v>ゼピロス　カンセトウチ　セイカツ　ジョウホウシ</v>
      </c>
      <c r="D3353" t="str">
        <f>"山陽新聞社"</f>
        <v>山陽新聞社</v>
      </c>
      <c r="E3353" t="str">
        <f>"サンヨウシンブンシャ"</f>
        <v>サンヨウシンブンシャ</v>
      </c>
      <c r="F3353" t="str">
        <f>"岡山"</f>
        <v>岡山</v>
      </c>
      <c r="G3353" t="str">
        <f>"季刊"</f>
        <v>季刊</v>
      </c>
      <c r="H3353" t="str">
        <f>"2002222286011"</f>
        <v>2002222286011</v>
      </c>
      <c r="I3353" t="str">
        <f>HYPERLINK("#", "https://opac.libnet.pref.okayama.jp/licsxp-opac/WOpacMsgNewListToTifTilDetailAction.do?tilcod=2002222286011")</f>
        <v>https://opac.libnet.pref.okayama.jp/licsxp-opac/WOpacMsgNewListToTifTilDetailAction.do?tilcod=2002222286011</v>
      </c>
    </row>
    <row r="3354" spans="1:9" x14ac:dyDescent="0.4">
      <c r="A3354" t="str">
        <f>"セラミックス岡山"</f>
        <v>セラミックス岡山</v>
      </c>
      <c r="B3354" s="1" t="str">
        <f t="shared" si="175"/>
        <v>セラミックス岡山</v>
      </c>
      <c r="C3354" t="str">
        <f>"セラミックス　オカヤマ"</f>
        <v>セラミックス　オカヤマ</v>
      </c>
      <c r="D3354" t="str">
        <f>"岡山セラミックス技術振興財団"</f>
        <v>岡山セラミックス技術振興財団</v>
      </c>
      <c r="E3354" t="str">
        <f>"オカヤマ セラミックス ギジュツ シンコウ ザイダン"</f>
        <v>オカヤマ セラミックス ギジュツ シンコウ ザイダン</v>
      </c>
      <c r="F3354" t="str">
        <f>"岡山"</f>
        <v>岡山</v>
      </c>
      <c r="G3354" t="str">
        <f>"年刊"</f>
        <v>年刊</v>
      </c>
      <c r="H3354" t="str">
        <f>"2002222292841"</f>
        <v>2002222292841</v>
      </c>
      <c r="I3354" t="str">
        <f>HYPERLINK("#", "https://opac.libnet.pref.okayama.jp/licsxp-opac/WOpacMsgNewListToTifTilDetailAction.do?tilcod=2002222292841")</f>
        <v>https://opac.libnet.pref.okayama.jp/licsxp-opac/WOpacMsgNewListToTifTilDetailAction.do?tilcod=2002222292841</v>
      </c>
    </row>
    <row r="3355" spans="1:9" x14ac:dyDescent="0.4">
      <c r="A3355" t="str">
        <f>"０８総選挙勝利みんなでがんばりニュース"</f>
        <v>０８総選挙勝利みんなでがんばりニュース</v>
      </c>
      <c r="B3355" s="1" t="str">
        <f t="shared" si="175"/>
        <v>０８総選挙勝利みんなでがんばりニュース</v>
      </c>
      <c r="C3355" t="str">
        <f>"ゼロハチ　ソウセンキョ　ショウリ　ミンナ　デ　ガンバリ　ニュース"</f>
        <v>ゼロハチ　ソウセンキョ　ショウリ　ミンナ　デ　ガンバリ　ニュース</v>
      </c>
      <c r="D3355" t="str">
        <f>"日本共産党岡山県委員会"</f>
        <v>日本共産党岡山県委員会</v>
      </c>
      <c r="E3355" t="str">
        <f>"ニホン キョウサントウ オカヤマケン イインカイ"</f>
        <v>ニホン キョウサントウ オカヤマケン イインカイ</v>
      </c>
      <c r="F3355" t="str">
        <f>"岡山"</f>
        <v>岡山</v>
      </c>
      <c r="G3355" t="str">
        <f>"頻度不明"</f>
        <v>頻度不明</v>
      </c>
      <c r="H3355" t="str">
        <f>"2002222301987"</f>
        <v>2002222301987</v>
      </c>
      <c r="I3355" t="str">
        <f>HYPERLINK("#", "https://opac.libnet.pref.okayama.jp/licsxp-opac/WOpacMsgNewListToTifTilDetailAction.do?tilcod=2002222301987")</f>
        <v>https://opac.libnet.pref.okayama.jp/licsxp-opac/WOpacMsgNewListToTifTilDetailAction.do?tilcod=2002222301987</v>
      </c>
    </row>
    <row r="3356" spans="1:9" x14ac:dyDescent="0.4">
      <c r="A3356" t="str">
        <f>"然；総社の地域誌"</f>
        <v>然；総社の地域誌</v>
      </c>
      <c r="B3356" s="1" t="str">
        <f t="shared" si="175"/>
        <v>然；総社の地域誌</v>
      </c>
      <c r="C3356" t="str">
        <f>"ゼン＊ソウジャ　ノ　チイキシ"</f>
        <v>ゼン＊ソウジャ　ノ　チイキシ</v>
      </c>
      <c r="D3356" t="str">
        <f>"『然』出版会"</f>
        <v>『然』出版会</v>
      </c>
      <c r="E3356" t="str">
        <f>"ゼンシュッパンカイ"</f>
        <v>ゼンシュッパンカイ</v>
      </c>
      <c r="F3356" t="str">
        <f>"総社"</f>
        <v>総社</v>
      </c>
      <c r="G3356" t="str">
        <f>"年２回刊"</f>
        <v>年２回刊</v>
      </c>
      <c r="H3356" t="str">
        <f>"2002222300223"</f>
        <v>2002222300223</v>
      </c>
      <c r="I3356" t="str">
        <f>HYPERLINK("#", "https://opac.libnet.pref.okayama.jp/licsxp-opac/WOpacMsgNewListToTifTilDetailAction.do?tilcod=2002222300223")</f>
        <v>https://opac.libnet.pref.okayama.jp/licsxp-opac/WOpacMsgNewListToTifTilDetailAction.do?tilcod=2002222300223</v>
      </c>
    </row>
    <row r="3357" spans="1:9" x14ac:dyDescent="0.4">
      <c r="A3357" t="str">
        <f>"せんきょ岡山;岡山市明るい選挙推進協議会機関紙"</f>
        <v>せんきょ岡山;岡山市明るい選挙推進協議会機関紙</v>
      </c>
      <c r="B3357" s="1" t="str">
        <f t="shared" si="175"/>
        <v>せんきょ岡山;岡山市明るい選挙推進協議会機関紙</v>
      </c>
      <c r="C3357" t="str">
        <f>"センキョ オカヤマ*オカヤマシ アカルイ センキョ スイシン キョウギカイ キカンシ"</f>
        <v>センキョ オカヤマ*オカヤマシ アカルイ センキョ スイシン キョウギカイ キカンシ</v>
      </c>
      <c r="D3357" t="str">
        <f>"岡山市明るい選挙推進協議会"</f>
        <v>岡山市明るい選挙推進協議会</v>
      </c>
      <c r="E3357" t="str">
        <f>"オカヤマシ アカルイ センキョ スイシン キョウギカイ"</f>
        <v>オカヤマシ アカルイ センキョ スイシン キョウギカイ</v>
      </c>
      <c r="F3357" t="str">
        <f>"岡山"</f>
        <v>岡山</v>
      </c>
      <c r="G3357" t="str">
        <f>"頻度不明"</f>
        <v>頻度不明</v>
      </c>
      <c r="H3357" t="str">
        <f>"2002222307810"</f>
        <v>2002222307810</v>
      </c>
      <c r="I3357" t="str">
        <f>HYPERLINK("#", "https://opac.libnet.pref.okayama.jp/licsxp-opac/WOpacMsgNewListToTifTilDetailAction.do?tilcod=2002222307810")</f>
        <v>https://opac.libnet.pref.okayama.jp/licsxp-opac/WOpacMsgNewListToTifTilDetailAction.do?tilcod=2002222307810</v>
      </c>
    </row>
    <row r="3358" spans="1:9" x14ac:dyDescent="0.4">
      <c r="A3358" t="str">
        <f>"全国植樹祭だより"</f>
        <v>全国植樹祭だより</v>
      </c>
      <c r="B3358" s="1" t="str">
        <f t="shared" si="175"/>
        <v>全国植樹祭だより</v>
      </c>
      <c r="C3358" t="str">
        <f>"ゼンコク ショクジュサイ ダヨリ"</f>
        <v>ゼンコク ショクジュサイ ダヨリ</v>
      </c>
      <c r="D3358" t="str">
        <f>"岡山県環境文化部自然環境課全国植樹祭推進室"</f>
        <v>岡山県環境文化部自然環境課全国植樹祭推進室</v>
      </c>
      <c r="E3358" t="str">
        <f>"オカヤマケン カンキョウ ブンカブ シゼン カンキョウカ ゼンコク ショクジュサイ スイシンシツ"</f>
        <v>オカヤマケン カンキョウ ブンカブ シゼン カンキョウカ ゼンコク ショクジュサイ スイシンシツ</v>
      </c>
      <c r="F3358" t="str">
        <f>"岡山"</f>
        <v>岡山</v>
      </c>
      <c r="G3358" t="str">
        <f>"不定期刊"</f>
        <v>不定期刊</v>
      </c>
      <c r="H3358" t="str">
        <f>"2002222342531"</f>
        <v>2002222342531</v>
      </c>
      <c r="I3358" t="str">
        <f>HYPERLINK("#", "https://opac.libnet.pref.okayama.jp/licsxp-opac/WOpacMsgNewListToTifTilDetailAction.do?tilcod=2002222342531")</f>
        <v>https://opac.libnet.pref.okayama.jp/licsxp-opac/WOpacMsgNewListToTifTilDetailAction.do?tilcod=2002222342531</v>
      </c>
    </row>
    <row r="3359" spans="1:9" x14ac:dyDescent="0.4">
      <c r="A3359" t="str">
        <f>"川雑岡山"</f>
        <v>川雑岡山</v>
      </c>
      <c r="B3359" s="1" t="str">
        <f t="shared" si="175"/>
        <v>川雑岡山</v>
      </c>
      <c r="C3359" t="str">
        <f>"センザツ　オカヤマ"</f>
        <v>センザツ　オカヤマ</v>
      </c>
      <c r="D3359" t="str">
        <f>"川柳岡山社"</f>
        <v>川柳岡山社</v>
      </c>
      <c r="E3359" t="str">
        <f>"センリュウオカヤマシャ"</f>
        <v>センリュウオカヤマシャ</v>
      </c>
      <c r="F3359" t="str">
        <f>""</f>
        <v/>
      </c>
      <c r="G3359" t="str">
        <f>"頻度不明"</f>
        <v>頻度不明</v>
      </c>
      <c r="H3359" t="str">
        <f>"2002222280604"</f>
        <v>2002222280604</v>
      </c>
      <c r="I3359" t="str">
        <f>HYPERLINK("#", "https://opac.libnet.pref.okayama.jp/licsxp-opac/WOpacMsgNewListToTifTilDetailAction.do?tilcod=2002222280604")</f>
        <v>https://opac.libnet.pref.okayama.jp/licsxp-opac/WOpacMsgNewListToTifTilDetailAction.do?tilcod=2002222280604</v>
      </c>
    </row>
    <row r="3360" spans="1:9" x14ac:dyDescent="0.4">
      <c r="A3360" t="str">
        <f>"川雑倉敷"</f>
        <v>川雑倉敷</v>
      </c>
      <c r="B3360" s="1" t="str">
        <f t="shared" si="175"/>
        <v>川雑倉敷</v>
      </c>
      <c r="C3360" t="str">
        <f>"センザツ　クラシキ"</f>
        <v>センザツ　クラシキ</v>
      </c>
      <c r="D3360" t="str">
        <f>"川柳雑誌社倉敷支部"</f>
        <v>川柳雑誌社倉敷支部</v>
      </c>
      <c r="E3360" t="str">
        <f>"センリュウザッシシャクラシキシブ"</f>
        <v>センリュウザッシシャクラシキシブ</v>
      </c>
      <c r="F3360" t="str">
        <f>"倉敷"</f>
        <v>倉敷</v>
      </c>
      <c r="G3360" t="str">
        <f>"頻度不明"</f>
        <v>頻度不明</v>
      </c>
      <c r="H3360" t="str">
        <f>"2002222283503"</f>
        <v>2002222283503</v>
      </c>
      <c r="I3360" t="str">
        <f>HYPERLINK("#", "https://opac.libnet.pref.okayama.jp/licsxp-opac/WOpacMsgNewListToTifTilDetailAction.do?tilcod=2002222283503")</f>
        <v>https://opac.libnet.pref.okayama.jp/licsxp-opac/WOpacMsgNewListToTifTilDetailAction.do?tilcod=2002222283503</v>
      </c>
    </row>
    <row r="3361" spans="1:9" x14ac:dyDescent="0.4">
      <c r="A3361" t="str">
        <f>"[専修学校自由高等学院クラーク記念国際高等学校連携校岡山キャンパス] 学校案内"</f>
        <v>[専修学校自由高等学院クラーク記念国際高等学校連携校岡山キャンパス] 学校案内</v>
      </c>
      <c r="B3361" s="1" t="str">
        <f t="shared" si="175"/>
        <v>[専修学校自由高等学院クラーク記念国際高等学校連携校岡山キャンパス] 学校案内</v>
      </c>
      <c r="C3361" t="str">
        <f>"センシュウ ガッコウ ジユウ コウトウ ガクイン クラーク キネン コクサイ コウトウ ガッコウ レンケイコウ オカヤマ キャンパス ガッコウ アンナイ"</f>
        <v>センシュウ ガッコウ ジユウ コウトウ ガクイン クラーク キネン コクサイ コウトウ ガッコウ レンケイコウ オカヤマ キャンパス ガッコウ アンナイ</v>
      </c>
      <c r="D3361" t="str">
        <f>"専修学校自由高等学院クラーク記念国際高等学校連携校岡山キャンパス"</f>
        <v>専修学校自由高等学院クラーク記念国際高等学校連携校岡山キャンパス</v>
      </c>
      <c r="E3361" t="str">
        <f>"センシュウ ガッコウ ジユウ コウトウ ガクイン クラーク キネン コクサイ コウトウ ガッコウ レンケイコウ オカヤマ キャンパス"</f>
        <v>センシュウ ガッコウ ジユウ コウトウ ガクイン クラーク キネン コクサイ コウトウ ガッコウ レンケイコウ オカヤマ キャンパス</v>
      </c>
      <c r="F3361" t="str">
        <f>"岡山"</f>
        <v>岡山</v>
      </c>
      <c r="G3361" t="str">
        <f>"年刊"</f>
        <v>年刊</v>
      </c>
      <c r="H3361" t="str">
        <f>"2002222301212"</f>
        <v>2002222301212</v>
      </c>
      <c r="I3361" t="str">
        <f>HYPERLINK("#", "https://opac.libnet.pref.okayama.jp/licsxp-opac/WOpacMsgNewListToTifTilDetailAction.do?tilcod=2002222301212")</f>
        <v>https://opac.libnet.pref.okayama.jp/licsxp-opac/WOpacMsgNewListToTifTilDetailAction.do?tilcod=2002222301212</v>
      </c>
    </row>
    <row r="3362" spans="1:9" x14ac:dyDescent="0.4">
      <c r="A3362" t="str">
        <f>"専修学校自由高等学院クラーク記念国際高等学校連携校岡山キャンパス学校要覧"</f>
        <v>専修学校自由高等学院クラーク記念国際高等学校連携校岡山キャンパス学校要覧</v>
      </c>
      <c r="B3362" s="1" t="str">
        <f t="shared" si="175"/>
        <v>専修学校自由高等学院クラーク記念国際高等学校連携校岡山キャンパス学校要覧</v>
      </c>
      <c r="C3362" t="str">
        <f>"センシュウ ガッコウ ジユウ コウトウ ガクイン クラーク キネン コクサイ コウトウ ガッコウ レンケイコウ オカヤマ キャンパス ガッコウ ヨウラン"</f>
        <v>センシュウ ガッコウ ジユウ コウトウ ガクイン クラーク キネン コクサイ コウトウ ガッコウ レンケイコウ オカヤマ キャンパス ガッコウ ヨウラン</v>
      </c>
      <c r="D3362" t="str">
        <f>"専修学校自由高等学院クラーク記念国際高等学校連携校岡山キャンパス"</f>
        <v>専修学校自由高等学院クラーク記念国際高等学校連携校岡山キャンパス</v>
      </c>
      <c r="E3362" t="str">
        <f>"センシュウ ガッコウ ジユウ コウトウ ガクイン クラーク キネン コクサイ コウトウ ガッコウ レンケイコウ オカヤマ キャンパス"</f>
        <v>センシュウ ガッコウ ジユウ コウトウ ガクイン クラーク キネン コクサイ コウトウ ガッコウ レンケイコウ オカヤマ キャンパス</v>
      </c>
      <c r="F3362" t="str">
        <f>"岡山"</f>
        <v>岡山</v>
      </c>
      <c r="G3362" t="str">
        <f>"年刊"</f>
        <v>年刊</v>
      </c>
      <c r="H3362" t="str">
        <f>"2002222300591"</f>
        <v>2002222300591</v>
      </c>
      <c r="I3362" t="str">
        <f>HYPERLINK("#", "https://opac.libnet.pref.okayama.jp/licsxp-opac/WOpacMsgNewListToTifTilDetailAction.do?tilcod=2002222300591")</f>
        <v>https://opac.libnet.pref.okayama.jp/licsxp-opac/WOpacMsgNewListToTifTilDetailAction.do?tilcod=2002222300591</v>
      </c>
    </row>
    <row r="3363" spans="1:9" x14ac:dyDescent="0.4">
      <c r="A3363" t="str">
        <f>"洗心"</f>
        <v>洗心</v>
      </c>
      <c r="B3363" s="1" t="str">
        <f t="shared" si="175"/>
        <v>洗心</v>
      </c>
      <c r="C3363" t="str">
        <f>"センシン"</f>
        <v>センシン</v>
      </c>
      <c r="D3363" t="str">
        <f>"洗心懇話会"</f>
        <v>洗心懇話会</v>
      </c>
      <c r="E3363" t="str">
        <f>"センシン コンワカイ"</f>
        <v>センシン コンワカイ</v>
      </c>
      <c r="F3363" t="str">
        <f>""</f>
        <v/>
      </c>
      <c r="G3363" t="str">
        <f>"頻度不明"</f>
        <v>頻度不明</v>
      </c>
      <c r="H3363" t="str">
        <f>"2002222283513"</f>
        <v>2002222283513</v>
      </c>
      <c r="I3363" t="str">
        <f>HYPERLINK("#", "https://opac.libnet.pref.okayama.jp/licsxp-opac/WOpacMsgNewListToTifTilDetailAction.do?tilcod=2002222283513")</f>
        <v>https://opac.libnet.pref.okayama.jp/licsxp-opac/WOpacMsgNewListToTifTilDetailAction.do?tilcod=2002222283513</v>
      </c>
    </row>
    <row r="3364" spans="1:9" x14ac:dyDescent="0.4">
      <c r="A3364" t="str">
        <f>"全仁会ニュース；全仁会グループ 倉敷平成病院 広報誌"</f>
        <v>全仁会ニュース；全仁会グループ 倉敷平成病院 広報誌</v>
      </c>
      <c r="B3364" s="1" t="str">
        <f t="shared" si="175"/>
        <v>全仁会ニュース；全仁会グループ 倉敷平成病院 広報誌</v>
      </c>
      <c r="C3364" t="str">
        <f>"ゼンジンカイ ニュース＊ゼンジンカイ グループ クラシキ ヘイセイ ビョウイン コウホウシ"</f>
        <v>ゼンジンカイ ニュース＊ゼンジンカイ グループ クラシキ ヘイセイ ビョウイン コウホウシ</v>
      </c>
      <c r="D3364" t="str">
        <f>"全仁会倉敷平成病院"</f>
        <v>全仁会倉敷平成病院</v>
      </c>
      <c r="E3364" t="str">
        <f>"クラシキ ヘイセイ　ビョウイン"</f>
        <v>クラシキ ヘイセイ　ビョウイン</v>
      </c>
      <c r="F3364" t="str">
        <f>"倉敷"</f>
        <v>倉敷</v>
      </c>
      <c r="G3364" t="str">
        <f>"季刊"</f>
        <v>季刊</v>
      </c>
      <c r="H3364" t="str">
        <f>"2002222317806"</f>
        <v>2002222317806</v>
      </c>
      <c r="I3364" t="str">
        <f>HYPERLINK("#", "https://opac.libnet.pref.okayama.jp/licsxp-opac/WOpacMsgNewListToTifTilDetailAction.do?tilcod=2002222317806")</f>
        <v>https://opac.libnet.pref.okayama.jp/licsxp-opac/WOpacMsgNewListToTifTilDetailAction.do?tilcod=2002222317806</v>
      </c>
    </row>
    <row r="3365" spans="1:9" x14ac:dyDescent="0.4">
      <c r="A3365" t="str">
        <f>"善太三平；坪田譲治文学研究会報"</f>
        <v>善太三平；坪田譲治文学研究会報</v>
      </c>
      <c r="B3365" s="1" t="str">
        <f t="shared" si="175"/>
        <v>善太三平；坪田譲治文学研究会報</v>
      </c>
      <c r="C3365" t="str">
        <f>"ゼンタ　サンペイ＊ツボタ　ジョウジ　ブンガク　ケンキュウ　カイホウ"</f>
        <v>ゼンタ　サンペイ＊ツボタ　ジョウジ　ブンガク　ケンキュウ　カイホウ</v>
      </c>
      <c r="D3365" t="str">
        <f>"善太と三平の会事務局"</f>
        <v>善太と三平の会事務局</v>
      </c>
      <c r="E3365" t="str">
        <f>"ゼンタトサンペイノカイジムキョク"</f>
        <v>ゼンタトサンペイノカイジムキョク</v>
      </c>
      <c r="F3365" t="str">
        <f>"岡山"</f>
        <v>岡山</v>
      </c>
      <c r="G3365" t="str">
        <f>"年刊"</f>
        <v>年刊</v>
      </c>
      <c r="H3365" t="str">
        <f>"2002222301822"</f>
        <v>2002222301822</v>
      </c>
      <c r="I3365" t="str">
        <f>HYPERLINK("#", "https://opac.libnet.pref.okayama.jp/licsxp-opac/WOpacMsgNewListToTifTilDetailAction.do?tilcod=2002222301822")</f>
        <v>https://opac.libnet.pref.okayama.jp/licsxp-opac/WOpacMsgNewListToTifTilDetailAction.do?tilcod=2002222301822</v>
      </c>
    </row>
    <row r="3366" spans="1:9" x14ac:dyDescent="0.4">
      <c r="A3366" t="str">
        <f>"センターからのお便り"</f>
        <v>センターからのお便り</v>
      </c>
      <c r="B3366" s="1" t="str">
        <f t="shared" si="175"/>
        <v>センターからのお便り</v>
      </c>
      <c r="C3366" t="str">
        <f>"センター　カラ　ノ　オタヨリ"</f>
        <v>センター　カラ　ノ　オタヨリ</v>
      </c>
      <c r="D3366" t="str">
        <f>"岡山県消費生活センター"</f>
        <v>岡山県消費生活センター</v>
      </c>
      <c r="E3366" t="str">
        <f>"オカヤマケン ショウヒ セイカツ センター"</f>
        <v>オカヤマケン ショウヒ セイカツ センター</v>
      </c>
      <c r="F3366" t="str">
        <f>"岡山"</f>
        <v>岡山</v>
      </c>
      <c r="G3366" t="str">
        <f>"隔月刊"</f>
        <v>隔月刊</v>
      </c>
      <c r="H3366" t="str">
        <f>"2002222281944"</f>
        <v>2002222281944</v>
      </c>
      <c r="I3366" t="str">
        <f>HYPERLINK("#", "https://opac.libnet.pref.okayama.jp/licsxp-opac/WOpacMsgNewListToTifTilDetailAction.do?tilcod=2002222281944")</f>
        <v>https://opac.libnet.pref.okayama.jp/licsxp-opac/WOpacMsgNewListToTifTilDetailAction.do?tilcod=2002222281944</v>
      </c>
    </row>
    <row r="3367" spans="1:9" x14ac:dyDescent="0.4">
      <c r="A3367" t="str">
        <f>"栴檀"</f>
        <v>栴檀</v>
      </c>
      <c r="B3367" s="1" t="str">
        <f t="shared" si="175"/>
        <v>栴檀</v>
      </c>
      <c r="C3367" t="str">
        <f>"センダン"</f>
        <v>センダン</v>
      </c>
      <c r="D3367" t="str">
        <f>"川柳二葉会"</f>
        <v>川柳二葉会</v>
      </c>
      <c r="E3367" t="str">
        <f>"センリュウフタバカイ"</f>
        <v>センリュウフタバカイ</v>
      </c>
      <c r="F3367" t="str">
        <f>""</f>
        <v/>
      </c>
      <c r="G3367" t="str">
        <f>"月刊"</f>
        <v>月刊</v>
      </c>
      <c r="H3367" t="str">
        <f>"2002222283523"</f>
        <v>2002222283523</v>
      </c>
      <c r="I3367" t="str">
        <f>HYPERLINK("#", "https://opac.libnet.pref.okayama.jp/licsxp-opac/WOpacMsgNewListToTifTilDetailAction.do?tilcod=2002222283523")</f>
        <v>https://opac.libnet.pref.okayama.jp/licsxp-opac/WOpacMsgNewListToTifTilDetailAction.do?tilcod=2002222283523</v>
      </c>
    </row>
    <row r="3368" spans="1:9" x14ac:dyDescent="0.4">
      <c r="A3368" t="str">
        <f>"尖塔"</f>
        <v>尖塔</v>
      </c>
      <c r="B3368" s="1" t="str">
        <f t="shared" si="175"/>
        <v>尖塔</v>
      </c>
      <c r="C3368" t="str">
        <f>"セントウ"</f>
        <v>セントウ</v>
      </c>
      <c r="D3368" t="str">
        <f>"尖塔の会"</f>
        <v>尖塔の会</v>
      </c>
      <c r="E3368" t="str">
        <f>"セントウノカイ"</f>
        <v>セントウノカイ</v>
      </c>
      <c r="F3368" t="str">
        <f>""</f>
        <v/>
      </c>
      <c r="G3368" t="str">
        <f>"頻度不明"</f>
        <v>頻度不明</v>
      </c>
      <c r="H3368" t="str">
        <f>"2002222283533"</f>
        <v>2002222283533</v>
      </c>
      <c r="I3368" t="str">
        <f>HYPERLINK("#", "https://opac.libnet.pref.okayama.jp/licsxp-opac/WOpacMsgNewListToTifTilDetailAction.do?tilcod=2002222283533")</f>
        <v>https://opac.libnet.pref.okayama.jp/licsxp-opac/WOpacMsgNewListToTifTilDetailAction.do?tilcod=2002222283533</v>
      </c>
    </row>
    <row r="3369" spans="1:9" x14ac:dyDescent="0.4">
      <c r="A3369" t="str">
        <f>"川柳こうゆう"</f>
        <v>川柳こうゆう</v>
      </c>
      <c r="B3369" s="1" t="str">
        <f t="shared" si="175"/>
        <v>川柳こうゆう</v>
      </c>
      <c r="C3369" t="str">
        <f>"センリュウ  コウユウ  "</f>
        <v xml:space="preserve">センリュウ  コウユウ  </v>
      </c>
      <c r="D3369" t="str">
        <f>"こうゆう川柳会"</f>
        <v>こうゆう川柳会</v>
      </c>
      <c r="E3369" t="str">
        <f>"コウユウセンリュウカイ"</f>
        <v>コウユウセンリュウカイ</v>
      </c>
      <c r="F3369" t="str">
        <f>"岡山"</f>
        <v>岡山</v>
      </c>
      <c r="G3369" t="str">
        <f>"頻度不明"</f>
        <v>頻度不明</v>
      </c>
      <c r="H3369" t="str">
        <f>"2002222332427"</f>
        <v>2002222332427</v>
      </c>
      <c r="I3369" t="str">
        <f>HYPERLINK("#", "https://opac.libnet.pref.okayama.jp/licsxp-opac/WOpacMsgNewListToTifTilDetailAction.do?tilcod=2002222332427")</f>
        <v>https://opac.libnet.pref.okayama.jp/licsxp-opac/WOpacMsgNewListToTifTilDetailAction.do?tilcod=2002222332427</v>
      </c>
    </row>
    <row r="3370" spans="1:9" x14ac:dyDescent="0.4">
      <c r="A3370" t="str">
        <f>"川柳粟の実"</f>
        <v>川柳粟の実</v>
      </c>
      <c r="B3370" s="1" t="str">
        <f t="shared" si="175"/>
        <v>川柳粟の実</v>
      </c>
      <c r="C3370" t="str">
        <f>"センリュウ アワ ノ ミ"</f>
        <v>センリュウ アワ ノ ミ</v>
      </c>
      <c r="D3370" t="str">
        <f>"粟の実川柳社"</f>
        <v>粟の実川柳社</v>
      </c>
      <c r="E3370" t="str">
        <f>"アワ ノ ミ センリュウ シャ"</f>
        <v>アワ ノ ミ センリュウ シャ</v>
      </c>
      <c r="F3370" t="str">
        <f>"英田郡"</f>
        <v>英田郡</v>
      </c>
      <c r="G3370" t="str">
        <f>"月刊"</f>
        <v>月刊</v>
      </c>
      <c r="H3370" t="str">
        <f>"2002222307590"</f>
        <v>2002222307590</v>
      </c>
      <c r="I3370" t="str">
        <f>HYPERLINK("#", "https://opac.libnet.pref.okayama.jp/licsxp-opac/WOpacMsgNewListToTifTilDetailAction.do?tilcod=2002222307590")</f>
        <v>https://opac.libnet.pref.okayama.jp/licsxp-opac/WOpacMsgNewListToTifTilDetailAction.do?tilcod=2002222307590</v>
      </c>
    </row>
    <row r="3371" spans="1:9" x14ac:dyDescent="0.4">
      <c r="A3371" t="str">
        <f>"川柳いづみ"</f>
        <v>川柳いづみ</v>
      </c>
      <c r="B3371" s="1" t="str">
        <f t="shared" si="175"/>
        <v>川柳いづみ</v>
      </c>
      <c r="C3371" t="str">
        <f>"センリュウ　イズミ"</f>
        <v>センリュウ　イズミ</v>
      </c>
      <c r="D3371" t="str">
        <f>"いづみ社"</f>
        <v>いづみ社</v>
      </c>
      <c r="E3371" t="str">
        <f>"イツミシャ"</f>
        <v>イツミシャ</v>
      </c>
      <c r="F3371" t="str">
        <f>""</f>
        <v/>
      </c>
      <c r="G3371" t="str">
        <f t="shared" ref="G3371:G3376" si="176">"頻度不明"</f>
        <v>頻度不明</v>
      </c>
      <c r="H3371" t="str">
        <f>"2002222283543"</f>
        <v>2002222283543</v>
      </c>
      <c r="I3371" t="str">
        <f>HYPERLINK("#", "https://opac.libnet.pref.okayama.jp/licsxp-opac/WOpacMsgNewListToTifTilDetailAction.do?tilcod=2002222283543")</f>
        <v>https://opac.libnet.pref.okayama.jp/licsxp-opac/WOpacMsgNewListToTifTilDetailAction.do?tilcod=2002222283543</v>
      </c>
    </row>
    <row r="3372" spans="1:9" x14ac:dyDescent="0.4">
      <c r="A3372" t="str">
        <f>"川柳大原"</f>
        <v>川柳大原</v>
      </c>
      <c r="B3372" s="1" t="str">
        <f t="shared" si="175"/>
        <v>川柳大原</v>
      </c>
      <c r="C3372" t="str">
        <f>"センリュウ　オオハラ"</f>
        <v>センリュウ　オオハラ</v>
      </c>
      <c r="D3372" t="str">
        <f>"大原川柳社"</f>
        <v>大原川柳社</v>
      </c>
      <c r="E3372" t="str">
        <f>"オオハラセンリュウシャ"</f>
        <v>オオハラセンリュウシャ</v>
      </c>
      <c r="F3372" t="str">
        <f>""</f>
        <v/>
      </c>
      <c r="G3372" t="str">
        <f t="shared" si="176"/>
        <v>頻度不明</v>
      </c>
      <c r="H3372" t="str">
        <f>"2002222283563"</f>
        <v>2002222283563</v>
      </c>
      <c r="I3372" t="str">
        <f>HYPERLINK("#", "https://opac.libnet.pref.okayama.jp/licsxp-opac/WOpacMsgNewListToTifTilDetailAction.do?tilcod=2002222283563")</f>
        <v>https://opac.libnet.pref.okayama.jp/licsxp-opac/WOpacMsgNewListToTifTilDetailAction.do?tilcod=2002222283563</v>
      </c>
    </row>
    <row r="3373" spans="1:9" x14ac:dyDescent="0.4">
      <c r="A3373" t="str">
        <f>"川柳岡山"</f>
        <v>川柳岡山</v>
      </c>
      <c r="B3373" s="1" t="str">
        <f t="shared" si="175"/>
        <v>川柳岡山</v>
      </c>
      <c r="C3373" t="str">
        <f>"センリュウ　オカヤマ"</f>
        <v>センリュウ　オカヤマ</v>
      </c>
      <c r="D3373" t="str">
        <f>"川柳岡山社"</f>
        <v>川柳岡山社</v>
      </c>
      <c r="E3373" t="str">
        <f>"センリュウオカヤマシャ"</f>
        <v>センリュウオカヤマシャ</v>
      </c>
      <c r="F3373" t="str">
        <f>"邑久町（邑久郡）"</f>
        <v>邑久町（邑久郡）</v>
      </c>
      <c r="G3373" t="str">
        <f t="shared" si="176"/>
        <v>頻度不明</v>
      </c>
      <c r="H3373" t="str">
        <f>"2002222283573"</f>
        <v>2002222283573</v>
      </c>
      <c r="I3373" t="str">
        <f>HYPERLINK("#", "https://opac.libnet.pref.okayama.jp/licsxp-opac/WOpacMsgNewListToTifTilDetailAction.do?tilcod=2002222283573")</f>
        <v>https://opac.libnet.pref.okayama.jp/licsxp-opac/WOpacMsgNewListToTifTilDetailAction.do?tilcod=2002222283573</v>
      </c>
    </row>
    <row r="3374" spans="1:9" x14ac:dyDescent="0.4">
      <c r="A3374" t="str">
        <f>"川柳かゞみ"</f>
        <v>川柳かゞみ</v>
      </c>
      <c r="B3374" s="1" t="str">
        <f t="shared" si="175"/>
        <v>川柳かゞみ</v>
      </c>
      <c r="C3374" t="str">
        <f>"センリュウ　カガミ"</f>
        <v>センリュウ　カガミ</v>
      </c>
      <c r="D3374" t="str">
        <f>"かゞみ川柳社"</f>
        <v>かゞみ川柳社</v>
      </c>
      <c r="E3374" t="str">
        <f>"カガミセンリュウシャ"</f>
        <v>カガミセンリュウシャ</v>
      </c>
      <c r="F3374" t="str">
        <f>""</f>
        <v/>
      </c>
      <c r="G3374" t="str">
        <f t="shared" si="176"/>
        <v>頻度不明</v>
      </c>
      <c r="H3374" t="str">
        <f>"2002222283583"</f>
        <v>2002222283583</v>
      </c>
      <c r="I3374" t="str">
        <f>HYPERLINK("#", "https://opac.libnet.pref.okayama.jp/licsxp-opac/WOpacMsgNewListToTifTilDetailAction.do?tilcod=2002222283583")</f>
        <v>https://opac.libnet.pref.okayama.jp/licsxp-opac/WOpacMsgNewListToTifTilDetailAction.do?tilcod=2002222283583</v>
      </c>
    </row>
    <row r="3375" spans="1:9" x14ac:dyDescent="0.4">
      <c r="A3375" t="str">
        <f>"川柳かさおか"</f>
        <v>川柳かさおか</v>
      </c>
      <c r="B3375" s="1" t="str">
        <f t="shared" si="175"/>
        <v>川柳かさおか</v>
      </c>
      <c r="C3375" t="str">
        <f>"センリュウ　カサオカ"</f>
        <v>センリュウ　カサオカ</v>
      </c>
      <c r="D3375" t="str">
        <f>"港まつり協賛川柳大会事務局"</f>
        <v>港まつり協賛川柳大会事務局</v>
      </c>
      <c r="E3375" t="str">
        <f>"ミナトマツリキョウサンセンリュウタイカイジムキョク"</f>
        <v>ミナトマツリキョウサンセンリュウタイカイジムキョク</v>
      </c>
      <c r="F3375" t="str">
        <f>""</f>
        <v/>
      </c>
      <c r="G3375" t="str">
        <f t="shared" si="176"/>
        <v>頻度不明</v>
      </c>
      <c r="H3375" t="str">
        <f>"2002222283593"</f>
        <v>2002222283593</v>
      </c>
      <c r="I3375" t="str">
        <f>HYPERLINK("#", "https://opac.libnet.pref.okayama.jp/licsxp-opac/WOpacMsgNewListToTifTilDetailAction.do?tilcod=2002222283593")</f>
        <v>https://opac.libnet.pref.okayama.jp/licsxp-opac/WOpacMsgNewListToTifTilDetailAction.do?tilcod=2002222283593</v>
      </c>
    </row>
    <row r="3376" spans="1:9" x14ac:dyDescent="0.4">
      <c r="A3376" t="str">
        <f>"川柳かつやま"</f>
        <v>川柳かつやま</v>
      </c>
      <c r="B3376" s="1" t="str">
        <f t="shared" si="175"/>
        <v>川柳かつやま</v>
      </c>
      <c r="C3376" t="str">
        <f>"センリュウ カツヤマ"</f>
        <v>センリュウ カツヤマ</v>
      </c>
      <c r="D3376" t="str">
        <f>"勝山川柳会"</f>
        <v>勝山川柳会</v>
      </c>
      <c r="E3376" t="str">
        <f>"カツヤマ センリュウカイ"</f>
        <v>カツヤマ センリュウカイ</v>
      </c>
      <c r="F3376" t="str">
        <f>"勝山町(真庭郡)"</f>
        <v>勝山町(真庭郡)</v>
      </c>
      <c r="G3376" t="str">
        <f t="shared" si="176"/>
        <v>頻度不明</v>
      </c>
      <c r="H3376" t="str">
        <f>"2002222319613"</f>
        <v>2002222319613</v>
      </c>
      <c r="I3376" t="str">
        <f>HYPERLINK("#", "https://opac.libnet.pref.okayama.jp/licsxp-opac/WOpacMsgNewListToTifTilDetailAction.do?tilcod=2002222319613")</f>
        <v>https://opac.libnet.pref.okayama.jp/licsxp-opac/WOpacMsgNewListToTifTilDetailAction.do?tilcod=2002222319613</v>
      </c>
    </row>
    <row r="3377" spans="1:9" x14ac:dyDescent="0.4">
      <c r="A3377" t="str">
        <f>"川柳かわかみ"</f>
        <v>川柳かわかみ</v>
      </c>
      <c r="B3377" s="1" t="str">
        <f t="shared" si="175"/>
        <v>川柳かわかみ</v>
      </c>
      <c r="C3377" t="str">
        <f>"センリュウ　カワカミ"</f>
        <v>センリュウ　カワカミ</v>
      </c>
      <c r="D3377" t="str">
        <f>"川上川柳会"</f>
        <v>川上川柳会</v>
      </c>
      <c r="E3377" t="str">
        <f>"カワカミセンリュウカイ"</f>
        <v>カワカミセンリュウカイ</v>
      </c>
      <c r="F3377" t="str">
        <f>"成羽町（川上郡）"</f>
        <v>成羽町（川上郡）</v>
      </c>
      <c r="G3377" t="str">
        <f>"月刊"</f>
        <v>月刊</v>
      </c>
      <c r="H3377" t="str">
        <f>"2002222292851"</f>
        <v>2002222292851</v>
      </c>
      <c r="I3377" t="str">
        <f>HYPERLINK("#", "https://opac.libnet.pref.okayama.jp/licsxp-opac/WOpacMsgNewListToTifTilDetailAction.do?tilcod=2002222292851")</f>
        <v>https://opac.libnet.pref.okayama.jp/licsxp-opac/WOpacMsgNewListToTifTilDetailAction.do?tilcod=2002222292851</v>
      </c>
    </row>
    <row r="3378" spans="1:9" x14ac:dyDescent="0.4">
      <c r="A3378" t="str">
        <f>"川柳くらげ"</f>
        <v>川柳くらげ</v>
      </c>
      <c r="B3378" s="1" t="str">
        <f t="shared" si="175"/>
        <v>川柳くらげ</v>
      </c>
      <c r="C3378" t="str">
        <f>"センリュウ クラゲ"</f>
        <v>センリュウ クラゲ</v>
      </c>
      <c r="D3378" t="str">
        <f>"くらげ川柳社"</f>
        <v>くらげ川柳社</v>
      </c>
      <c r="E3378" t="str">
        <f>"クラゲ センリュウシャ"</f>
        <v>クラゲ センリュウシャ</v>
      </c>
      <c r="F3378" t="str">
        <f>"玉島"</f>
        <v>玉島</v>
      </c>
      <c r="G3378" t="str">
        <f>"頻度不明"</f>
        <v>頻度不明</v>
      </c>
      <c r="H3378" t="str">
        <f>"2002222329870"</f>
        <v>2002222329870</v>
      </c>
      <c r="I3378" t="str">
        <f>HYPERLINK("#", "https://opac.libnet.pref.okayama.jp/licsxp-opac/WOpacMsgNewListToTifTilDetailAction.do?tilcod=2002222329870")</f>
        <v>https://opac.libnet.pref.okayama.jp/licsxp-opac/WOpacMsgNewListToTifTilDetailAction.do?tilcod=2002222329870</v>
      </c>
    </row>
    <row r="3379" spans="1:9" x14ac:dyDescent="0.4">
      <c r="A3379" t="str">
        <f>"川柳神の辺会会報"</f>
        <v>川柳神の辺会会報</v>
      </c>
      <c r="B3379" s="1" t="str">
        <f t="shared" si="175"/>
        <v>川柳神の辺会会報</v>
      </c>
      <c r="C3379" t="str">
        <f>"センリュウ コウノベカイ カイホウ"</f>
        <v>センリュウ コウノベカイ カイホウ</v>
      </c>
      <c r="D3379" t="str">
        <f>"川柳神の辺会"</f>
        <v>川柳神の辺会</v>
      </c>
      <c r="E3379" t="str">
        <f>"センリュウ コウノベカイ"</f>
        <v>センリュウ コウノベカイ</v>
      </c>
      <c r="F3379" t="str">
        <f>"久米南町（久米郡）"</f>
        <v>久米南町（久米郡）</v>
      </c>
      <c r="G3379" t="str">
        <f>"頻度不明"</f>
        <v>頻度不明</v>
      </c>
      <c r="H3379" t="str">
        <f>"2002222321226"</f>
        <v>2002222321226</v>
      </c>
      <c r="I3379" t="str">
        <f>HYPERLINK("#", "https://opac.libnet.pref.okayama.jp/licsxp-opac/WOpacMsgNewListToTifTilDetailAction.do?tilcod=2002222321226")</f>
        <v>https://opac.libnet.pref.okayama.jp/licsxp-opac/WOpacMsgNewListToTifTilDetailAction.do?tilcod=2002222321226</v>
      </c>
    </row>
    <row r="3380" spans="1:9" x14ac:dyDescent="0.4">
      <c r="A3380" t="str">
        <f>"川柳こじま"</f>
        <v>川柳こじま</v>
      </c>
      <c r="B3380" s="1" t="str">
        <f t="shared" si="175"/>
        <v>川柳こじま</v>
      </c>
      <c r="C3380" t="str">
        <f>"センリュウ　コジマ"</f>
        <v>センリュウ　コジマ</v>
      </c>
      <c r="D3380" t="str">
        <f>"〔出版者不明〕"</f>
        <v>〔出版者不明〕</v>
      </c>
      <c r="E3380" t="str">
        <f>"シュッパンシャフメイ"</f>
        <v>シュッパンシャフメイ</v>
      </c>
      <c r="F3380" t="str">
        <f>""</f>
        <v/>
      </c>
      <c r="G3380" t="str">
        <f>"頻度不明"</f>
        <v>頻度不明</v>
      </c>
      <c r="H3380" t="str">
        <f>"2002222284743"</f>
        <v>2002222284743</v>
      </c>
      <c r="I3380" t="str">
        <f>HYPERLINK("#", "https://opac.libnet.pref.okayama.jp/licsxp-opac/WOpacMsgNewListToTifTilDetailAction.do?tilcod=2002222284743")</f>
        <v>https://opac.libnet.pref.okayama.jp/licsxp-opac/WOpacMsgNewListToTifTilDetailAction.do?tilcod=2002222284743</v>
      </c>
    </row>
    <row r="3381" spans="1:9" x14ac:dyDescent="0.4">
      <c r="A3381" t="str">
        <f>"川柳さら山"</f>
        <v>川柳さら山</v>
      </c>
      <c r="B3381" s="1" t="str">
        <f t="shared" si="175"/>
        <v>川柳さら山</v>
      </c>
      <c r="C3381" t="str">
        <f>"センリュウ　サラヤマ"</f>
        <v>センリュウ　サラヤマ</v>
      </c>
      <c r="D3381" t="str">
        <f>"川柳さら山会事務所"</f>
        <v>川柳さら山会事務所</v>
      </c>
      <c r="E3381" t="str">
        <f>"センリュウサラヤマカイジムショ"</f>
        <v>センリュウサラヤマカイジムショ</v>
      </c>
      <c r="F3381" t="str">
        <f>""</f>
        <v/>
      </c>
      <c r="G3381" t="str">
        <f>"月刊"</f>
        <v>月刊</v>
      </c>
      <c r="H3381" t="str">
        <f>"2002222283603"</f>
        <v>2002222283603</v>
      </c>
      <c r="I3381" t="str">
        <f>HYPERLINK("#", "https://opac.libnet.pref.okayama.jp/licsxp-opac/WOpacMsgNewListToTifTilDetailAction.do?tilcod=2002222283603")</f>
        <v>https://opac.libnet.pref.okayama.jp/licsxp-opac/WOpacMsgNewListToTifTilDetailAction.do?tilcod=2002222283603</v>
      </c>
    </row>
    <row r="3382" spans="1:9" x14ac:dyDescent="0.4">
      <c r="A3382" t="str">
        <f>"川柳石楠花"</f>
        <v>川柳石楠花</v>
      </c>
      <c r="B3382" s="1" t="str">
        <f t="shared" si="175"/>
        <v>川柳石楠花</v>
      </c>
      <c r="C3382" t="str">
        <f>"センリュウ　シャクナゲ"</f>
        <v>センリュウ　シャクナゲ</v>
      </c>
      <c r="D3382" t="str">
        <f>"川柳石楠花会"</f>
        <v>川柳石楠花会</v>
      </c>
      <c r="E3382" t="str">
        <f>"センリュウシャクナゲカイ"</f>
        <v>センリュウシャクナゲカイ</v>
      </c>
      <c r="F3382" t="str">
        <f>""</f>
        <v/>
      </c>
      <c r="G3382" t="str">
        <f>"頻度不明"</f>
        <v>頻度不明</v>
      </c>
      <c r="H3382" t="str">
        <f>"2002222283613"</f>
        <v>2002222283613</v>
      </c>
      <c r="I3382" t="str">
        <f>HYPERLINK("#", "https://opac.libnet.pref.okayama.jp/licsxp-opac/WOpacMsgNewListToTifTilDetailAction.do?tilcod=2002222283613")</f>
        <v>https://opac.libnet.pref.okayama.jp/licsxp-opac/WOpacMsgNewListToTifTilDetailAction.do?tilcod=2002222283613</v>
      </c>
    </row>
    <row r="3383" spans="1:9" x14ac:dyDescent="0.4">
      <c r="A3383" t="str">
        <f>"川柳塾"</f>
        <v>川柳塾</v>
      </c>
      <c r="B3383" s="1" t="str">
        <f t="shared" si="175"/>
        <v>川柳塾</v>
      </c>
      <c r="C3383" t="str">
        <f>"センリュウ　ジュク"</f>
        <v>センリュウ　ジュク</v>
      </c>
      <c r="D3383" t="str">
        <f>"川柳「塾」事務局"</f>
        <v>川柳「塾」事務局</v>
      </c>
      <c r="E3383" t="str">
        <f>"センリュウジュクジムキョク"</f>
        <v>センリュウジュクジムキョク</v>
      </c>
      <c r="F3383" t="str">
        <f>"岡山"</f>
        <v>岡山</v>
      </c>
      <c r="G3383" t="str">
        <f>"隔月刊"</f>
        <v>隔月刊</v>
      </c>
      <c r="H3383" t="str">
        <f>"2002222292861"</f>
        <v>2002222292861</v>
      </c>
      <c r="I3383" t="str">
        <f>HYPERLINK("#", "https://opac.libnet.pref.okayama.jp/licsxp-opac/WOpacMsgNewListToTifTilDetailAction.do?tilcod=2002222292861")</f>
        <v>https://opac.libnet.pref.okayama.jp/licsxp-opac/WOpacMsgNewListToTifTilDetailAction.do?tilcod=2002222292861</v>
      </c>
    </row>
    <row r="3384" spans="1:9" x14ac:dyDescent="0.4">
      <c r="A3384" t="str">
        <f>"川柳春風"</f>
        <v>川柳春風</v>
      </c>
      <c r="B3384" s="1" t="str">
        <f t="shared" si="175"/>
        <v>川柳春風</v>
      </c>
      <c r="C3384" t="str">
        <f>"センリュウ　シュンプウ"</f>
        <v>センリュウ　シュンプウ</v>
      </c>
      <c r="D3384" t="str">
        <f>"春風川柳会"</f>
        <v>春風川柳会</v>
      </c>
      <c r="E3384" t="str">
        <f>"シュンプウセンリュウカイ"</f>
        <v>シュンプウセンリュウカイ</v>
      </c>
      <c r="F3384" t="str">
        <f>""</f>
        <v/>
      </c>
      <c r="G3384" t="str">
        <f>"月刊"</f>
        <v>月刊</v>
      </c>
      <c r="H3384" t="str">
        <f>"2002222283663"</f>
        <v>2002222283663</v>
      </c>
      <c r="I3384" t="str">
        <f>HYPERLINK("#", "https://opac.libnet.pref.okayama.jp/licsxp-opac/WOpacMsgNewListToTifTilDetailAction.do?tilcod=2002222283663")</f>
        <v>https://opac.libnet.pref.okayama.jp/licsxp-opac/WOpacMsgNewListToTifTilDetailAction.do?tilcod=2002222283663</v>
      </c>
    </row>
    <row r="3385" spans="1:9" x14ac:dyDescent="0.4">
      <c r="A3385" t="str">
        <f>"川柳たけるべ"</f>
        <v>川柳たけるべ</v>
      </c>
      <c r="B3385" s="1" t="str">
        <f t="shared" si="175"/>
        <v>川柳たけるべ</v>
      </c>
      <c r="C3385" t="str">
        <f>"センリュウ　タケルベ"</f>
        <v>センリュウ　タケルベ</v>
      </c>
      <c r="D3385" t="str">
        <f>"建部川柳社"</f>
        <v>建部川柳社</v>
      </c>
      <c r="E3385" t="str">
        <f>"タケベセンリュウシャ"</f>
        <v>タケベセンリュウシャ</v>
      </c>
      <c r="F3385" t="str">
        <f>"岡山"</f>
        <v>岡山</v>
      </c>
      <c r="G3385" t="str">
        <f>"季刊"</f>
        <v>季刊</v>
      </c>
      <c r="H3385" t="str">
        <f>"2002222292871"</f>
        <v>2002222292871</v>
      </c>
      <c r="I3385" t="str">
        <f>HYPERLINK("#", "https://opac.libnet.pref.okayama.jp/licsxp-opac/WOpacMsgNewListToTifTilDetailAction.do?tilcod=2002222292871")</f>
        <v>https://opac.libnet.pref.okayama.jp/licsxp-opac/WOpacMsgNewListToTifTilDetailAction.do?tilcod=2002222292871</v>
      </c>
    </row>
    <row r="3386" spans="1:9" x14ac:dyDescent="0.4">
      <c r="A3386" t="str">
        <f>"川柳玉島"</f>
        <v>川柳玉島</v>
      </c>
      <c r="B3386" s="1" t="str">
        <f t="shared" si="175"/>
        <v>川柳玉島</v>
      </c>
      <c r="C3386" t="str">
        <f>"センリュウ　タマシマ"</f>
        <v>センリュウ　タマシマ</v>
      </c>
      <c r="D3386" t="str">
        <f>"川柳たましま社"</f>
        <v>川柳たましま社</v>
      </c>
      <c r="E3386" t="str">
        <f>"センリュウ タマシマシャ"</f>
        <v>センリュウ タマシマシャ</v>
      </c>
      <c r="F3386" t="str">
        <f>"倉敷"</f>
        <v>倉敷</v>
      </c>
      <c r="G3386" t="str">
        <f>"月刊"</f>
        <v>月刊</v>
      </c>
      <c r="H3386" t="str">
        <f>"2002222292881"</f>
        <v>2002222292881</v>
      </c>
      <c r="I3386" t="str">
        <f>HYPERLINK("#", "https://opac.libnet.pref.okayama.jp/licsxp-opac/WOpacMsgNewListToTifTilDetailAction.do?tilcod=2002222292881")</f>
        <v>https://opac.libnet.pref.okayama.jp/licsxp-opac/WOpacMsgNewListToTifTilDetailAction.do?tilcod=2002222292881</v>
      </c>
    </row>
    <row r="3387" spans="1:9" x14ac:dyDescent="0.4">
      <c r="A3387" t="str">
        <f>"川柳たまの"</f>
        <v>川柳たまの</v>
      </c>
      <c r="B3387" s="1" t="str">
        <f t="shared" si="175"/>
        <v>川柳たまの</v>
      </c>
      <c r="C3387" t="str">
        <f>"センリュウ　タマノ"</f>
        <v>センリュウ　タマノ</v>
      </c>
      <c r="D3387" t="str">
        <f>"川柳玉野社"</f>
        <v>川柳玉野社</v>
      </c>
      <c r="E3387" t="str">
        <f>"センリュウタマノシャ"</f>
        <v>センリュウタマノシャ</v>
      </c>
      <c r="F3387" t="str">
        <f>""</f>
        <v/>
      </c>
      <c r="G3387" t="str">
        <f>"頻度不明"</f>
        <v>頻度不明</v>
      </c>
      <c r="H3387" t="str">
        <f>"2002222283623"</f>
        <v>2002222283623</v>
      </c>
      <c r="I3387" t="str">
        <f>HYPERLINK("#", "https://opac.libnet.pref.okayama.jp/licsxp-opac/WOpacMsgNewListToTifTilDetailAction.do?tilcod=2002222283623")</f>
        <v>https://opac.libnet.pref.okayama.jp/licsxp-opac/WOpacMsgNewListToTifTilDetailAction.do?tilcod=2002222283623</v>
      </c>
    </row>
    <row r="3388" spans="1:9" x14ac:dyDescent="0.4">
      <c r="A3388" t="str">
        <f>"川柳つやま"</f>
        <v>川柳つやま</v>
      </c>
      <c r="B3388" s="1" t="str">
        <f t="shared" si="175"/>
        <v>川柳つやま</v>
      </c>
      <c r="C3388" t="str">
        <f>"センリュウ ツヤマ"</f>
        <v>センリュウ ツヤマ</v>
      </c>
      <c r="D3388" t="str">
        <f>"津山番傘川柳会"</f>
        <v>津山番傘川柳会</v>
      </c>
      <c r="E3388" t="str">
        <f>"ツヤマ バンカサ センリュウ カイ"</f>
        <v>ツヤマ バンカサ センリュウ カイ</v>
      </c>
      <c r="F3388" t="str">
        <f>"津山"</f>
        <v>津山</v>
      </c>
      <c r="G3388" t="str">
        <f>"月刊"</f>
        <v>月刊</v>
      </c>
      <c r="H3388" t="str">
        <f>"2002222307588"</f>
        <v>2002222307588</v>
      </c>
      <c r="I3388" t="str">
        <f>HYPERLINK("#", "https://opac.libnet.pref.okayama.jp/licsxp-opac/WOpacMsgNewListToTifTilDetailAction.do?tilcod=2002222307588")</f>
        <v>https://opac.libnet.pref.okayama.jp/licsxp-opac/WOpacMsgNewListToTifTilDetailAction.do?tilcod=2002222307588</v>
      </c>
    </row>
    <row r="3389" spans="1:9" x14ac:dyDescent="0.4">
      <c r="A3389" t="str">
        <f>"川柳津山番傘"</f>
        <v>川柳津山番傘</v>
      </c>
      <c r="B3389" s="1" t="str">
        <f t="shared" si="175"/>
        <v>川柳津山番傘</v>
      </c>
      <c r="C3389" t="str">
        <f>"センリュウ　ツヤマ　バンカサ"</f>
        <v>センリュウ　ツヤマ　バンカサ</v>
      </c>
      <c r="D3389" t="str">
        <f>"津山番傘川柳会"</f>
        <v>津山番傘川柳会</v>
      </c>
      <c r="E3389" t="str">
        <f>"ツヤマバンカサセンリュウカイ"</f>
        <v>ツヤマバンカサセンリュウカイ</v>
      </c>
      <c r="F3389" t="str">
        <f>"津山"</f>
        <v>津山</v>
      </c>
      <c r="G3389" t="str">
        <f>"月刊"</f>
        <v>月刊</v>
      </c>
      <c r="H3389" t="str">
        <f>"2002222302179"</f>
        <v>2002222302179</v>
      </c>
      <c r="I3389" t="str">
        <f>HYPERLINK("#", "https://opac.libnet.pref.okayama.jp/licsxp-opac/WOpacMsgNewListToTifTilDetailAction.do?tilcod=2002222302179")</f>
        <v>https://opac.libnet.pref.okayama.jp/licsxp-opac/WOpacMsgNewListToTifTilDetailAction.do?tilcod=2002222302179</v>
      </c>
    </row>
    <row r="3390" spans="1:9" x14ac:dyDescent="0.4">
      <c r="A3390" t="str">
        <f>"川柳統計"</f>
        <v>川柳統計</v>
      </c>
      <c r="B3390" s="1" t="str">
        <f t="shared" si="175"/>
        <v>川柳統計</v>
      </c>
      <c r="C3390" t="str">
        <f>"センリュウ　トウケイ"</f>
        <v>センリュウ　トウケイ</v>
      </c>
      <c r="D3390" t="str">
        <f>"農林省岡山統計調査事務所川柳同好会"</f>
        <v>農林省岡山統計調査事務所川柳同好会</v>
      </c>
      <c r="E3390" t="str">
        <f>"ノウリンショウオカヤマトウケイチョウサジムショセンリュウドウコウカイ"</f>
        <v>ノウリンショウオカヤマトウケイチョウサジムショセンリュウドウコウカイ</v>
      </c>
      <c r="F3390" t="str">
        <f>""</f>
        <v/>
      </c>
      <c r="G3390" t="str">
        <f>"頻度不明"</f>
        <v>頻度不明</v>
      </c>
      <c r="H3390" t="str">
        <f>"2002222283633"</f>
        <v>2002222283633</v>
      </c>
      <c r="I3390" t="str">
        <f>HYPERLINK("#", "https://opac.libnet.pref.okayama.jp/licsxp-opac/WOpacMsgNewListToTifTilDetailAction.do?tilcod=2002222283633")</f>
        <v>https://opac.libnet.pref.okayama.jp/licsxp-opac/WOpacMsgNewListToTifTilDetailAction.do?tilcod=2002222283633</v>
      </c>
    </row>
    <row r="3391" spans="1:9" x14ac:dyDescent="0.4">
      <c r="A3391" t="str">
        <f>"川柳道場"</f>
        <v>川柳道場</v>
      </c>
      <c r="B3391" s="1" t="str">
        <f t="shared" si="175"/>
        <v>川柳道場</v>
      </c>
      <c r="C3391" t="str">
        <f>"センリュウ　ドウジョウ"</f>
        <v>センリュウ　ドウジョウ</v>
      </c>
      <c r="D3391" t="str">
        <f>"川柳道場社"</f>
        <v>川柳道場社</v>
      </c>
      <c r="E3391" t="str">
        <f>"センリュウドウジョウシャ"</f>
        <v>センリュウドウジョウシャ</v>
      </c>
      <c r="F3391" t="str">
        <f>""</f>
        <v/>
      </c>
      <c r="G3391" t="str">
        <f>"頻度不明"</f>
        <v>頻度不明</v>
      </c>
      <c r="H3391" t="str">
        <f>"2002222283643"</f>
        <v>2002222283643</v>
      </c>
      <c r="I3391" t="str">
        <f>HYPERLINK("#", "https://opac.libnet.pref.okayama.jp/licsxp-opac/WOpacMsgNewListToTifTilDetailAction.do?tilcod=2002222283643")</f>
        <v>https://opac.libnet.pref.okayama.jp/licsxp-opac/WOpacMsgNewListToTifTilDetailAction.do?tilcod=2002222283643</v>
      </c>
    </row>
    <row r="3392" spans="1:9" x14ac:dyDescent="0.4">
      <c r="A3392" t="str">
        <f>"川柳新見"</f>
        <v>川柳新見</v>
      </c>
      <c r="B3392" s="1" t="str">
        <f t="shared" si="175"/>
        <v>川柳新見</v>
      </c>
      <c r="C3392" t="str">
        <f>"センリュウ　ニイミ"</f>
        <v>センリュウ　ニイミ</v>
      </c>
      <c r="D3392" t="str">
        <f>"新見川柳社"</f>
        <v>新見川柳社</v>
      </c>
      <c r="E3392" t="str">
        <f>"ニイミセンリュウシャ"</f>
        <v>ニイミセンリュウシャ</v>
      </c>
      <c r="F3392" t="str">
        <f>""</f>
        <v/>
      </c>
      <c r="G3392" t="str">
        <f>"頻度不明"</f>
        <v>頻度不明</v>
      </c>
      <c r="H3392" t="str">
        <f>"2002222283653"</f>
        <v>2002222283653</v>
      </c>
      <c r="I3392" t="str">
        <f>HYPERLINK("#", "https://opac.libnet.pref.okayama.jp/licsxp-opac/WOpacMsgNewListToTifTilDetailAction.do?tilcod=2002222283653")</f>
        <v>https://opac.libnet.pref.okayama.jp/licsxp-opac/WOpacMsgNewListToTifTilDetailAction.do?tilcod=2002222283653</v>
      </c>
    </row>
    <row r="3393" spans="1:9" x14ac:dyDescent="0.4">
      <c r="A3393" t="str">
        <f>"川柳備前"</f>
        <v>川柳備前</v>
      </c>
      <c r="B3393" s="1" t="str">
        <f t="shared" si="175"/>
        <v>川柳備前</v>
      </c>
      <c r="C3393" t="str">
        <f>"センリュウ ビゼン"</f>
        <v>センリュウ ビゼン</v>
      </c>
      <c r="D3393" t="str">
        <f>"備前川柳社"</f>
        <v>備前川柳社</v>
      </c>
      <c r="E3393" t="str">
        <f>"ニイミセンリュウシャ"</f>
        <v>ニイミセンリュウシャ</v>
      </c>
      <c r="F3393" t="str">
        <f>""</f>
        <v/>
      </c>
      <c r="G3393" t="str">
        <f>"頻度不明"</f>
        <v>頻度不明</v>
      </c>
      <c r="H3393" t="str">
        <f>"2002222339630"</f>
        <v>2002222339630</v>
      </c>
      <c r="I3393" t="str">
        <f>HYPERLINK("#", "https://opac.libnet.pref.okayama.jp/licsxp-opac/WOpacMsgNewListToTifTilDetailAction.do?tilcod=2002222339630")</f>
        <v>https://opac.libnet.pref.okayama.jp/licsxp-opac/WOpacMsgNewListToTifTilDetailAction.do?tilcod=2002222339630</v>
      </c>
    </row>
    <row r="3394" spans="1:9" x14ac:dyDescent="0.4">
      <c r="A3394" t="str">
        <f>"川柳藤田"</f>
        <v>川柳藤田</v>
      </c>
      <c r="B3394" s="1" t="str">
        <f t="shared" si="175"/>
        <v>川柳藤田</v>
      </c>
      <c r="C3394" t="str">
        <f>"センリュウ　フジタ"</f>
        <v>センリュウ　フジタ</v>
      </c>
      <c r="D3394" t="str">
        <f>"〔出版者不明〕"</f>
        <v>〔出版者不明〕</v>
      </c>
      <c r="E3394" t="str">
        <f>"シュッパンシャフメイ"</f>
        <v>シュッパンシャフメイ</v>
      </c>
      <c r="F3394" t="str">
        <f>""</f>
        <v/>
      </c>
      <c r="G3394" t="str">
        <f>"頻度不明"</f>
        <v>頻度不明</v>
      </c>
      <c r="H3394" t="str">
        <f>"2002222283673"</f>
        <v>2002222283673</v>
      </c>
      <c r="I3394" t="str">
        <f>HYPERLINK("#", "https://opac.libnet.pref.okayama.jp/licsxp-opac/WOpacMsgNewListToTifTilDetailAction.do?tilcod=2002222283673")</f>
        <v>https://opac.libnet.pref.okayama.jp/licsxp-opac/WOpacMsgNewListToTifTilDetailAction.do?tilcod=2002222283673</v>
      </c>
    </row>
    <row r="3395" spans="1:9" x14ac:dyDescent="0.4">
      <c r="A3395" t="str">
        <f>"川柳藤田"</f>
        <v>川柳藤田</v>
      </c>
      <c r="B3395" s="1" t="str">
        <f t="shared" si="175"/>
        <v>川柳藤田</v>
      </c>
      <c r="C3395" t="str">
        <f>"センリュウ　フジタ　"</f>
        <v>センリュウ　フジタ　</v>
      </c>
      <c r="D3395" t="str">
        <f>"藤田川柳会"</f>
        <v>藤田川柳会</v>
      </c>
      <c r="E3395" t="str">
        <f>"フジタセンリュウカイ"</f>
        <v>フジタセンリュウカイ</v>
      </c>
      <c r="F3395" t="str">
        <f>"岡山"</f>
        <v>岡山</v>
      </c>
      <c r="G3395" t="str">
        <f>"月刊"</f>
        <v>月刊</v>
      </c>
      <c r="H3395" t="str">
        <f>"2002222302181"</f>
        <v>2002222302181</v>
      </c>
      <c r="I3395" t="str">
        <f>HYPERLINK("#", "https://opac.libnet.pref.okayama.jp/licsxp-opac/WOpacMsgNewListToTifTilDetailAction.do?tilcod=2002222302181")</f>
        <v>https://opac.libnet.pref.okayama.jp/licsxp-opac/WOpacMsgNewListToTifTilDetailAction.do?tilcod=2002222302181</v>
      </c>
    </row>
    <row r="3396" spans="1:9" x14ac:dyDescent="0.4">
      <c r="A3396" t="str">
        <f>"川柳ほくぼう"</f>
        <v>川柳ほくぼう</v>
      </c>
      <c r="B3396" s="1" t="str">
        <f t="shared" ref="B3396:B3459" si="177">HYPERLINK("#", A3396)</f>
        <v>川柳ほくぼう</v>
      </c>
      <c r="C3396" t="str">
        <f>"センリュウ ホクボウ"</f>
        <v>センリュウ ホクボウ</v>
      </c>
      <c r="D3396" t="str">
        <f>"北房川柳会"</f>
        <v>北房川柳会</v>
      </c>
      <c r="E3396" t="str">
        <f>"ホクボウ センリュウカイ"</f>
        <v>ホクボウ センリュウカイ</v>
      </c>
      <c r="F3396" t="str">
        <f>"真庭"</f>
        <v>真庭</v>
      </c>
      <c r="G3396" t="str">
        <f>"頻度不明"</f>
        <v>頻度不明</v>
      </c>
      <c r="H3396" t="str">
        <f>"2002222332767"</f>
        <v>2002222332767</v>
      </c>
      <c r="I3396" t="str">
        <f>HYPERLINK("#", "https://opac.libnet.pref.okayama.jp/licsxp-opac/WOpacMsgNewListToTifTilDetailAction.do?tilcod=2002222332767")</f>
        <v>https://opac.libnet.pref.okayama.jp/licsxp-opac/WOpacMsgNewListToTifTilDetailAction.do?tilcod=2002222332767</v>
      </c>
    </row>
    <row r="3397" spans="1:9" x14ac:dyDescent="0.4">
      <c r="A3397" t="str">
        <f>"川柳ますかっと"</f>
        <v>川柳ますかっと</v>
      </c>
      <c r="B3397" s="1" t="str">
        <f t="shared" si="177"/>
        <v>川柳ますかっと</v>
      </c>
      <c r="C3397" t="str">
        <f>"センリュウ　マスカット"</f>
        <v>センリュウ　マスカット</v>
      </c>
      <c r="D3397" t="str">
        <f>"川柳岡山社"</f>
        <v>川柳岡山社</v>
      </c>
      <c r="E3397" t="str">
        <f>"センリュウオカヤマシャ"</f>
        <v>センリュウオカヤマシャ</v>
      </c>
      <c r="F3397" t="str">
        <f>"邑久町（邑久郡）"</f>
        <v>邑久町（邑久郡）</v>
      </c>
      <c r="G3397" t="str">
        <f>"月刊"</f>
        <v>月刊</v>
      </c>
      <c r="H3397" t="str">
        <f>"2002222291491"</f>
        <v>2002222291491</v>
      </c>
      <c r="I3397" t="str">
        <f>HYPERLINK("#", "https://opac.libnet.pref.okayama.jp/licsxp-opac/WOpacMsgNewListToTifTilDetailAction.do?tilcod=2002222291491")</f>
        <v>https://opac.libnet.pref.okayama.jp/licsxp-opac/WOpacMsgNewListToTifTilDetailAction.do?tilcod=2002222291491</v>
      </c>
    </row>
    <row r="3398" spans="1:9" x14ac:dyDescent="0.4">
      <c r="A3398" t="str">
        <f>"川柳みどり"</f>
        <v>川柳みどり</v>
      </c>
      <c r="B3398" s="1" t="str">
        <f t="shared" si="177"/>
        <v>川柳みどり</v>
      </c>
      <c r="C3398" t="str">
        <f>"センリュウ　ミドリ"</f>
        <v>センリュウ　ミドリ</v>
      </c>
      <c r="D3398" t="str">
        <f>"岡南川柳会"</f>
        <v>岡南川柳会</v>
      </c>
      <c r="E3398" t="str">
        <f>"コウナンセンリュウカイ"</f>
        <v>コウナンセンリュウカイ</v>
      </c>
      <c r="F3398" t="str">
        <f>""</f>
        <v/>
      </c>
      <c r="G3398" t="str">
        <f>"頻度不明"</f>
        <v>頻度不明</v>
      </c>
      <c r="H3398" t="str">
        <f>"2002222283683"</f>
        <v>2002222283683</v>
      </c>
      <c r="I3398" t="str">
        <f>HYPERLINK("#", "https://opac.libnet.pref.okayama.jp/licsxp-opac/WOpacMsgNewListToTifTilDetailAction.do?tilcod=2002222283683")</f>
        <v>https://opac.libnet.pref.okayama.jp/licsxp-opac/WOpacMsgNewListToTifTilDetailAction.do?tilcod=2002222283683</v>
      </c>
    </row>
    <row r="3399" spans="1:9" x14ac:dyDescent="0.4">
      <c r="A3399" t="str">
        <f>"川柳みまさか"</f>
        <v>川柳みまさか</v>
      </c>
      <c r="B3399" s="1" t="str">
        <f t="shared" si="177"/>
        <v>川柳みまさか</v>
      </c>
      <c r="C3399" t="str">
        <f>"センリュウ　ミマサカ"</f>
        <v>センリュウ　ミマサカ</v>
      </c>
      <c r="D3399" t="str">
        <f>"みまさか合同川柳社"</f>
        <v>みまさか合同川柳社</v>
      </c>
      <c r="E3399" t="str">
        <f>"ミマサカゴウドウセンリュウシャ"</f>
        <v>ミマサカゴウドウセンリュウシャ</v>
      </c>
      <c r="F3399" t="str">
        <f>""</f>
        <v/>
      </c>
      <c r="G3399" t="str">
        <f>"頻度不明"</f>
        <v>頻度不明</v>
      </c>
      <c r="H3399" t="str">
        <f>"2002222283693"</f>
        <v>2002222283693</v>
      </c>
      <c r="I3399" t="str">
        <f>HYPERLINK("#", "https://opac.libnet.pref.okayama.jp/licsxp-opac/WOpacMsgNewListToTifTilDetailAction.do?tilcod=2002222283693")</f>
        <v>https://opac.libnet.pref.okayama.jp/licsxp-opac/WOpacMsgNewListToTifTilDetailAction.do?tilcod=2002222283693</v>
      </c>
    </row>
    <row r="3400" spans="1:9" x14ac:dyDescent="0.4">
      <c r="A3400" t="str">
        <f>"川柳芽"</f>
        <v>川柳芽</v>
      </c>
      <c r="B3400" s="1" t="str">
        <f t="shared" si="177"/>
        <v>川柳芽</v>
      </c>
      <c r="C3400" t="str">
        <f>"センリュウ　メ"</f>
        <v>センリュウ　メ</v>
      </c>
      <c r="D3400" t="str">
        <f>"三光川柳社"</f>
        <v>三光川柳社</v>
      </c>
      <c r="E3400" t="str">
        <f>"サンコウセンリュウシャ"</f>
        <v>サンコウセンリュウシャ</v>
      </c>
      <c r="F3400" t="str">
        <f>""</f>
        <v/>
      </c>
      <c r="G3400" t="str">
        <f>"頻度不明"</f>
        <v>頻度不明</v>
      </c>
      <c r="H3400" t="str">
        <f>"2002222283703"</f>
        <v>2002222283703</v>
      </c>
      <c r="I3400" t="str">
        <f>HYPERLINK("#", "https://opac.libnet.pref.okayama.jp/licsxp-opac/WOpacMsgNewListToTifTilDetailAction.do?tilcod=2002222283703")</f>
        <v>https://opac.libnet.pref.okayama.jp/licsxp-opac/WOpacMsgNewListToTifTilDetailAction.do?tilcod=2002222283703</v>
      </c>
    </row>
    <row r="3401" spans="1:9" x14ac:dyDescent="0.4">
      <c r="A3401" t="str">
        <f>"川柳紋土"</f>
        <v>川柳紋土</v>
      </c>
      <c r="B3401" s="1" t="str">
        <f t="shared" si="177"/>
        <v>川柳紋土</v>
      </c>
      <c r="C3401" t="str">
        <f>"センリュウ　モンド"</f>
        <v>センリュウ　モンド</v>
      </c>
      <c r="D3401" t="str">
        <f>"弓削川柳社"</f>
        <v>弓削川柳社</v>
      </c>
      <c r="E3401" t="str">
        <f>"ユゲ センリュウシャ"</f>
        <v>ユゲ センリュウシャ</v>
      </c>
      <c r="F3401" t="str">
        <f>"久米南町（久米郡）"</f>
        <v>久米南町（久米郡）</v>
      </c>
      <c r="G3401" t="str">
        <f>"月刊"</f>
        <v>月刊</v>
      </c>
      <c r="H3401" t="str">
        <f>"2002222291501"</f>
        <v>2002222291501</v>
      </c>
      <c r="I3401" t="str">
        <f>HYPERLINK("#", "https://opac.libnet.pref.okayama.jp/licsxp-opac/WOpacMsgNewListToTifTilDetailAction.do?tilcod=2002222291501")</f>
        <v>https://opac.libnet.pref.okayama.jp/licsxp-opac/WOpacMsgNewListToTifTilDetailAction.do?tilcod=2002222291501</v>
      </c>
    </row>
    <row r="3402" spans="1:9" x14ac:dyDescent="0.4">
      <c r="A3402" t="str">
        <f>"川柳よみうりのつどい"</f>
        <v>川柳よみうりのつどい</v>
      </c>
      <c r="B3402" s="1" t="str">
        <f t="shared" si="177"/>
        <v>川柳よみうりのつどい</v>
      </c>
      <c r="C3402" t="str">
        <f>"センリュウ　ヨミウリ　ノ　ツドイ"</f>
        <v>センリュウ　ヨミウリ　ノ　ツドイ</v>
      </c>
      <c r="D3402" t="str">
        <f>"よみうり岡山支局"</f>
        <v>よみうり岡山支局</v>
      </c>
      <c r="E3402" t="str">
        <f>"ヨミウリオカヤマシキョク"</f>
        <v>ヨミウリオカヤマシキョク</v>
      </c>
      <c r="F3402" t="str">
        <f>""</f>
        <v/>
      </c>
      <c r="G3402" t="str">
        <f>"年刊"</f>
        <v>年刊</v>
      </c>
      <c r="H3402" t="str">
        <f>"2002222283713"</f>
        <v>2002222283713</v>
      </c>
      <c r="I3402" t="str">
        <f>HYPERLINK("#", "https://opac.libnet.pref.okayama.jp/licsxp-opac/WOpacMsgNewListToTifTilDetailAction.do?tilcod=2002222283713")</f>
        <v>https://opac.libnet.pref.okayama.jp/licsxp-opac/WOpacMsgNewListToTifTilDetailAction.do?tilcod=2002222283713</v>
      </c>
    </row>
    <row r="3403" spans="1:9" x14ac:dyDescent="0.4">
      <c r="A3403" t="str">
        <f>"川柳わしう"</f>
        <v>川柳わしう</v>
      </c>
      <c r="B3403" s="1" t="str">
        <f t="shared" si="177"/>
        <v>川柳わしう</v>
      </c>
      <c r="C3403" t="str">
        <f>"センリュウ　ワシュウ"</f>
        <v>センリュウ　ワシュウ</v>
      </c>
      <c r="D3403" t="str">
        <f>"鷲羽川柳会"</f>
        <v>鷲羽川柳会</v>
      </c>
      <c r="E3403" t="str">
        <f>"ワシュウセンリュウカイ"</f>
        <v>ワシュウセンリュウカイ</v>
      </c>
      <c r="F3403" t="str">
        <f>"倉敷"</f>
        <v>倉敷</v>
      </c>
      <c r="G3403" t="str">
        <f>"月刊"</f>
        <v>月刊</v>
      </c>
      <c r="H3403" t="str">
        <f>"2002222283723"</f>
        <v>2002222283723</v>
      </c>
      <c r="I3403" t="str">
        <f>HYPERLINK("#", "https://opac.libnet.pref.okayama.jp/licsxp-opac/WOpacMsgNewListToTifTilDetailAction.do?tilcod=2002222283723")</f>
        <v>https://opac.libnet.pref.okayama.jp/licsxp-opac/WOpacMsgNewListToTifTilDetailAction.do?tilcod=2002222283723</v>
      </c>
    </row>
    <row r="3404" spans="1:9" x14ac:dyDescent="0.4">
      <c r="A3404" t="str">
        <f>"そう;岡山市内高等学校文芸部合同文集"</f>
        <v>そう;岡山市内高等学校文芸部合同文集</v>
      </c>
      <c r="B3404" s="1" t="str">
        <f t="shared" si="177"/>
        <v>そう;岡山市内高等学校文芸部合同文集</v>
      </c>
      <c r="C3404" t="str">
        <f>"ソウ*オカヤマシナイ コウトウ ガッコウ ブンゲイブ"</f>
        <v>ソウ*オカヤマシナイ コウトウ ガッコウ ブンゲイブ</v>
      </c>
      <c r="D3404" t="str">
        <f>"岡山市内高等学校PTA連合会文化部"</f>
        <v>岡山市内高等学校PTA連合会文化部</v>
      </c>
      <c r="E3404" t="str">
        <f>"オカヤマシナイ コウトウ ガッコウ ピーティーエー レンゴウカイ ブンカブ"</f>
        <v>オカヤマシナイ コウトウ ガッコウ ピーティーエー レンゴウカイ ブンカブ</v>
      </c>
      <c r="F3404" t="str">
        <f>"岡山"</f>
        <v>岡山</v>
      </c>
      <c r="G3404" t="str">
        <f>"頻度不明"</f>
        <v>頻度不明</v>
      </c>
      <c r="H3404" t="str">
        <f>"2002222309887"</f>
        <v>2002222309887</v>
      </c>
      <c r="I3404" t="str">
        <f>HYPERLINK("#", "https://opac.libnet.pref.okayama.jp/licsxp-opac/WOpacMsgNewListToTifTilDetailAction.do?tilcod=2002222309887")</f>
        <v>https://opac.libnet.pref.okayama.jp/licsxp-opac/WOpacMsgNewListToTifTilDetailAction.do?tilcod=2002222309887</v>
      </c>
    </row>
    <row r="3405" spans="1:9" x14ac:dyDescent="0.4">
      <c r="A3405" t="str">
        <f>"草雲"</f>
        <v>草雲</v>
      </c>
      <c r="B3405" s="1" t="str">
        <f t="shared" si="177"/>
        <v>草雲</v>
      </c>
      <c r="C3405" t="str">
        <f>"ソウウン"</f>
        <v>ソウウン</v>
      </c>
      <c r="D3405" t="str">
        <f>"草雲社"</f>
        <v>草雲社</v>
      </c>
      <c r="E3405" t="str">
        <f>"ソウウンシャ"</f>
        <v>ソウウンシャ</v>
      </c>
      <c r="F3405" t="str">
        <f>""</f>
        <v/>
      </c>
      <c r="G3405" t="str">
        <f>"頻度不明"</f>
        <v>頻度不明</v>
      </c>
      <c r="H3405" t="str">
        <f>"2002222283733"</f>
        <v>2002222283733</v>
      </c>
      <c r="I3405" t="str">
        <f>HYPERLINK("#", "https://opac.libnet.pref.okayama.jp/licsxp-opac/WOpacMsgNewListToTifTilDetailAction.do?tilcod=2002222283733")</f>
        <v>https://opac.libnet.pref.okayama.jp/licsxp-opac/WOpacMsgNewListToTifTilDetailAction.do?tilcod=2002222283733</v>
      </c>
    </row>
    <row r="3406" spans="1:9" x14ac:dyDescent="0.4">
      <c r="A3406" t="str">
        <f>"層雲"</f>
        <v>層雲</v>
      </c>
      <c r="B3406" s="1" t="str">
        <f t="shared" si="177"/>
        <v>層雲</v>
      </c>
      <c r="C3406" t="str">
        <f>"ソウウン"</f>
        <v>ソウウン</v>
      </c>
      <c r="D3406" t="str">
        <f>"井原高等学校文芸部"</f>
        <v>井原高等学校文芸部</v>
      </c>
      <c r="E3406" t="str">
        <f>"イバラ コウトウ ガッコウ ブンゲイブ"</f>
        <v>イバラ コウトウ ガッコウ ブンゲイブ</v>
      </c>
      <c r="F3406" t="str">
        <f>"井原"</f>
        <v>井原</v>
      </c>
      <c r="G3406" t="str">
        <f>"年刊"</f>
        <v>年刊</v>
      </c>
      <c r="H3406" t="str">
        <f>"2002222343830"</f>
        <v>2002222343830</v>
      </c>
      <c r="I3406" t="str">
        <f>HYPERLINK("#", "https://opac.libnet.pref.okayama.jp/licsxp-opac/WOpacMsgNewListToTifTilDetailAction.do?tilcod=2002222343830")</f>
        <v>https://opac.libnet.pref.okayama.jp/licsxp-opac/WOpacMsgNewListToTifTilDetailAction.do?tilcod=2002222343830</v>
      </c>
    </row>
    <row r="3407" spans="1:9" x14ac:dyDescent="0.4">
      <c r="A3407" t="str">
        <f>"早期栽培ニュース"</f>
        <v>早期栽培ニュース</v>
      </c>
      <c r="B3407" s="1" t="str">
        <f t="shared" si="177"/>
        <v>早期栽培ニュース</v>
      </c>
      <c r="C3407" t="str">
        <f>"ソウキ　サイバイ　ニュース"</f>
        <v>ソウキ　サイバイ　ニュース</v>
      </c>
      <c r="D3407" t="str">
        <f>"岡山県水稲早期栽培推進協議会"</f>
        <v>岡山県水稲早期栽培推進協議会</v>
      </c>
      <c r="E3407" t="str">
        <f>"オカヤマケンスイトウソウキサイバイスイシンキョウギカイ"</f>
        <v>オカヤマケンスイトウソウキサイバイスイシンキョウギカイ</v>
      </c>
      <c r="F3407" t="str">
        <f>""</f>
        <v/>
      </c>
      <c r="G3407" t="str">
        <f>"頻度不明"</f>
        <v>頻度不明</v>
      </c>
      <c r="H3407" t="str">
        <f>"2002222280664"</f>
        <v>2002222280664</v>
      </c>
      <c r="I3407" t="str">
        <f>HYPERLINK("#", "https://opac.libnet.pref.okayama.jp/licsxp-opac/WOpacMsgNewListToTifTilDetailAction.do?tilcod=2002222280664")</f>
        <v>https://opac.libnet.pref.okayama.jp/licsxp-opac/WOpacMsgNewListToTifTilDetailAction.do?tilcod=2002222280664</v>
      </c>
    </row>
    <row r="3408" spans="1:9" x14ac:dyDescent="0.4">
      <c r="A3408" t="str">
        <f>"蒼穹"</f>
        <v>蒼穹</v>
      </c>
      <c r="B3408" s="1" t="str">
        <f t="shared" si="177"/>
        <v>蒼穹</v>
      </c>
      <c r="C3408" t="str">
        <f>"ソウキュウ "</f>
        <v xml:space="preserve">ソウキュウ </v>
      </c>
      <c r="D3408" t="str">
        <f>"八浜中学校"</f>
        <v>八浜中学校</v>
      </c>
      <c r="E3408" t="str">
        <f>"ハチハマ　チュウガッコウ"</f>
        <v>ハチハマ　チュウガッコウ</v>
      </c>
      <c r="F3408" t="str">
        <f>"八浜町(児島郡)"</f>
        <v>八浜町(児島郡)</v>
      </c>
      <c r="G3408" t="str">
        <f>"頻度不明"</f>
        <v>頻度不明</v>
      </c>
      <c r="H3408" t="str">
        <f>"2002222324426"</f>
        <v>2002222324426</v>
      </c>
      <c r="I3408" t="str">
        <f>HYPERLINK("#", "https://opac.libnet.pref.okayama.jp/licsxp-opac/WOpacMsgNewListToTifTilDetailAction.do?tilcod=2002222324426")</f>
        <v>https://opac.libnet.pref.okayama.jp/licsxp-opac/WOpacMsgNewListToTifTilDetailAction.do?tilcod=2002222324426</v>
      </c>
    </row>
    <row r="3409" spans="1:9" x14ac:dyDescent="0.4">
      <c r="A3409" t="str">
        <f>"操弓；六高操弓会会報"</f>
        <v>操弓；六高操弓会会報</v>
      </c>
      <c r="B3409" s="1" t="str">
        <f t="shared" si="177"/>
        <v>操弓；六高操弓会会報</v>
      </c>
      <c r="C3409" t="str">
        <f>"ソウキュウ＊ロッコウ　ソウキュウカイ　カイホウ"</f>
        <v>ソウキュウ＊ロッコウ　ソウキュウカイ　カイホウ</v>
      </c>
      <c r="D3409" t="str">
        <f>"六高操弓会"</f>
        <v>六高操弓会</v>
      </c>
      <c r="E3409" t="str">
        <f>"ロッコウ ソウキュウカイ"</f>
        <v>ロッコウ ソウキュウカイ</v>
      </c>
      <c r="F3409" t="str">
        <f>"東京"</f>
        <v>東京</v>
      </c>
      <c r="G3409" t="str">
        <f>"頻度不明"</f>
        <v>頻度不明</v>
      </c>
      <c r="H3409" t="str">
        <f>"2002222301418"</f>
        <v>2002222301418</v>
      </c>
      <c r="I3409" t="str">
        <f>HYPERLINK("#", "https://opac.libnet.pref.okayama.jp/licsxp-opac/WOpacMsgNewListToTifTilDetailAction.do?tilcod=2002222301418")</f>
        <v>https://opac.libnet.pref.okayama.jp/licsxp-opac/WOpacMsgNewListToTifTilDetailAction.do?tilcod=2002222301418</v>
      </c>
    </row>
    <row r="3410" spans="1:9" x14ac:dyDescent="0.4">
      <c r="A3410" t="str">
        <f>"筝曲"</f>
        <v>筝曲</v>
      </c>
      <c r="B3410" s="1" t="str">
        <f t="shared" si="177"/>
        <v>筝曲</v>
      </c>
      <c r="C3410" t="str">
        <f>"ソウキョク"</f>
        <v>ソウキョク</v>
      </c>
      <c r="D3410" t="str">
        <f>"関西音楽指針会"</f>
        <v>関西音楽指針会</v>
      </c>
      <c r="E3410" t="str">
        <f>"カンサイオンガクシシンカイ"</f>
        <v>カンサイオンガクシシンカイ</v>
      </c>
      <c r="F3410" t="str">
        <f>""</f>
        <v/>
      </c>
      <c r="G3410" t="str">
        <f>"頻度不明"</f>
        <v>頻度不明</v>
      </c>
      <c r="H3410" t="str">
        <f>"2002222283743"</f>
        <v>2002222283743</v>
      </c>
      <c r="I3410" t="str">
        <f>HYPERLINK("#", "https://opac.libnet.pref.okayama.jp/licsxp-opac/WOpacMsgNewListToTifTilDetailAction.do?tilcod=2002222283743")</f>
        <v>https://opac.libnet.pref.okayama.jp/licsxp-opac/WOpacMsgNewListToTifTilDetailAction.do?tilcod=2002222283743</v>
      </c>
    </row>
    <row r="3411" spans="1:9" x14ac:dyDescent="0.4">
      <c r="A3411" t="str">
        <f>"総芸"</f>
        <v>総芸</v>
      </c>
      <c r="B3411" s="1" t="str">
        <f t="shared" si="177"/>
        <v>総芸</v>
      </c>
      <c r="C3411" t="str">
        <f>"ソウゲイ"</f>
        <v>ソウゲイ</v>
      </c>
      <c r="D3411" t="str">
        <f>"総芸社"</f>
        <v>総芸社</v>
      </c>
      <c r="E3411" t="str">
        <f>"ソウゲイシャ"</f>
        <v>ソウゲイシャ</v>
      </c>
      <c r="F3411" t="str">
        <f>""</f>
        <v/>
      </c>
      <c r="G3411" t="str">
        <f>"頻度不明"</f>
        <v>頻度不明</v>
      </c>
      <c r="H3411" t="str">
        <f>"2002222283753"</f>
        <v>2002222283753</v>
      </c>
      <c r="I3411" t="str">
        <f>HYPERLINK("#", "https://opac.libnet.pref.okayama.jp/licsxp-opac/WOpacMsgNewListToTifTilDetailAction.do?tilcod=2002222283753")</f>
        <v>https://opac.libnet.pref.okayama.jp/licsxp-opac/WOpacMsgNewListToTifTilDetailAction.do?tilcod=2002222283753</v>
      </c>
    </row>
    <row r="3412" spans="1:9" x14ac:dyDescent="0.4">
      <c r="A3412" t="str">
        <f>"草原"</f>
        <v>草原</v>
      </c>
      <c r="B3412" s="1" t="str">
        <f t="shared" si="177"/>
        <v>草原</v>
      </c>
      <c r="C3412" t="str">
        <f>"ソウゲン"</f>
        <v>ソウゲン</v>
      </c>
      <c r="D3412" t="str">
        <f>"宮原誠"</f>
        <v>宮原誠</v>
      </c>
      <c r="E3412" t="str">
        <f>"ミヤハラマコト"</f>
        <v>ミヤハラマコト</v>
      </c>
      <c r="F3412" t="str">
        <f>""</f>
        <v/>
      </c>
      <c r="G3412" t="str">
        <f>"年２回刊"</f>
        <v>年２回刊</v>
      </c>
      <c r="H3412" t="str">
        <f>"2002222283763"</f>
        <v>2002222283763</v>
      </c>
      <c r="I3412" t="str">
        <f>HYPERLINK("#", "https://opac.libnet.pref.okayama.jp/licsxp-opac/WOpacMsgNewListToTifTilDetailAction.do?tilcod=2002222283763")</f>
        <v>https://opac.libnet.pref.okayama.jp/licsxp-opac/WOpacMsgNewListToTifTilDetailAction.do?tilcod=2002222283763</v>
      </c>
    </row>
    <row r="3413" spans="1:9" x14ac:dyDescent="0.4">
      <c r="A3413" t="str">
        <f>"蒼原"</f>
        <v>蒼原</v>
      </c>
      <c r="B3413" s="1" t="str">
        <f t="shared" si="177"/>
        <v>蒼原</v>
      </c>
      <c r="C3413" t="str">
        <f>"ソウゲン"</f>
        <v>ソウゲン</v>
      </c>
      <c r="D3413" t="str">
        <f>"勝間田高等学校農業クラブ"</f>
        <v>勝間田高等学校農業クラブ</v>
      </c>
      <c r="E3413" t="str">
        <f>"カツマダコウトウガッコウノウギョウクラブ"</f>
        <v>カツマダコウトウガッコウノウギョウクラブ</v>
      </c>
      <c r="F3413" t="str">
        <f>"勝央町（勝田郡）"</f>
        <v>勝央町（勝田郡）</v>
      </c>
      <c r="G3413" t="str">
        <f>"年刊"</f>
        <v>年刊</v>
      </c>
      <c r="H3413" t="str">
        <f>"2002222283773"</f>
        <v>2002222283773</v>
      </c>
      <c r="I3413" t="str">
        <f>HYPERLINK("#", "https://opac.libnet.pref.okayama.jp/licsxp-opac/WOpacMsgNewListToTifTilDetailAction.do?tilcod=2002222283773")</f>
        <v>https://opac.libnet.pref.okayama.jp/licsxp-opac/WOpacMsgNewListToTifTilDetailAction.do?tilcod=2002222283773</v>
      </c>
    </row>
    <row r="3414" spans="1:9" x14ac:dyDescent="0.4">
      <c r="A3414" t="str">
        <f>"「総合研究」概要"</f>
        <v>「総合研究」概要</v>
      </c>
      <c r="B3414" s="1" t="str">
        <f t="shared" si="177"/>
        <v>「総合研究」概要</v>
      </c>
      <c r="C3414" t="str">
        <f>"ソウゴウ　ケンキュウ　ガイヨウ"</f>
        <v>ソウゴウ　ケンキュウ　ガイヨウ</v>
      </c>
      <c r="D3414" t="str">
        <f>"新見公立短期大学幼児教育学科"</f>
        <v>新見公立短期大学幼児教育学科</v>
      </c>
      <c r="E3414" t="str">
        <f>"ニイミコウリツタンキダイガクヨウジキョウイクガッカ"</f>
        <v>ニイミコウリツタンキダイガクヨウジキョウイクガッカ</v>
      </c>
      <c r="F3414" t="str">
        <f>"新見"</f>
        <v>新見</v>
      </c>
      <c r="G3414" t="str">
        <f>"年刊"</f>
        <v>年刊</v>
      </c>
      <c r="H3414" t="str">
        <f>"2002222302428"</f>
        <v>2002222302428</v>
      </c>
      <c r="I3414" t="str">
        <f>HYPERLINK("#", "https://opac.libnet.pref.okayama.jp/licsxp-opac/WOpacMsgNewListToTifTilDetailAction.do?tilcod=2002222302428")</f>
        <v>https://opac.libnet.pref.okayama.jp/licsxp-opac/WOpacMsgNewListToTifTilDetailAction.do?tilcod=2002222302428</v>
      </c>
    </row>
    <row r="3415" spans="1:9" x14ac:dyDescent="0.4">
      <c r="A3415" t="str">
        <f>"創作"</f>
        <v>創作</v>
      </c>
      <c r="B3415" s="1" t="str">
        <f t="shared" si="177"/>
        <v>創作</v>
      </c>
      <c r="C3415" t="str">
        <f>"ソウサク"</f>
        <v>ソウサク</v>
      </c>
      <c r="D3415" t="str">
        <f>"岡山大学文芸部"</f>
        <v>岡山大学文芸部</v>
      </c>
      <c r="E3415" t="str">
        <f>"オカヤマダイガクブンゲイブ"</f>
        <v>オカヤマダイガクブンゲイブ</v>
      </c>
      <c r="F3415" t="str">
        <f>"岡山"</f>
        <v>岡山</v>
      </c>
      <c r="G3415" t="str">
        <f>"頻度不明"</f>
        <v>頻度不明</v>
      </c>
      <c r="H3415" t="str">
        <f>"2002222302379"</f>
        <v>2002222302379</v>
      </c>
      <c r="I3415" t="str">
        <f>HYPERLINK("#", "https://opac.libnet.pref.okayama.jp/licsxp-opac/WOpacMsgNewListToTifTilDetailAction.do?tilcod=2002222302379")</f>
        <v>https://opac.libnet.pref.okayama.jp/licsxp-opac/WOpacMsgNewListToTifTilDetailAction.do?tilcod=2002222302379</v>
      </c>
    </row>
    <row r="3416" spans="1:9" x14ac:dyDescent="0.4">
      <c r="A3416" t="str">
        <f>"創作"</f>
        <v>創作</v>
      </c>
      <c r="B3416" s="1" t="str">
        <f t="shared" si="177"/>
        <v>創作</v>
      </c>
      <c r="C3416" t="str">
        <f>"ソウサク"</f>
        <v>ソウサク</v>
      </c>
      <c r="D3416" t="str">
        <f>"岡山大学創作会"</f>
        <v>岡山大学創作会</v>
      </c>
      <c r="E3416" t="str">
        <f>"オカヤマ ダイガク ソウサクカイ"</f>
        <v>オカヤマ ダイガク ソウサクカイ</v>
      </c>
      <c r="F3416" t="str">
        <f>"岡山"</f>
        <v>岡山</v>
      </c>
      <c r="G3416" t="str">
        <f>"頻度不明"</f>
        <v>頻度不明</v>
      </c>
      <c r="H3416" t="str">
        <f>"2002222331431"</f>
        <v>2002222331431</v>
      </c>
      <c r="I3416" t="str">
        <f>HYPERLINK("#", "https://opac.libnet.pref.okayama.jp/licsxp-opac/WOpacMsgNewListToTifTilDetailAction.do?tilcod=2002222331431")</f>
        <v>https://opac.libnet.pref.okayama.jp/licsxp-opac/WOpacMsgNewListToTifTilDetailAction.do?tilcod=2002222331431</v>
      </c>
    </row>
    <row r="3417" spans="1:9" x14ac:dyDescent="0.4">
      <c r="A3417" t="str">
        <f>"操山"</f>
        <v>操山</v>
      </c>
      <c r="B3417" s="1" t="str">
        <f t="shared" si="177"/>
        <v>操山</v>
      </c>
      <c r="C3417" t="str">
        <f>"ソウザン"</f>
        <v>ソウザン</v>
      </c>
      <c r="D3417" t="str">
        <f>"六高山岳部操山会"</f>
        <v>六高山岳部操山会</v>
      </c>
      <c r="E3417" t="str">
        <f>"ロッコウサンガクブソウザンカイ"</f>
        <v>ロッコウサンガクブソウザンカイ</v>
      </c>
      <c r="F3417" t="str">
        <f>""</f>
        <v/>
      </c>
      <c r="G3417" t="str">
        <f>"頻度不明"</f>
        <v>頻度不明</v>
      </c>
      <c r="H3417" t="str">
        <f>"2002222283783"</f>
        <v>2002222283783</v>
      </c>
      <c r="I3417" t="str">
        <f>HYPERLINK("#", "https://opac.libnet.pref.okayama.jp/licsxp-opac/WOpacMsgNewListToTifTilDetailAction.do?tilcod=2002222283783")</f>
        <v>https://opac.libnet.pref.okayama.jp/licsxp-opac/WOpacMsgNewListToTifTilDetailAction.do?tilcod=2002222283783</v>
      </c>
    </row>
    <row r="3418" spans="1:9" x14ac:dyDescent="0.4">
      <c r="A3418" t="str">
        <f>"操山史学"</f>
        <v>操山史学</v>
      </c>
      <c r="B3418" s="1" t="str">
        <f t="shared" si="177"/>
        <v>操山史学</v>
      </c>
      <c r="C3418" t="str">
        <f>"ソウザン　シガク"</f>
        <v>ソウザン　シガク</v>
      </c>
      <c r="D3418" t="str">
        <f>"岡山操山高等学校歴史研究部"</f>
        <v>岡山操山高等学校歴史研究部</v>
      </c>
      <c r="E3418" t="str">
        <f>"オカヤマ ソウザン コウトウ ガッコウ レキシ ケンキュウブ"</f>
        <v>オカヤマ ソウザン コウトウ ガッコウ レキシ ケンキュウブ</v>
      </c>
      <c r="F3418" t="str">
        <f>"岡山"</f>
        <v>岡山</v>
      </c>
      <c r="G3418" t="str">
        <f>"年刊"</f>
        <v>年刊</v>
      </c>
      <c r="H3418" t="str">
        <f>"2002222283803"</f>
        <v>2002222283803</v>
      </c>
      <c r="I3418" t="str">
        <f>HYPERLINK("#", "https://opac.libnet.pref.okayama.jp/licsxp-opac/WOpacMsgNewListToTifTilDetailAction.do?tilcod=2002222283803")</f>
        <v>https://opac.libnet.pref.okayama.jp/licsxp-opac/WOpacMsgNewListToTifTilDetailAction.do?tilcod=2002222283803</v>
      </c>
    </row>
    <row r="3419" spans="1:9" x14ac:dyDescent="0.4">
      <c r="A3419" t="str">
        <f>"操山会会報"</f>
        <v>操山会会報</v>
      </c>
      <c r="B3419" s="1" t="str">
        <f t="shared" si="177"/>
        <v>操山会会報</v>
      </c>
      <c r="C3419" t="str">
        <f>"ソウザンカイ　カイホウ"</f>
        <v>ソウザンカイ　カイホウ</v>
      </c>
      <c r="D3419" t="str">
        <f>"六高山岳部操山会"</f>
        <v>六高山岳部操山会</v>
      </c>
      <c r="E3419" t="str">
        <f>"ロッコウサンガクブソウザンカイ"</f>
        <v>ロッコウサンガクブソウザンカイ</v>
      </c>
      <c r="F3419" t="str">
        <f>""</f>
        <v/>
      </c>
      <c r="G3419" t="str">
        <f>"年刊"</f>
        <v>年刊</v>
      </c>
      <c r="H3419" t="str">
        <f>"2002222283793"</f>
        <v>2002222283793</v>
      </c>
      <c r="I3419" t="str">
        <f>HYPERLINK("#", "https://opac.libnet.pref.okayama.jp/licsxp-opac/WOpacMsgNewListToTifTilDetailAction.do?tilcod=2002222283793")</f>
        <v>https://opac.libnet.pref.okayama.jp/licsxp-opac/WOpacMsgNewListToTifTilDetailAction.do?tilcod=2002222283793</v>
      </c>
    </row>
    <row r="3420" spans="1:9" x14ac:dyDescent="0.4">
      <c r="A3420" t="str">
        <f>"創志学園高等学校学校案内"</f>
        <v>創志学園高等学校学校案内</v>
      </c>
      <c r="B3420" s="1" t="str">
        <f t="shared" si="177"/>
        <v>創志学園高等学校学校案内</v>
      </c>
      <c r="C3420" t="str">
        <f>"ソウシ ガクエン コウトウ ガッコウ ガッコウ アンナイ"</f>
        <v>ソウシ ガクエン コウトウ ガッコウ ガッコウ アンナイ</v>
      </c>
      <c r="D3420" t="str">
        <f>"創志学園高等学校"</f>
        <v>創志学園高等学校</v>
      </c>
      <c r="E3420" t="str">
        <f>"ソウシ ガクエン コウトウ ガッコウ"</f>
        <v>ソウシ ガクエン コウトウ ガッコウ</v>
      </c>
      <c r="F3420" t="str">
        <f>"岡山"</f>
        <v>岡山</v>
      </c>
      <c r="G3420" t="str">
        <f>"年刊"</f>
        <v>年刊</v>
      </c>
      <c r="H3420" t="str">
        <f>"2002222339090"</f>
        <v>2002222339090</v>
      </c>
      <c r="I3420" t="str">
        <f>HYPERLINK("#", "https://opac.libnet.pref.okayama.jp/licsxp-opac/WOpacMsgNewListToTifTilDetailAction.do?tilcod=2002222339090")</f>
        <v>https://opac.libnet.pref.okayama.jp/licsxp-opac/WOpacMsgNewListToTifTilDetailAction.do?tilcod=2002222339090</v>
      </c>
    </row>
    <row r="3421" spans="1:9" x14ac:dyDescent="0.4">
      <c r="A3421" t="str">
        <f>"[創志学園高等学校] 学校要覧"</f>
        <v>[創志学園高等学校] 学校要覧</v>
      </c>
      <c r="B3421" s="1" t="str">
        <f t="shared" si="177"/>
        <v>[創志学園高等学校] 学校要覧</v>
      </c>
      <c r="C3421" t="str">
        <f>"ソウシ　ガクエン　コウトウ　ガッコウ　ガッコウ　ヨウラン"</f>
        <v>ソウシ　ガクエン　コウトウ　ガッコウ　ガッコウ　ヨウラン</v>
      </c>
      <c r="D3421" t="str">
        <f>"創志学園高等学校"</f>
        <v>創志学園高等学校</v>
      </c>
      <c r="E3421" t="str">
        <f>"ソウシ ガクエン コウトウ ガッコウ"</f>
        <v>ソウシ ガクエン コウトウ ガッコウ</v>
      </c>
      <c r="F3421" t="str">
        <f>"岡山"</f>
        <v>岡山</v>
      </c>
      <c r="G3421" t="str">
        <f>"年刊"</f>
        <v>年刊</v>
      </c>
      <c r="H3421" t="str">
        <f>"2002222316048"</f>
        <v>2002222316048</v>
      </c>
      <c r="I3421" t="str">
        <f>HYPERLINK("#", "https://opac.libnet.pref.okayama.jp/licsxp-opac/WOpacMsgNewListToTifTilDetailAction.do?tilcod=2002222316048")</f>
        <v>https://opac.libnet.pref.okayama.jp/licsxp-opac/WOpacMsgNewListToTifTilDetailAction.do?tilcod=2002222316048</v>
      </c>
    </row>
    <row r="3422" spans="1:9" x14ac:dyDescent="0.4">
      <c r="A3422" t="str">
        <f>"［創志学園高等学校］入学案内"</f>
        <v>［創志学園高等学校］入学案内</v>
      </c>
      <c r="B3422" s="1" t="str">
        <f t="shared" si="177"/>
        <v>［創志学園高等学校］入学案内</v>
      </c>
      <c r="C3422" t="str">
        <f>"ソウシ　ガクエン　コウトウ　ガッコウ　ニュウガク　アンナイ"</f>
        <v>ソウシ　ガクエン　コウトウ　ガッコウ　ニュウガク　アンナイ</v>
      </c>
      <c r="D3422" t="str">
        <f>"創志学園高等学校"</f>
        <v>創志学園高等学校</v>
      </c>
      <c r="E3422" t="str">
        <f>"ソウシ ガクエン コウトウ ガッコウ"</f>
        <v>ソウシ ガクエン コウトウ ガッコウ</v>
      </c>
      <c r="F3422" t="str">
        <f>"岡山"</f>
        <v>岡山</v>
      </c>
      <c r="G3422" t="str">
        <f>"年刊"</f>
        <v>年刊</v>
      </c>
      <c r="H3422" t="str">
        <f>"2002222311886"</f>
        <v>2002222311886</v>
      </c>
      <c r="I3422" t="str">
        <f>HYPERLINK("#", "https://opac.libnet.pref.okayama.jp/licsxp-opac/WOpacMsgNewListToTifTilDetailAction.do?tilcod=2002222311886")</f>
        <v>https://opac.libnet.pref.okayama.jp/licsxp-opac/WOpacMsgNewListToTifTilDetailAction.do?tilcod=2002222311886</v>
      </c>
    </row>
    <row r="3423" spans="1:9" x14ac:dyDescent="0.4">
      <c r="A3423" t="str">
        <f>"そうじゃ議会だより"</f>
        <v>そうじゃ議会だより</v>
      </c>
      <c r="B3423" s="1" t="str">
        <f t="shared" si="177"/>
        <v>そうじゃ議会だより</v>
      </c>
      <c r="C3423" t="str">
        <f>"ソウジャ　ギカイ　ダヨリ"</f>
        <v>ソウジャ　ギカイ　ダヨリ</v>
      </c>
      <c r="D3423" t="str">
        <f>"総社市議会事務局"</f>
        <v>総社市議会事務局</v>
      </c>
      <c r="E3423" t="str">
        <f>"ソウジャシギカイ ジムキョク"</f>
        <v>ソウジャシギカイ ジムキョク</v>
      </c>
      <c r="F3423" t="str">
        <f t="shared" ref="F3423:F3440" si="178">"総社"</f>
        <v>総社</v>
      </c>
      <c r="G3423" t="str">
        <f>"季刊"</f>
        <v>季刊</v>
      </c>
      <c r="H3423" t="str">
        <f>"2002222302182"</f>
        <v>2002222302182</v>
      </c>
      <c r="I3423" t="str">
        <f>HYPERLINK("#", "https://opac.libnet.pref.okayama.jp/licsxp-opac/WOpacMsgNewListToTifTilDetailAction.do?tilcod=2002222302182")</f>
        <v>https://opac.libnet.pref.okayama.jp/licsxp-opac/WOpacMsgNewListToTifTilDetailAction.do?tilcod=2002222302182</v>
      </c>
    </row>
    <row r="3424" spans="1:9" x14ac:dyDescent="0.4">
      <c r="A3424" t="str">
        <f>"総社高等学校学校案内"</f>
        <v>総社高等学校学校案内</v>
      </c>
      <c r="B3424" s="1" t="str">
        <f t="shared" si="177"/>
        <v>総社高等学校学校案内</v>
      </c>
      <c r="C3424" t="str">
        <f>"ソウジャ　コウトウ　ガッコウ　ガッコウ　アンナイ"</f>
        <v>ソウジャ　コウトウ　ガッコウ　ガッコウ　アンナイ</v>
      </c>
      <c r="D3424" t="str">
        <f>"総社高等学校"</f>
        <v>総社高等学校</v>
      </c>
      <c r="E3424" t="str">
        <f>"ソウジャ コウトウ ガッコウ"</f>
        <v>ソウジャ コウトウ ガッコウ</v>
      </c>
      <c r="F3424" t="str">
        <f t="shared" si="178"/>
        <v>総社</v>
      </c>
      <c r="G3424" t="str">
        <f>"年刊"</f>
        <v>年刊</v>
      </c>
      <c r="H3424" t="str">
        <f>"2002222301253"</f>
        <v>2002222301253</v>
      </c>
      <c r="I3424" t="str">
        <f>HYPERLINK("#", "https://opac.libnet.pref.okayama.jp/licsxp-opac/WOpacMsgNewListToTifTilDetailAction.do?tilcod=2002222301253")</f>
        <v>https://opac.libnet.pref.okayama.jp/licsxp-opac/WOpacMsgNewListToTifTilDetailAction.do?tilcod=2002222301253</v>
      </c>
    </row>
    <row r="3425" spans="1:9" x14ac:dyDescent="0.4">
      <c r="A3425" t="str">
        <f>"総社高等学校学校要覧"</f>
        <v>総社高等学校学校要覧</v>
      </c>
      <c r="B3425" s="1" t="str">
        <f t="shared" si="177"/>
        <v>総社高等学校学校要覧</v>
      </c>
      <c r="C3425" t="str">
        <f>"ソウジャ　コウトウ　ガッコウ　ガッコウ　ヨウラン"</f>
        <v>ソウジャ　コウトウ　ガッコウ　ガッコウ　ヨウラン</v>
      </c>
      <c r="D3425" t="str">
        <f>"総社高等学校"</f>
        <v>総社高等学校</v>
      </c>
      <c r="E3425" t="str">
        <f>"ソウジャ コウトウ ガッコウ"</f>
        <v>ソウジャ コウトウ ガッコウ</v>
      </c>
      <c r="F3425" t="str">
        <f t="shared" si="178"/>
        <v>総社</v>
      </c>
      <c r="G3425" t="str">
        <f>"年刊"</f>
        <v>年刊</v>
      </c>
      <c r="H3425" t="str">
        <f>"2002222300521"</f>
        <v>2002222300521</v>
      </c>
      <c r="I3425" t="str">
        <f>HYPERLINK("#", "https://opac.libnet.pref.okayama.jp/licsxp-opac/WOpacMsgNewListToTifTilDetailAction.do?tilcod=2002222300521")</f>
        <v>https://opac.libnet.pref.okayama.jp/licsxp-opac/WOpacMsgNewListToTifTilDetailAction.do?tilcod=2002222300521</v>
      </c>
    </row>
    <row r="3426" spans="1:9" x14ac:dyDescent="0.4">
      <c r="A3426" t="str">
        <f>"〔総社高等学校〕図書室だより"</f>
        <v>〔総社高等学校〕図書室だより</v>
      </c>
      <c r="B3426" s="1" t="str">
        <f t="shared" si="177"/>
        <v>〔総社高等学校〕図書室だより</v>
      </c>
      <c r="C3426" t="str">
        <f>"ソウジャ　コウトウ　ガッコウ　トショシツ　ダヨリ"</f>
        <v>ソウジャ　コウトウ　ガッコウ　トショシツ　ダヨリ</v>
      </c>
      <c r="D3426" t="str">
        <f>"総社高等学校"</f>
        <v>総社高等学校</v>
      </c>
      <c r="E3426" t="str">
        <f>"ソウジャ コウトウ ガッコウ"</f>
        <v>ソウジャ コウトウ ガッコウ</v>
      </c>
      <c r="F3426" t="str">
        <f t="shared" si="178"/>
        <v>総社</v>
      </c>
      <c r="G3426" t="str">
        <f>"頻度不明"</f>
        <v>頻度不明</v>
      </c>
      <c r="H3426" t="str">
        <f>"2002222301739"</f>
        <v>2002222301739</v>
      </c>
      <c r="I3426" t="str">
        <f>HYPERLINK("#", "https://opac.libnet.pref.okayama.jp/licsxp-opac/WOpacMsgNewListToTifTilDetailAction.do?tilcod=2002222301739")</f>
        <v>https://opac.libnet.pref.okayama.jp/licsxp-opac/WOpacMsgNewListToTifTilDetailAction.do?tilcod=2002222301739</v>
      </c>
    </row>
    <row r="3427" spans="1:9" x14ac:dyDescent="0.4">
      <c r="A3427" t="str">
        <f>"〔総社高等学校〕総高新聞"</f>
        <v>〔総社高等学校〕総高新聞</v>
      </c>
      <c r="B3427" s="1" t="str">
        <f t="shared" si="177"/>
        <v>〔総社高等学校〕総高新聞</v>
      </c>
      <c r="C3427" t="str">
        <f>"ソウジャ　コウトウ　ガッコウ＊ソウコウ　シンブン"</f>
        <v>ソウジャ　コウトウ　ガッコウ＊ソウコウ　シンブン</v>
      </c>
      <c r="D3427" t="str">
        <f>"総社高等学校新聞部"</f>
        <v>総社高等学校新聞部</v>
      </c>
      <c r="E3427" t="str">
        <f>"ソウジャコウトウガッコウシンブンブ"</f>
        <v>ソウジャコウトウガッコウシンブンブ</v>
      </c>
      <c r="F3427" t="str">
        <f t="shared" si="178"/>
        <v>総社</v>
      </c>
      <c r="G3427" t="str">
        <f>"頻度不明"</f>
        <v>頻度不明</v>
      </c>
      <c r="H3427" t="str">
        <f>"2002222301932"</f>
        <v>2002222301932</v>
      </c>
      <c r="I3427" t="str">
        <f>HYPERLINK("#", "https://opac.libnet.pref.okayama.jp/licsxp-opac/WOpacMsgNewListToTifTilDetailAction.do?tilcod=2002222301932")</f>
        <v>https://opac.libnet.pref.okayama.jp/licsxp-opac/WOpacMsgNewListToTifTilDetailAction.do?tilcod=2002222301932</v>
      </c>
    </row>
    <row r="3428" spans="1:9" x14ac:dyDescent="0.4">
      <c r="A3428" t="str">
        <f>"〔総社高等学校〕総高通信"</f>
        <v>〔総社高等学校〕総高通信</v>
      </c>
      <c r="B3428" s="1" t="str">
        <f t="shared" si="177"/>
        <v>〔総社高等学校〕総高通信</v>
      </c>
      <c r="C3428" t="str">
        <f>"ソウジャ　コウトウ　ガッコウ＊ソウコウ　ツウシン"</f>
        <v>ソウジャ　コウトウ　ガッコウ＊ソウコウ　ツウシン</v>
      </c>
      <c r="D3428" t="str">
        <f>"総社高等学校"</f>
        <v>総社高等学校</v>
      </c>
      <c r="E3428" t="str">
        <f>"ソウジャ コウトウ ガッコウ"</f>
        <v>ソウジャ コウトウ ガッコウ</v>
      </c>
      <c r="F3428" t="str">
        <f t="shared" si="178"/>
        <v>総社</v>
      </c>
      <c r="G3428" t="str">
        <f>"頻度不明"</f>
        <v>頻度不明</v>
      </c>
      <c r="H3428" t="str">
        <f>"2002222301933"</f>
        <v>2002222301933</v>
      </c>
      <c r="I3428" t="str">
        <f>HYPERLINK("#", "https://opac.libnet.pref.okayama.jp/licsxp-opac/WOpacMsgNewListToTifTilDetailAction.do?tilcod=2002222301933")</f>
        <v>https://opac.libnet.pref.okayama.jp/licsxp-opac/WOpacMsgNewListToTifTilDetailAction.do?tilcod=2002222301933</v>
      </c>
    </row>
    <row r="3429" spans="1:9" x14ac:dyDescent="0.4">
      <c r="A3429" t="str">
        <f>"そうじゃ社協だより"</f>
        <v>そうじゃ社協だより</v>
      </c>
      <c r="B3429" s="1" t="str">
        <f t="shared" si="177"/>
        <v>そうじゃ社協だより</v>
      </c>
      <c r="C3429" t="str">
        <f>"ソウジヤ　シヤキヨウ　ダヨリ"</f>
        <v>ソウジヤ　シヤキヨウ　ダヨリ</v>
      </c>
      <c r="D3429" t="str">
        <f>"総社市社会福祉協議会"</f>
        <v>総社市社会福祉協議会</v>
      </c>
      <c r="E3429" t="str">
        <f>"ソウジャシ シャカイ フクシ キョウギカイ"</f>
        <v>ソウジャシ シャカイ フクシ キョウギカイ</v>
      </c>
      <c r="F3429" t="str">
        <f t="shared" si="178"/>
        <v>総社</v>
      </c>
      <c r="G3429" t="str">
        <f>"隔月刊"</f>
        <v>隔月刊</v>
      </c>
      <c r="H3429" t="str">
        <f>"2002222293851"</f>
        <v>2002222293851</v>
      </c>
      <c r="I3429" t="str">
        <f>HYPERLINK("#", "https://opac.libnet.pref.okayama.jp/licsxp-opac/WOpacMsgNewListToTifTilDetailAction.do?tilcod=2002222293851")</f>
        <v>https://opac.libnet.pref.okayama.jp/licsxp-opac/WOpacMsgNewListToTifTilDetailAction.do?tilcod=2002222293851</v>
      </c>
    </row>
    <row r="3430" spans="1:9" x14ac:dyDescent="0.4">
      <c r="A3430" t="str">
        <f>"総社商工会議所会報"</f>
        <v>総社商工会議所会報</v>
      </c>
      <c r="B3430" s="1" t="str">
        <f t="shared" si="177"/>
        <v>総社商工会議所会報</v>
      </c>
      <c r="C3430" t="str">
        <f>"ソウジャ ショウコウ カイギショ カイホウ"</f>
        <v>ソウジャ ショウコウ カイギショ カイホウ</v>
      </c>
      <c r="D3430" t="str">
        <f>"総社商工会議所"</f>
        <v>総社商工会議所</v>
      </c>
      <c r="E3430" t="str">
        <f>"ソウジャ ショウコウ カイギショ"</f>
        <v>ソウジャ ショウコウ カイギショ</v>
      </c>
      <c r="F3430" t="str">
        <f t="shared" si="178"/>
        <v>総社</v>
      </c>
      <c r="G3430" t="str">
        <f>"月刊"</f>
        <v>月刊</v>
      </c>
      <c r="H3430" t="str">
        <f>"2002222334075"</f>
        <v>2002222334075</v>
      </c>
      <c r="I3430" t="str">
        <f>HYPERLINK("#", "https://opac.libnet.pref.okayama.jp/licsxp-opac/WOpacMsgNewListToTifTilDetailAction.do?tilcod=2002222334075")</f>
        <v>https://opac.libnet.pref.okayama.jp/licsxp-opac/WOpacMsgNewListToTifTilDetailAction.do?tilcod=2002222334075</v>
      </c>
    </row>
    <row r="3431" spans="1:9" x14ac:dyDescent="0.4">
      <c r="A3431" t="str">
        <f>"総社西中新聞"</f>
        <v>総社西中新聞</v>
      </c>
      <c r="B3431" s="1" t="str">
        <f t="shared" si="177"/>
        <v>総社西中新聞</v>
      </c>
      <c r="C3431" t="str">
        <f>"ソウジャ ニシ チュウ シンブン"</f>
        <v>ソウジャ ニシ チュウ シンブン</v>
      </c>
      <c r="D3431" t="str">
        <f>"総社西中学校新聞部"</f>
        <v>総社西中学校新聞部</v>
      </c>
      <c r="E3431" t="str">
        <f>"ソウジャ ニシ チュウガッコウ シンブンブ"</f>
        <v>ソウジャ ニシ チュウガッコウ シンブンブ</v>
      </c>
      <c r="F3431" t="str">
        <f t="shared" si="178"/>
        <v>総社</v>
      </c>
      <c r="G3431" t="str">
        <f>"頻度不明"</f>
        <v>頻度不明</v>
      </c>
      <c r="H3431" t="str">
        <f>"2002222309546"</f>
        <v>2002222309546</v>
      </c>
      <c r="I3431" t="str">
        <f>HYPERLINK("#", "https://opac.libnet.pref.okayama.jp/licsxp-opac/WOpacMsgNewListToTifTilDetailAction.do?tilcod=2002222309546")</f>
        <v>https://opac.libnet.pref.okayama.jp/licsxp-opac/WOpacMsgNewListToTifTilDetailAction.do?tilcod=2002222309546</v>
      </c>
    </row>
    <row r="3432" spans="1:9" x14ac:dyDescent="0.4">
      <c r="A3432" t="str">
        <f>"そうじゃ農業委員会だより"</f>
        <v>そうじゃ農業委員会だより</v>
      </c>
      <c r="B3432" s="1" t="str">
        <f t="shared" si="177"/>
        <v>そうじゃ農業委員会だより</v>
      </c>
      <c r="C3432" t="str">
        <f>"ソウジャ　ノウギョウ　イインカイ　ダヨリ"</f>
        <v>ソウジャ　ノウギョウ　イインカイ　ダヨリ</v>
      </c>
      <c r="D3432" t="str">
        <f>"総社市農業委員会"</f>
        <v>総社市農業委員会</v>
      </c>
      <c r="E3432" t="str">
        <f>"ソウジャシノウギョウイインカイ"</f>
        <v>ソウジャシノウギョウイインカイ</v>
      </c>
      <c r="F3432" t="str">
        <f t="shared" si="178"/>
        <v>総社</v>
      </c>
      <c r="G3432" t="str">
        <f>"年２回刊"</f>
        <v>年２回刊</v>
      </c>
      <c r="H3432" t="str">
        <f>"2002222301430"</f>
        <v>2002222301430</v>
      </c>
      <c r="I3432" t="str">
        <f>HYPERLINK("#", "https://opac.libnet.pref.okayama.jp/licsxp-opac/WOpacMsgNewListToTifTilDetailAction.do?tilcod=2002222301430")</f>
        <v>https://opac.libnet.pref.okayama.jp/licsxp-opac/WOpacMsgNewListToTifTilDetailAction.do?tilcod=2002222301430</v>
      </c>
    </row>
    <row r="3433" spans="1:9" x14ac:dyDescent="0.4">
      <c r="A3433" t="str">
        <f>"総社文学"</f>
        <v>総社文学</v>
      </c>
      <c r="B3433" s="1" t="str">
        <f t="shared" si="177"/>
        <v>総社文学</v>
      </c>
      <c r="C3433" t="str">
        <f>"ソウジャ　ブンガク"</f>
        <v>ソウジャ　ブンガク</v>
      </c>
      <c r="D3433" t="str">
        <f>"総社文学会"</f>
        <v>総社文学会</v>
      </c>
      <c r="E3433" t="str">
        <f>"ソウジャブンガクカイ"</f>
        <v>ソウジャブンガクカイ</v>
      </c>
      <c r="F3433" t="str">
        <f t="shared" si="178"/>
        <v>総社</v>
      </c>
      <c r="G3433" t="str">
        <f>"不定期刊"</f>
        <v>不定期刊</v>
      </c>
      <c r="H3433" t="str">
        <f>"2002222292891"</f>
        <v>2002222292891</v>
      </c>
      <c r="I3433" t="str">
        <f>HYPERLINK("#", "https://opac.libnet.pref.okayama.jp/licsxp-opac/WOpacMsgNewListToTifTilDetailAction.do?tilcod=2002222292891")</f>
        <v>https://opac.libnet.pref.okayama.jp/licsxp-opac/WOpacMsgNewListToTifTilDetailAction.do?tilcod=2002222292891</v>
      </c>
    </row>
    <row r="3434" spans="1:9" x14ac:dyDescent="0.4">
      <c r="A3434" t="str">
        <f>"総社南高等学校学校案内"</f>
        <v>総社南高等学校学校案内</v>
      </c>
      <c r="B3434" s="1" t="str">
        <f t="shared" si="177"/>
        <v>総社南高等学校学校案内</v>
      </c>
      <c r="C3434" t="str">
        <f>"ソウジャ　ミナミ　コウトウ　ガッコウ　ガッコウ　アンナイ"</f>
        <v>ソウジャ　ミナミ　コウトウ　ガッコウ　ガッコウ　アンナイ</v>
      </c>
      <c r="D3434" t="str">
        <f>"総社南高等学校"</f>
        <v>総社南高等学校</v>
      </c>
      <c r="E3434" t="str">
        <f>"ソウジャ ミナミ コウトウ ガッコウ"</f>
        <v>ソウジャ ミナミ コウトウ ガッコウ</v>
      </c>
      <c r="F3434" t="str">
        <f t="shared" si="178"/>
        <v>総社</v>
      </c>
      <c r="G3434" t="str">
        <f>"年刊"</f>
        <v>年刊</v>
      </c>
      <c r="H3434" t="str">
        <f>"2002222301248"</f>
        <v>2002222301248</v>
      </c>
      <c r="I3434" t="str">
        <f>HYPERLINK("#", "https://opac.libnet.pref.okayama.jp/licsxp-opac/WOpacMsgNewListToTifTilDetailAction.do?tilcod=2002222301248")</f>
        <v>https://opac.libnet.pref.okayama.jp/licsxp-opac/WOpacMsgNewListToTifTilDetailAction.do?tilcod=2002222301248</v>
      </c>
    </row>
    <row r="3435" spans="1:9" x14ac:dyDescent="0.4">
      <c r="A3435" t="str">
        <f>"[総社南高等学校] 学校要覧"</f>
        <v>[総社南高等学校] 学校要覧</v>
      </c>
      <c r="B3435" s="1" t="str">
        <f t="shared" si="177"/>
        <v>[総社南高等学校] 学校要覧</v>
      </c>
      <c r="C3435" t="str">
        <f>"ソウジャ　ミナミ　コウトウ　ガッコウ　ガッコウ　ヨウラン"</f>
        <v>ソウジャ　ミナミ　コウトウ　ガッコウ　ガッコウ　ヨウラン</v>
      </c>
      <c r="D3435" t="str">
        <f>"総社南高等学校"</f>
        <v>総社南高等学校</v>
      </c>
      <c r="E3435" t="str">
        <f>"ソウジャ ミナミ コウトウ ガッコウ"</f>
        <v>ソウジャ ミナミ コウトウ ガッコウ</v>
      </c>
      <c r="F3435" t="str">
        <f t="shared" si="178"/>
        <v>総社</v>
      </c>
      <c r="G3435" t="str">
        <f>"年刊"</f>
        <v>年刊</v>
      </c>
      <c r="H3435" t="str">
        <f>"2002222300522"</f>
        <v>2002222300522</v>
      </c>
      <c r="I3435" t="str">
        <f>HYPERLINK("#", "https://opac.libnet.pref.okayama.jp/licsxp-opac/WOpacMsgNewListToTifTilDetailAction.do?tilcod=2002222300522")</f>
        <v>https://opac.libnet.pref.okayama.jp/licsxp-opac/WOpacMsgNewListToTifTilDetailAction.do?tilcod=2002222300522</v>
      </c>
    </row>
    <row r="3436" spans="1:9" x14ac:dyDescent="0.4">
      <c r="A3436" t="str">
        <f>"〔総社南高等学校〕図書館報"</f>
        <v>〔総社南高等学校〕図書館報</v>
      </c>
      <c r="B3436" s="1" t="str">
        <f t="shared" si="177"/>
        <v>〔総社南高等学校〕図書館報</v>
      </c>
      <c r="C3436" t="str">
        <f>"ソウジャ　ミナミ　コウトウ　ガッコウ＊トショカンポウ"</f>
        <v>ソウジャ　ミナミ　コウトウ　ガッコウ＊トショカンポウ</v>
      </c>
      <c r="D3436" t="str">
        <f>"総社南高等学校"</f>
        <v>総社南高等学校</v>
      </c>
      <c r="E3436" t="str">
        <f>"ソウジャ ミナミ コウトウ ガッコウ"</f>
        <v>ソウジャ ミナミ コウトウ ガッコウ</v>
      </c>
      <c r="F3436" t="str">
        <f t="shared" si="178"/>
        <v>総社</v>
      </c>
      <c r="G3436" t="str">
        <f>"年刊"</f>
        <v>年刊</v>
      </c>
      <c r="H3436" t="str">
        <f>"2002222301792"</f>
        <v>2002222301792</v>
      </c>
      <c r="I3436" t="str">
        <f>HYPERLINK("#", "https://opac.libnet.pref.okayama.jp/licsxp-opac/WOpacMsgNewListToTifTilDetailAction.do?tilcod=2002222301792")</f>
        <v>https://opac.libnet.pref.okayama.jp/licsxp-opac/WOpacMsgNewListToTifTilDetailAction.do?tilcod=2002222301792</v>
      </c>
    </row>
    <row r="3437" spans="1:9" x14ac:dyDescent="0.4">
      <c r="A3437" t="str">
        <f>"〔総社南高等学校〕ミナミニュース"</f>
        <v>〔総社南高等学校〕ミナミニュース</v>
      </c>
      <c r="B3437" s="1" t="str">
        <f t="shared" si="177"/>
        <v>〔総社南高等学校〕ミナミニュース</v>
      </c>
      <c r="C3437" t="str">
        <f>"ソウジャ　ミナミ　コウトウ　ガッコウ＊ミナミ　ニュース"</f>
        <v>ソウジャ　ミナミ　コウトウ　ガッコウ＊ミナミ　ニュース</v>
      </c>
      <c r="D3437" t="str">
        <f>"総社南高等学校"</f>
        <v>総社南高等学校</v>
      </c>
      <c r="E3437" t="str">
        <f>"ソウジャ ミナミ コウトウ ガッコウ"</f>
        <v>ソウジャ ミナミ コウトウ ガッコウ</v>
      </c>
      <c r="F3437" t="str">
        <f t="shared" si="178"/>
        <v>総社</v>
      </c>
      <c r="G3437" t="str">
        <f>"頻度不明"</f>
        <v>頻度不明</v>
      </c>
      <c r="H3437" t="str">
        <f>"2002222301931"</f>
        <v>2002222301931</v>
      </c>
      <c r="I3437" t="str">
        <f>HYPERLINK("#", "https://opac.libnet.pref.okayama.jp/licsxp-opac/WOpacMsgNewListToTifTilDetailAction.do?tilcod=2002222301931")</f>
        <v>https://opac.libnet.pref.okayama.jp/licsxp-opac/WOpacMsgNewListToTifTilDetailAction.do?tilcod=2002222301931</v>
      </c>
    </row>
    <row r="3438" spans="1:9" x14ac:dyDescent="0.4">
      <c r="A3438" t="str">
        <f>"総社ももっちだより"</f>
        <v>総社ももっちだより</v>
      </c>
      <c r="B3438" s="1" t="str">
        <f t="shared" si="177"/>
        <v>総社ももっちだより</v>
      </c>
      <c r="C3438" t="str">
        <f>"ソウジャ　モモッチ　ダヨリ"</f>
        <v>ソウジャ　モモッチ　ダヨリ</v>
      </c>
      <c r="D3438" t="str">
        <f>"晴れの国おかやま国体・輝いて！おかやま大会総社市実行委員会事務局（総社市国体室）"</f>
        <v>晴れの国おかやま国体・輝いて！おかやま大会総社市実行委員会事務局（総社市国体室）</v>
      </c>
      <c r="E3438" t="str">
        <f>"ハレノクニオカヤマコクタイカガヤイテオカヤマタイカイソウジャシジッコウイインカイジムキョクソウジャシコクタイシツ"</f>
        <v>ハレノクニオカヤマコクタイカガヤイテオカヤマタイカイソウジャシジッコウイインカイジムキョクソウジャシコクタイシツ</v>
      </c>
      <c r="F3438" t="str">
        <f t="shared" si="178"/>
        <v>総社</v>
      </c>
      <c r="G3438" t="str">
        <f>"隔月刊"</f>
        <v>隔月刊</v>
      </c>
      <c r="H3438" t="str">
        <f>"2002222301145"</f>
        <v>2002222301145</v>
      </c>
      <c r="I3438" t="str">
        <f>HYPERLINK("#", "https://opac.libnet.pref.okayama.jp/licsxp-opac/WOpacMsgNewListToTifTilDetailAction.do?tilcod=2002222301145")</f>
        <v>https://opac.libnet.pref.okayama.jp/licsxp-opac/WOpacMsgNewListToTifTilDetailAction.do?tilcod=2002222301145</v>
      </c>
    </row>
    <row r="3439" spans="1:9" x14ac:dyDescent="0.4">
      <c r="A3439" t="str">
        <f>"総社ロータリークラブ"</f>
        <v>総社ロータリークラブ</v>
      </c>
      <c r="B3439" s="1" t="str">
        <f t="shared" si="177"/>
        <v>総社ロータリークラブ</v>
      </c>
      <c r="C3439" t="str">
        <f>"ソウジャ ロータリー クラブ"</f>
        <v>ソウジャ ロータリー クラブ</v>
      </c>
      <c r="D3439" t="str">
        <f>"総社ロータリークラブ"</f>
        <v>総社ロータリークラブ</v>
      </c>
      <c r="E3439" t="str">
        <f>"ソウジャ ロータリー クラブ"</f>
        <v>ソウジャ ロータリー クラブ</v>
      </c>
      <c r="F3439" t="str">
        <f t="shared" si="178"/>
        <v>総社</v>
      </c>
      <c r="G3439" t="str">
        <f>"週刊"</f>
        <v>週刊</v>
      </c>
      <c r="H3439" t="str">
        <f>"2002222283853"</f>
        <v>2002222283853</v>
      </c>
      <c r="I3439" t="str">
        <f>HYPERLINK("#", "https://opac.libnet.pref.okayama.jp/licsxp-opac/WOpacMsgNewListToTifTilDetailAction.do?tilcod=2002222283853")</f>
        <v>https://opac.libnet.pref.okayama.jp/licsxp-opac/WOpacMsgNewListToTifTilDetailAction.do?tilcod=2002222283853</v>
      </c>
    </row>
    <row r="3440" spans="1:9" x14ac:dyDescent="0.4">
      <c r="A3440" t="str">
        <f>"[総社市]議会だより"</f>
        <v>[総社市]議会だより</v>
      </c>
      <c r="B3440" s="1" t="str">
        <f t="shared" si="177"/>
        <v>[総社市]議会だより</v>
      </c>
      <c r="C3440" t="str">
        <f>"ソウジャシ ギカイ ダヨリ"</f>
        <v>ソウジャシ ギカイ ダヨリ</v>
      </c>
      <c r="D3440" t="str">
        <f>"総社市議会事務局"</f>
        <v>総社市議会事務局</v>
      </c>
      <c r="E3440" t="str">
        <f>"ソウジャシギカイ ジムキョク"</f>
        <v>ソウジャシギカイ ジムキョク</v>
      </c>
      <c r="F3440" t="str">
        <f t="shared" si="178"/>
        <v>総社</v>
      </c>
      <c r="G3440" t="str">
        <f>"その他"</f>
        <v>その他</v>
      </c>
      <c r="H3440" t="str">
        <f>"2002222281091"</f>
        <v>2002222281091</v>
      </c>
      <c r="I3440" t="str">
        <f>HYPERLINK("#", "https://opac.libnet.pref.okayama.jp/licsxp-opac/WOpacMsgNewListToTifTilDetailAction.do?tilcod=2002222281091")</f>
        <v>https://opac.libnet.pref.okayama.jp/licsxp-opac/WOpacMsgNewListToTifTilDetailAction.do?tilcod=2002222281091</v>
      </c>
    </row>
    <row r="3441" spans="1:9" x14ac:dyDescent="0.4">
      <c r="A3441" t="str">
        <f>"総社市産業経済時報"</f>
        <v>総社市産業経済時報</v>
      </c>
      <c r="B3441" s="1" t="str">
        <f t="shared" si="177"/>
        <v>総社市産業経済時報</v>
      </c>
      <c r="C3441" t="str">
        <f>"ソウジャシ サンギョウ ケイザイ ジホウ"</f>
        <v>ソウジャシ サンギョウ ケイザイ ジホウ</v>
      </c>
      <c r="D3441" t="str">
        <f>"総社商工会議所"</f>
        <v>総社商工会議所</v>
      </c>
      <c r="E3441" t="str">
        <f>"ソウジャ ショウコウ カイギショ"</f>
        <v>ソウジャ ショウコウ カイギショ</v>
      </c>
      <c r="F3441" t="str">
        <f>"[総社]"</f>
        <v>[総社]</v>
      </c>
      <c r="G3441" t="str">
        <f>"頻度不明"</f>
        <v>頻度不明</v>
      </c>
      <c r="H3441" t="str">
        <f>"2002222331417"</f>
        <v>2002222331417</v>
      </c>
      <c r="I3441" t="str">
        <f>HYPERLINK("#", "https://opac.libnet.pref.okayama.jp/licsxp-opac/WOpacMsgNewListToTifTilDetailAction.do?tilcod=2002222331417")</f>
        <v>https://opac.libnet.pref.okayama.jp/licsxp-opac/WOpacMsgNewListToTifTilDetailAction.do?tilcod=2002222331417</v>
      </c>
    </row>
    <row r="3442" spans="1:9" x14ac:dyDescent="0.4">
      <c r="A3442" t="str">
        <f>"総社市・山手村・清音村合併協議会協議会だより"</f>
        <v>総社市・山手村・清音村合併協議会協議会だより</v>
      </c>
      <c r="B3442" s="1" t="str">
        <f t="shared" si="177"/>
        <v>総社市・山手村・清音村合併協議会協議会だより</v>
      </c>
      <c r="C3442" t="str">
        <f>"ソウジャシ　ヤマテソン　キヨネソン　ガッペイ　キョウギカイ　キョウギカイ　ダヨリ"</f>
        <v>ソウジャシ　ヤマテソン　キヨネソン　ガッペイ　キョウギカイ　キョウギカイ　ダヨリ</v>
      </c>
      <c r="D3442" t="str">
        <f>"総社市・山手村・清音村合併協議会"</f>
        <v>総社市・山手村・清音村合併協議会</v>
      </c>
      <c r="E3442" t="str">
        <f>"ソウジャシヤマテソンキヨネソンガッペイキョウギカイ"</f>
        <v>ソウジャシヤマテソンキヨネソンガッペイキョウギカイ</v>
      </c>
      <c r="F3442" t="str">
        <f>"総社"</f>
        <v>総社</v>
      </c>
      <c r="G3442" t="str">
        <f>"月刊"</f>
        <v>月刊</v>
      </c>
      <c r="H3442" t="str">
        <f>"2002222281924"</f>
        <v>2002222281924</v>
      </c>
      <c r="I3442" t="str">
        <f>HYPERLINK("#", "https://opac.libnet.pref.okayama.jp/licsxp-opac/WOpacMsgNewListToTifTilDetailAction.do?tilcod=2002222281924")</f>
        <v>https://opac.libnet.pref.okayama.jp/licsxp-opac/WOpacMsgNewListToTifTilDetailAction.do?tilcod=2002222281924</v>
      </c>
    </row>
    <row r="3443" spans="1:9" x14ac:dyDescent="0.4">
      <c r="A3443" t="str">
        <f>"そうじゃっ子；総社市子どもセンター新聞"</f>
        <v>そうじゃっ子；総社市子どもセンター新聞</v>
      </c>
      <c r="B3443" s="1" t="str">
        <f t="shared" si="177"/>
        <v>そうじゃっ子；総社市子どもセンター新聞</v>
      </c>
      <c r="C3443" t="str">
        <f>"ソウジャッコ＊ソウジャシ　コドモ　センター　シンブン"</f>
        <v>ソウジャッコ＊ソウジャシ　コドモ　センター　シンブン</v>
      </c>
      <c r="D3443" t="str">
        <f>"総社市子どもセンター協議会"</f>
        <v>総社市子どもセンター協議会</v>
      </c>
      <c r="E3443" t="str">
        <f>"ソウジャシコドモセンターキョウギカイ"</f>
        <v>ソウジャシコドモセンターキョウギカイ</v>
      </c>
      <c r="F3443" t="str">
        <f>"総社"</f>
        <v>総社</v>
      </c>
      <c r="G3443" t="str">
        <f>"頻度不明"</f>
        <v>頻度不明</v>
      </c>
      <c r="H3443" t="str">
        <f>"2002222285831"</f>
        <v>2002222285831</v>
      </c>
      <c r="I3443" t="str">
        <f>HYPERLINK("#", "https://opac.libnet.pref.okayama.jp/licsxp-opac/WOpacMsgNewListToTifTilDetailAction.do?tilcod=2002222285831")</f>
        <v>https://opac.libnet.pref.okayama.jp/licsxp-opac/WOpacMsgNewListToTifTilDetailAction.do?tilcod=2002222285831</v>
      </c>
    </row>
    <row r="3444" spans="1:9" x14ac:dyDescent="0.4">
      <c r="A3444" t="str">
        <f>"叢秀"</f>
        <v>叢秀</v>
      </c>
      <c r="B3444" s="1" t="str">
        <f t="shared" si="177"/>
        <v>叢秀</v>
      </c>
      <c r="C3444" t="str">
        <f>"ソウシュウ"</f>
        <v>ソウシュウ</v>
      </c>
      <c r="D3444" t="str">
        <f>"週営堂"</f>
        <v>週営堂</v>
      </c>
      <c r="E3444" t="str">
        <f>"シュウエイドウ"</f>
        <v>シュウエイドウ</v>
      </c>
      <c r="F3444" t="str">
        <f>""</f>
        <v/>
      </c>
      <c r="G3444" t="str">
        <f>"頻度不明"</f>
        <v>頻度不明</v>
      </c>
      <c r="H3444" t="str">
        <f>"2002222283813"</f>
        <v>2002222283813</v>
      </c>
      <c r="I3444" t="str">
        <f>HYPERLINK("#", "https://opac.libnet.pref.okayama.jp/licsxp-opac/WOpacMsgNewListToTifTilDetailAction.do?tilcod=2002222283813")</f>
        <v>https://opac.libnet.pref.okayama.jp/licsxp-opac/WOpacMsgNewListToTifTilDetailAction.do?tilcod=2002222283813</v>
      </c>
    </row>
    <row r="3445" spans="1:9" x14ac:dyDescent="0.4">
      <c r="A3445" t="str">
        <f>"創潤"</f>
        <v>創潤</v>
      </c>
      <c r="B3445" s="1" t="str">
        <f t="shared" si="177"/>
        <v>創潤</v>
      </c>
      <c r="C3445" t="str">
        <f>"ソウジュン"</f>
        <v>ソウジュン</v>
      </c>
      <c r="D3445" t="str">
        <f>"創作屋・創潤発行委員会"</f>
        <v>創作屋・創潤発行委員会</v>
      </c>
      <c r="E3445" t="str">
        <f>"ソウサクヤソウジュンハッコウイインカイ"</f>
        <v>ソウサクヤソウジュンハッコウイインカイ</v>
      </c>
      <c r="F3445" t="str">
        <f>"〔岡山〕"</f>
        <v>〔岡山〕</v>
      </c>
      <c r="G3445" t="str">
        <f>"頻度不明"</f>
        <v>頻度不明</v>
      </c>
      <c r="H3445" t="str">
        <f>"2002222301684"</f>
        <v>2002222301684</v>
      </c>
      <c r="I3445" t="str">
        <f>HYPERLINK("#", "https://opac.libnet.pref.okayama.jp/licsxp-opac/WOpacMsgNewListToTifTilDetailAction.do?tilcod=2002222301684")</f>
        <v>https://opac.libnet.pref.okayama.jp/licsxp-opac/WOpacMsgNewListToTifTilDetailAction.do?tilcod=2002222301684</v>
      </c>
    </row>
    <row r="3446" spans="1:9" x14ac:dyDescent="0.4">
      <c r="A3446" t="str">
        <f>"創生；生徒指導部会会誌"</f>
        <v>創生；生徒指導部会会誌</v>
      </c>
      <c r="B3446" s="1" t="str">
        <f t="shared" si="177"/>
        <v>創生；生徒指導部会会誌</v>
      </c>
      <c r="C3446" t="str">
        <f>"ソウセイ＊セイト　シドウ　ブカイ　カイシ"</f>
        <v>ソウセイ＊セイト　シドウ　ブカイ　カイシ</v>
      </c>
      <c r="D3446" t="str">
        <f>"岡山県中学校教育研究会生徒指導部会"</f>
        <v>岡山県中学校教育研究会生徒指導部会</v>
      </c>
      <c r="E3446" t="str">
        <f>"オカヤマケンチュウガッコウキョウイクケンキュウカイセイトシドウブカイ"</f>
        <v>オカヤマケンチュウガッコウキョウイクケンキュウカイセイトシドウブカイ</v>
      </c>
      <c r="F3446" t="str">
        <f>"岡山"</f>
        <v>岡山</v>
      </c>
      <c r="G3446" t="str">
        <f>"年刊"</f>
        <v>年刊</v>
      </c>
      <c r="H3446" t="str">
        <f>"2002222301448"</f>
        <v>2002222301448</v>
      </c>
      <c r="I3446" t="str">
        <f>HYPERLINK("#", "https://opac.libnet.pref.okayama.jp/licsxp-opac/WOpacMsgNewListToTifTilDetailAction.do?tilcod=2002222301448")</f>
        <v>https://opac.libnet.pref.okayama.jp/licsxp-opac/WOpacMsgNewListToTifTilDetailAction.do?tilcod=2002222301448</v>
      </c>
    </row>
    <row r="3447" spans="1:9" x14ac:dyDescent="0.4">
      <c r="A3447" t="str">
        <f>"創造"</f>
        <v>創造</v>
      </c>
      <c r="B3447" s="1" t="str">
        <f t="shared" si="177"/>
        <v>創造</v>
      </c>
      <c r="C3447" t="str">
        <f>"ソウゾウ"</f>
        <v>ソウゾウ</v>
      </c>
      <c r="D3447" t="str">
        <f>"加茂川町立御北中学校"</f>
        <v>加茂川町立御北中学校</v>
      </c>
      <c r="E3447" t="str">
        <f>"カモガワチョウリツミホクチュウガッコウ"</f>
        <v>カモガワチョウリツミホクチュウガッコウ</v>
      </c>
      <c r="F3447" t="str">
        <f>"加茂川町（御津郡）"</f>
        <v>加茂川町（御津郡）</v>
      </c>
      <c r="G3447" t="str">
        <f>"年刊"</f>
        <v>年刊</v>
      </c>
      <c r="H3447" t="str">
        <f>"2002222283823"</f>
        <v>2002222283823</v>
      </c>
      <c r="I3447" t="str">
        <f>HYPERLINK("#", "https://opac.libnet.pref.okayama.jp/licsxp-opac/WOpacMsgNewListToTifTilDetailAction.do?tilcod=2002222283823")</f>
        <v>https://opac.libnet.pref.okayama.jp/licsxp-opac/WOpacMsgNewListToTifTilDetailAction.do?tilcod=2002222283823</v>
      </c>
    </row>
    <row r="3448" spans="1:9" x14ac:dyDescent="0.4">
      <c r="A3448" t="str">
        <f>"帚苔"</f>
        <v>帚苔</v>
      </c>
      <c r="B3448" s="1" t="str">
        <f t="shared" si="177"/>
        <v>帚苔</v>
      </c>
      <c r="C3448" t="str">
        <f>"ソウタイ"</f>
        <v>ソウタイ</v>
      </c>
      <c r="D3448" t="str">
        <f>"岡山文化協会"</f>
        <v>岡山文化協会</v>
      </c>
      <c r="E3448" t="str">
        <f>"オカヤマブンカキョウカイ"</f>
        <v>オカヤマブンカキョウカイ</v>
      </c>
      <c r="F3448" t="str">
        <f>""</f>
        <v/>
      </c>
      <c r="G3448" t="str">
        <f>"不定期刊"</f>
        <v>不定期刊</v>
      </c>
      <c r="H3448" t="str">
        <f>"2002222287183"</f>
        <v>2002222287183</v>
      </c>
      <c r="I3448" t="str">
        <f>HYPERLINK("#", "https://opac.libnet.pref.okayama.jp/licsxp-opac/WOpacMsgNewListToTifTilDetailAction.do?tilcod=2002222287183")</f>
        <v>https://opac.libnet.pref.okayama.jp/licsxp-opac/WOpacMsgNewListToTifTilDetailAction.do?tilcod=2002222287183</v>
      </c>
    </row>
    <row r="3449" spans="1:9" x14ac:dyDescent="0.4">
      <c r="A3449" t="str">
        <f>"相談ネットワーク通信"</f>
        <v>相談ネットワーク通信</v>
      </c>
      <c r="B3449" s="1" t="str">
        <f t="shared" si="177"/>
        <v>相談ネットワーク通信</v>
      </c>
      <c r="C3449" t="str">
        <f>"ソウダン　ネットワーク　ツウシン"</f>
        <v>ソウダン　ネットワーク　ツウシン</v>
      </c>
      <c r="D3449" t="str">
        <f>"子育て・教育なんでも相談ネットワーク"</f>
        <v>子育て・教育なんでも相談ネットワーク</v>
      </c>
      <c r="E3449" t="str">
        <f>"コソダテ キョウイク ナンデモ ソウダン ネットワーク"</f>
        <v>コソダテ キョウイク ナンデモ ソウダン ネットワーク</v>
      </c>
      <c r="F3449" t="str">
        <f>"岡山"</f>
        <v>岡山</v>
      </c>
      <c r="G3449" t="str">
        <f>"頻度不明"</f>
        <v>頻度不明</v>
      </c>
      <c r="H3449" t="str">
        <f>"2002222302302"</f>
        <v>2002222302302</v>
      </c>
      <c r="I3449" t="str">
        <f>HYPERLINK("#", "https://opac.libnet.pref.okayama.jp/licsxp-opac/WOpacMsgNewListToTifTilDetailAction.do?tilcod=2002222302302")</f>
        <v>https://opac.libnet.pref.okayama.jp/licsxp-opac/WOpacMsgNewListToTifTilDetailAction.do?tilcod=2002222302302</v>
      </c>
    </row>
    <row r="3450" spans="1:9" x14ac:dyDescent="0.4">
      <c r="A3450" t="str">
        <f>"操中校報"</f>
        <v>操中校報</v>
      </c>
      <c r="B3450" s="1" t="str">
        <f t="shared" si="177"/>
        <v>操中校報</v>
      </c>
      <c r="C3450" t="str">
        <f>"ソウチュウ コウホウ"</f>
        <v>ソウチュウ コウホウ</v>
      </c>
      <c r="D3450" t="str">
        <f>"岡山市立操南中学校新聞部"</f>
        <v>岡山市立操南中学校新聞部</v>
      </c>
      <c r="E3450" t="str">
        <f>"オカヤマシリツ ソウナン チュウガッコウ"</f>
        <v>オカヤマシリツ ソウナン チュウガッコウ</v>
      </c>
      <c r="F3450" t="str">
        <f>"岡山"</f>
        <v>岡山</v>
      </c>
      <c r="G3450" t="str">
        <f>"頻度不明"</f>
        <v>頻度不明</v>
      </c>
      <c r="H3450" t="str">
        <f>"2002222330486"</f>
        <v>2002222330486</v>
      </c>
      <c r="I3450" t="str">
        <f>HYPERLINK("#", "https://opac.libnet.pref.okayama.jp/licsxp-opac/WOpacMsgNewListToTifTilDetailAction.do?tilcod=2002222330486")</f>
        <v>https://opac.libnet.pref.okayama.jp/licsxp-opac/WOpacMsgNewListToTifTilDetailAction.do?tilcod=2002222330486</v>
      </c>
    </row>
    <row r="3451" spans="1:9" x14ac:dyDescent="0.4">
      <c r="A3451" t="str">
        <f>"操南公民館だより"</f>
        <v>操南公民館だより</v>
      </c>
      <c r="B3451" s="1" t="str">
        <f t="shared" si="177"/>
        <v>操南公民館だより</v>
      </c>
      <c r="C3451" t="str">
        <f>"ソウナン コウミンカン ダヨリ"</f>
        <v>ソウナン コウミンカン ダヨリ</v>
      </c>
      <c r="D3451" t="str">
        <f>"岡山市立操南公民館"</f>
        <v>岡山市立操南公民館</v>
      </c>
      <c r="E3451" t="str">
        <f>"オカヤマシリツ ソウナン コウミンカン"</f>
        <v>オカヤマシリツ ソウナン コウミンカン</v>
      </c>
      <c r="F3451" t="str">
        <f>""</f>
        <v/>
      </c>
      <c r="G3451" t="str">
        <f>"隔月刊"</f>
        <v>隔月刊</v>
      </c>
      <c r="H3451" t="str">
        <f>"2002222331507"</f>
        <v>2002222331507</v>
      </c>
      <c r="I3451" t="str">
        <f>HYPERLINK("#", "https://opac.libnet.pref.okayama.jp/licsxp-opac/WOpacMsgNewListToTifTilDetailAction.do?tilcod=2002222331507")</f>
        <v>https://opac.libnet.pref.okayama.jp/licsxp-opac/WOpacMsgNewListToTifTilDetailAction.do?tilcod=2002222331507</v>
      </c>
    </row>
    <row r="3452" spans="1:9" x14ac:dyDescent="0.4">
      <c r="A3452" t="str">
        <f>"操南福祉だより"</f>
        <v>操南福祉だより</v>
      </c>
      <c r="B3452" s="1" t="str">
        <f t="shared" si="177"/>
        <v>操南福祉だより</v>
      </c>
      <c r="C3452" t="str">
        <f>"ソウナン フクシ ダヨリ"</f>
        <v>ソウナン フクシ ダヨリ</v>
      </c>
      <c r="D3452" t="str">
        <f>"操南学区社会福祉協議会"</f>
        <v>操南学区社会福祉協議会</v>
      </c>
      <c r="E3452" t="str">
        <f>"ソウナン ガック シャカイ フクシ キョウギカイ"</f>
        <v>ソウナン ガック シャカイ フクシ キョウギカイ</v>
      </c>
      <c r="F3452" t="str">
        <f>"岡山"</f>
        <v>岡山</v>
      </c>
      <c r="G3452" t="str">
        <f>"頻度不明"</f>
        <v>頻度不明</v>
      </c>
      <c r="H3452" t="str">
        <f>"2002222316586"</f>
        <v>2002222316586</v>
      </c>
      <c r="I3452" t="str">
        <f>HYPERLINK("#", "https://opac.libnet.pref.okayama.jp/licsxp-opac/WOpacMsgNewListToTifTilDetailAction.do?tilcod=2002222316586")</f>
        <v>https://opac.libnet.pref.okayama.jp/licsxp-opac/WOpacMsgNewListToTifTilDetailAction.do?tilcod=2002222316586</v>
      </c>
    </row>
    <row r="3453" spans="1:9" x14ac:dyDescent="0.4">
      <c r="A3453" t="str">
        <f>"壮年"</f>
        <v>壮年</v>
      </c>
      <c r="B3453" s="1" t="str">
        <f t="shared" si="177"/>
        <v>壮年</v>
      </c>
      <c r="C3453" t="str">
        <f>"ソウネン"</f>
        <v>ソウネン</v>
      </c>
      <c r="D3453" t="str">
        <f>"壮年会"</f>
        <v>壮年会</v>
      </c>
      <c r="E3453" t="str">
        <f>"ソウネンカイ"</f>
        <v>ソウネンカイ</v>
      </c>
      <c r="F3453" t="str">
        <f>"岡山"</f>
        <v>岡山</v>
      </c>
      <c r="G3453" t="str">
        <f>"月刊"</f>
        <v>月刊</v>
      </c>
      <c r="H3453" t="str">
        <f>"2002222301353"</f>
        <v>2002222301353</v>
      </c>
      <c r="I3453" t="str">
        <f>HYPERLINK("#", "https://opac.libnet.pref.okayama.jp/licsxp-opac/WOpacMsgNewListToTifTilDetailAction.do?tilcod=2002222301353")</f>
        <v>https://opac.libnet.pref.okayama.jp/licsxp-opac/WOpacMsgNewListToTifTilDetailAction.do?tilcod=2002222301353</v>
      </c>
    </row>
    <row r="3454" spans="1:9" x14ac:dyDescent="0.4">
      <c r="A3454" t="str">
        <f>"相貌"</f>
        <v>相貌</v>
      </c>
      <c r="B3454" s="1" t="str">
        <f t="shared" si="177"/>
        <v>相貌</v>
      </c>
      <c r="C3454" t="str">
        <f>"ソウボウ"</f>
        <v>ソウボウ</v>
      </c>
      <c r="D3454" t="str">
        <f>"玉島高等学校文芸部"</f>
        <v>玉島高等学校文芸部</v>
      </c>
      <c r="E3454" t="str">
        <f>"タマシマコウトウガッコウブンゲイブ"</f>
        <v>タマシマコウトウガッコウブンゲイブ</v>
      </c>
      <c r="F3454" t="str">
        <f>"玉島"</f>
        <v>玉島</v>
      </c>
      <c r="G3454" t="str">
        <f>"頻度不明"</f>
        <v>頻度不明</v>
      </c>
      <c r="H3454" t="str">
        <f>"2002222285211"</f>
        <v>2002222285211</v>
      </c>
      <c r="I3454" t="str">
        <f>HYPERLINK("#", "https://opac.libnet.pref.okayama.jp/licsxp-opac/WOpacMsgNewListToTifTilDetailAction.do?tilcod=2002222285211")</f>
        <v>https://opac.libnet.pref.okayama.jp/licsxp-opac/WOpacMsgNewListToTifTilDetailAction.do?tilcod=2002222285211</v>
      </c>
    </row>
    <row r="3455" spans="1:9" x14ac:dyDescent="0.4">
      <c r="A3455" t="str">
        <f>"操友"</f>
        <v>操友</v>
      </c>
      <c r="B3455" s="1" t="str">
        <f t="shared" si="177"/>
        <v>操友</v>
      </c>
      <c r="C3455" t="str">
        <f>"ソウユウ"</f>
        <v>ソウユウ</v>
      </c>
      <c r="D3455" t="str">
        <f>"〔操山会〕"</f>
        <v>〔操山会〕</v>
      </c>
      <c r="E3455" t="str">
        <f>"ソウユウカイ"</f>
        <v>ソウユウカイ</v>
      </c>
      <c r="F3455" t="str">
        <f>"岡山"</f>
        <v>岡山</v>
      </c>
      <c r="G3455" t="str">
        <f>"頻度不明"</f>
        <v>頻度不明</v>
      </c>
      <c r="H3455" t="str">
        <f>"2002222301498"</f>
        <v>2002222301498</v>
      </c>
      <c r="I3455" t="str">
        <f>HYPERLINK("#", "https://opac.libnet.pref.okayama.jp/licsxp-opac/WOpacMsgNewListToTifTilDetailAction.do?tilcod=2002222301498")</f>
        <v>https://opac.libnet.pref.okayama.jp/licsxp-opac/WOpacMsgNewListToTifTilDetailAction.do?tilcod=2002222301498</v>
      </c>
    </row>
    <row r="3456" spans="1:9" x14ac:dyDescent="0.4">
      <c r="A3456" t="str">
        <f>"蒼鷹(旧制六高野球部)"</f>
        <v>蒼鷹(旧制六高野球部)</v>
      </c>
      <c r="B3456" s="1" t="str">
        <f t="shared" si="177"/>
        <v>蒼鷹(旧制六高野球部)</v>
      </c>
      <c r="C3456" t="str">
        <f>"ソウヨウ キュウセイ ロッコウ ヤキュウブ"</f>
        <v>ソウヨウ キュウセイ ロッコウ ヤキュウブ</v>
      </c>
      <c r="D3456" t="str">
        <f>"蒼鷹会関西支部"</f>
        <v>蒼鷹会関西支部</v>
      </c>
      <c r="E3456" t="str">
        <f>"ソウヨウカイ カンサイ シブ"</f>
        <v>ソウヨウカイ カンサイ シブ</v>
      </c>
      <c r="F3456" t="str">
        <f>"宝塚"</f>
        <v>宝塚</v>
      </c>
      <c r="G3456" t="str">
        <f>"頻度不明"</f>
        <v>頻度不明</v>
      </c>
      <c r="H3456" t="str">
        <f>"2002222335546"</f>
        <v>2002222335546</v>
      </c>
      <c r="I3456" t="str">
        <f>HYPERLINK("#", "https://opac.libnet.pref.okayama.jp/licsxp-opac/WOpacMsgNewListToTifTilDetailAction.do?tilcod=2002222335546")</f>
        <v>https://opac.libnet.pref.okayama.jp/licsxp-opac/WOpacMsgNewListToTifTilDetailAction.do?tilcod=2002222335546</v>
      </c>
    </row>
    <row r="3457" spans="1:9" x14ac:dyDescent="0.4">
      <c r="A3457" t="str">
        <f>"ＳＯＵＲＣＥ（ソース）"</f>
        <v>ＳＯＵＲＣＥ（ソース）</v>
      </c>
      <c r="B3457" s="1" t="str">
        <f t="shared" si="177"/>
        <v>ＳＯＵＲＣＥ（ソース）</v>
      </c>
      <c r="C3457" t="str">
        <f>"ソース"</f>
        <v>ソース</v>
      </c>
      <c r="D3457" t="str">
        <f>"ライフワークス"</f>
        <v>ライフワークス</v>
      </c>
      <c r="E3457" t="str">
        <f>"ライフワークス"</f>
        <v>ライフワークス</v>
      </c>
      <c r="F3457" t="str">
        <f>"岡山"</f>
        <v>岡山</v>
      </c>
      <c r="G3457" t="str">
        <f>"月刊"</f>
        <v>月刊</v>
      </c>
      <c r="H3457" t="str">
        <f>"2002222291781"</f>
        <v>2002222291781</v>
      </c>
      <c r="I3457" t="str">
        <f>HYPERLINK("#", "https://opac.libnet.pref.okayama.jp/licsxp-opac/WOpacMsgNewListToTifTilDetailAction.do?tilcod=2002222291781")</f>
        <v>https://opac.libnet.pref.okayama.jp/licsxp-opac/WOpacMsgNewListToTifTilDetailAction.do?tilcod=2002222291781</v>
      </c>
    </row>
    <row r="3458" spans="1:9" x14ac:dyDescent="0.4">
      <c r="A3458" t="str">
        <f>"疎開派"</f>
        <v>疎開派</v>
      </c>
      <c r="B3458" s="1" t="str">
        <f t="shared" si="177"/>
        <v>疎開派</v>
      </c>
      <c r="C3458" t="str">
        <f>"ソカイハ"</f>
        <v>ソカイハ</v>
      </c>
      <c r="D3458" t="str">
        <f>"ゆり・はじめ"</f>
        <v>ゆり・はじめ</v>
      </c>
      <c r="E3458" t="str">
        <f>"ユリハジメ"</f>
        <v>ユリハジメ</v>
      </c>
      <c r="F3458" t="str">
        <f>"岡山"</f>
        <v>岡山</v>
      </c>
      <c r="G3458" t="str">
        <f>"頻度不明"</f>
        <v>頻度不明</v>
      </c>
      <c r="H3458" t="str">
        <f>"2002222283833"</f>
        <v>2002222283833</v>
      </c>
      <c r="I3458" t="str">
        <f>HYPERLINK("#", "https://opac.libnet.pref.okayama.jp/licsxp-opac/WOpacMsgNewListToTifTilDetailAction.do?tilcod=2002222283833")</f>
        <v>https://opac.libnet.pref.okayama.jp/licsxp-opac/WOpacMsgNewListToTifTilDetailAction.do?tilcod=2002222283833</v>
      </c>
    </row>
    <row r="3459" spans="1:9" x14ac:dyDescent="0.4">
      <c r="A3459" t="str">
        <f>"足跡"</f>
        <v>足跡</v>
      </c>
      <c r="B3459" s="1" t="str">
        <f t="shared" si="177"/>
        <v>足跡</v>
      </c>
      <c r="C3459" t="str">
        <f>"ソクセキ"</f>
        <v>ソクセキ</v>
      </c>
      <c r="D3459" t="str">
        <f>"岡山二高文学部"</f>
        <v>岡山二高文学部</v>
      </c>
      <c r="E3459" t="str">
        <f>"オカヤマニコウブンガクプ"</f>
        <v>オカヤマニコウブンガクプ</v>
      </c>
      <c r="F3459" t="str">
        <f>"岡山"</f>
        <v>岡山</v>
      </c>
      <c r="G3459" t="str">
        <f>"頻度不明"</f>
        <v>頻度不明</v>
      </c>
      <c r="H3459" t="str">
        <f>"2002222301740"</f>
        <v>2002222301740</v>
      </c>
      <c r="I3459" t="str">
        <f>HYPERLINK("#", "https://opac.libnet.pref.okayama.jp/licsxp-opac/WOpacMsgNewListToTifTilDetailAction.do?tilcod=2002222301740")</f>
        <v>https://opac.libnet.pref.okayama.jp/licsxp-opac/WOpacMsgNewListToTifTilDetailAction.do?tilcod=2002222301740</v>
      </c>
    </row>
    <row r="3460" spans="1:9" x14ac:dyDescent="0.4">
      <c r="A3460" t="str">
        <f>"速報 吉備"</f>
        <v>速報 吉備</v>
      </c>
      <c r="B3460" s="1" t="str">
        <f t="shared" ref="B3460:B3523" si="179">HYPERLINK("#", A3460)</f>
        <v>速報 吉備</v>
      </c>
      <c r="C3460" t="str">
        <f>"ソクホウ キビ"</f>
        <v>ソクホウ キビ</v>
      </c>
      <c r="D3460" t="str">
        <f>"東京吉備文献研究会"</f>
        <v>東京吉備文献研究会</v>
      </c>
      <c r="E3460" t="str">
        <f>"トウキョウ キビ ブンケン ケンキュウカイ"</f>
        <v>トウキョウ キビ ブンケン ケンキュウカイ</v>
      </c>
      <c r="F3460" t="str">
        <f>"東京"</f>
        <v>東京</v>
      </c>
      <c r="G3460" t="str">
        <f>"頻度不明"</f>
        <v>頻度不明</v>
      </c>
      <c r="H3460" t="str">
        <f>"2002222313368"</f>
        <v>2002222313368</v>
      </c>
      <c r="I3460" t="str">
        <f>HYPERLINK("#", "https://opac.libnet.pref.okayama.jp/licsxp-opac/WOpacMsgNewListToTifTilDetailAction.do?tilcod=2002222313368")</f>
        <v>https://opac.libnet.pref.okayama.jp/licsxp-opac/WOpacMsgNewListToTifTilDetailAction.do?tilcod=2002222313368</v>
      </c>
    </row>
    <row r="3461" spans="1:9" x14ac:dyDescent="0.4">
      <c r="A3461" t="str">
        <f>"蔬菜"</f>
        <v>蔬菜</v>
      </c>
      <c r="B3461" s="1" t="str">
        <f t="shared" si="179"/>
        <v>蔬菜</v>
      </c>
      <c r="C3461" t="str">
        <f>"ソサイ"</f>
        <v>ソサイ</v>
      </c>
      <c r="D3461" t="str">
        <f>"全国農業協同組合連合会岡山県本部"</f>
        <v>全国農業協同組合連合会岡山県本部</v>
      </c>
      <c r="E3461" t="str">
        <f>"ゼンコク ノウギョウ キョウドウ クミアイ レンゴウカイ オカヤマケン ホンブ"</f>
        <v>ゼンコク ノウギョウ キョウドウ クミアイ レンゴウカイ オカヤマケン ホンブ</v>
      </c>
      <c r="F3461" t="str">
        <f>"岡山"</f>
        <v>岡山</v>
      </c>
      <c r="G3461" t="str">
        <f>"隔月刊"</f>
        <v>隔月刊</v>
      </c>
      <c r="H3461" t="str">
        <f>"2002222283843"</f>
        <v>2002222283843</v>
      </c>
      <c r="I3461" t="str">
        <f>HYPERLINK("#", "https://opac.libnet.pref.okayama.jp/licsxp-opac/WOpacMsgNewListToTifTilDetailAction.do?tilcod=2002222283843")</f>
        <v>https://opac.libnet.pref.okayama.jp/licsxp-opac/WOpacMsgNewListToTifTilDetailAction.do?tilcod=2002222283843</v>
      </c>
    </row>
    <row r="3462" spans="1:9" x14ac:dyDescent="0.4">
      <c r="A3462" t="str">
        <f>"そ称"</f>
        <v>そ称</v>
      </c>
      <c r="B3462" s="1" t="str">
        <f t="shared" si="179"/>
        <v>そ称</v>
      </c>
      <c r="C3462" t="str">
        <f>"ソショウ"</f>
        <v>ソショウ</v>
      </c>
      <c r="D3462" t="str">
        <f>"曽根川柳会"</f>
        <v>曽根川柳会</v>
      </c>
      <c r="E3462" t="str">
        <f>"ソネセンリュウカイ"</f>
        <v>ソネセンリュウカイ</v>
      </c>
      <c r="F3462" t="str">
        <f>""</f>
        <v/>
      </c>
      <c r="G3462" t="str">
        <f>"頻度不明"</f>
        <v>頻度不明</v>
      </c>
      <c r="H3462" t="str">
        <f>"2002222283873"</f>
        <v>2002222283873</v>
      </c>
      <c r="I3462" t="str">
        <f>HYPERLINK("#", "https://opac.libnet.pref.okayama.jp/licsxp-opac/WOpacMsgNewListToTifTilDetailAction.do?tilcod=2002222283873")</f>
        <v>https://opac.libnet.pref.okayama.jp/licsxp-opac/WOpacMsgNewListToTifTilDetailAction.do?tilcod=2002222283873</v>
      </c>
    </row>
    <row r="3463" spans="1:9" x14ac:dyDescent="0.4">
      <c r="A3463" t="str">
        <f>"育てる会会報"</f>
        <v>育てる会会報</v>
      </c>
      <c r="B3463" s="1" t="str">
        <f t="shared" si="179"/>
        <v>育てる会会報</v>
      </c>
      <c r="C3463" t="str">
        <f>"ソダテル　カイ　カイホウ"</f>
        <v>ソダテル　カイ　カイホウ</v>
      </c>
      <c r="D3463" t="str">
        <f>"岡山県自閉症児を育てる会"</f>
        <v>岡山県自閉症児を育てる会</v>
      </c>
      <c r="E3463" t="str">
        <f>"オカヤマケンジヘイショウジオソダテルカイ"</f>
        <v>オカヤマケンジヘイショウジオソダテルカイ</v>
      </c>
      <c r="F3463" t="str">
        <f>"赤磐"</f>
        <v>赤磐</v>
      </c>
      <c r="G3463" t="str">
        <f>"月刊"</f>
        <v>月刊</v>
      </c>
      <c r="H3463" t="str">
        <f>"2002222329587"</f>
        <v>2002222329587</v>
      </c>
      <c r="I3463" t="str">
        <f>HYPERLINK("#", "https://opac.libnet.pref.okayama.jp/licsxp-opac/WOpacMsgNewListToTifTilDetailAction.do?tilcod=2002222329587")</f>
        <v>https://opac.libnet.pref.okayama.jp/licsxp-opac/WOpacMsgNewListToTifTilDetailAction.do?tilcod=2002222329587</v>
      </c>
    </row>
    <row r="3464" spans="1:9" x14ac:dyDescent="0.4">
      <c r="A3464" t="str">
        <f>"園之消息(園の音づれ)"</f>
        <v>園之消息(園の音づれ)</v>
      </c>
      <c r="B3464" s="1" t="str">
        <f t="shared" si="179"/>
        <v>園之消息(園の音づれ)</v>
      </c>
      <c r="C3464" t="str">
        <f>"ソノ ノ オトズレ"</f>
        <v>ソノ ノ オトズレ</v>
      </c>
      <c r="D3464" t="str">
        <f>"順正高等女学校清馨会"</f>
        <v>順正高等女学校清馨会</v>
      </c>
      <c r="E3464" t="str">
        <f>"ジュンセイ コウトウ ジョガッコウ セイケイカイ"</f>
        <v>ジュンセイ コウトウ ジョガッコウ セイケイカイ</v>
      </c>
      <c r="F3464" t="str">
        <f>""</f>
        <v/>
      </c>
      <c r="G3464" t="str">
        <f>"頻度不明"</f>
        <v>頻度不明</v>
      </c>
      <c r="H3464" t="str">
        <f>"2002222280384"</f>
        <v>2002222280384</v>
      </c>
      <c r="I3464" t="str">
        <f>HYPERLINK("#", "https://opac.libnet.pref.okayama.jp/licsxp-opac/WOpacMsgNewListToTifTilDetailAction.do?tilcod=2002222280384")</f>
        <v>https://opac.libnet.pref.okayama.jp/licsxp-opac/WOpacMsgNewListToTifTilDetailAction.do?tilcod=2002222280384</v>
      </c>
    </row>
    <row r="3465" spans="1:9" x14ac:dyDescent="0.4">
      <c r="A3465" t="str">
        <f>"園の音信"</f>
        <v>園の音信</v>
      </c>
      <c r="B3465" s="1" t="str">
        <f t="shared" si="179"/>
        <v>園の音信</v>
      </c>
      <c r="C3465" t="str">
        <f>"ソノ ノ オトズレ"</f>
        <v>ソノ ノ オトズレ</v>
      </c>
      <c r="D3465" t="str">
        <f>"高梁順正女学校同窓会"</f>
        <v>高梁順正女学校同窓会</v>
      </c>
      <c r="E3465" t="str">
        <f>"タカハシジュンセイジョガッコウドウソウカイ"</f>
        <v>タカハシジュンセイジョガッコウドウソウカイ</v>
      </c>
      <c r="F3465" t="str">
        <f>""</f>
        <v/>
      </c>
      <c r="G3465" t="str">
        <f>"頻度不明"</f>
        <v>頻度不明</v>
      </c>
      <c r="H3465" t="str">
        <f>"2002222280394"</f>
        <v>2002222280394</v>
      </c>
      <c r="I3465" t="str">
        <f>HYPERLINK("#", "https://opac.libnet.pref.okayama.jp/licsxp-opac/WOpacMsgNewListToTifTilDetailAction.do?tilcod=2002222280394")</f>
        <v>https://opac.libnet.pref.okayama.jp/licsxp-opac/WOpacMsgNewListToTifTilDetailAction.do?tilcod=2002222280394</v>
      </c>
    </row>
    <row r="3466" spans="1:9" x14ac:dyDescent="0.4">
      <c r="A3466" t="str">
        <f>"そよかぜ ; 医療法人明芳会佐藤病院広報誌"</f>
        <v>そよかぜ ; 医療法人明芳会佐藤病院広報誌</v>
      </c>
      <c r="B3466" s="1" t="str">
        <f t="shared" si="179"/>
        <v>そよかぜ ; 医療法人明芳会佐藤病院広報誌</v>
      </c>
      <c r="C3466" t="str">
        <f>"ソヨカゼ イリョウ ホウジン メイホウカイ サトウ ビョウイン コウホウシ"</f>
        <v>ソヨカゼ イリョウ ホウジン メイホウカイ サトウ ビョウイン コウホウシ</v>
      </c>
      <c r="D3466" t="str">
        <f>"佐藤病院"</f>
        <v>佐藤病院</v>
      </c>
      <c r="E3466" t="str">
        <f>"サトウ ビョウイン"</f>
        <v>サトウ ビョウイン</v>
      </c>
      <c r="F3466" t="str">
        <f>"岡山"</f>
        <v>岡山</v>
      </c>
      <c r="G3466" t="str">
        <f>"季刊"</f>
        <v>季刊</v>
      </c>
      <c r="H3466" t="str">
        <f>"2002222332987"</f>
        <v>2002222332987</v>
      </c>
      <c r="I3466" t="str">
        <f>HYPERLINK("#", "https://opac.libnet.pref.okayama.jp/licsxp-opac/WOpacMsgNewListToTifTilDetailAction.do?tilcod=2002222332987")</f>
        <v>https://opac.libnet.pref.okayama.jp/licsxp-opac/WOpacMsgNewListToTifTilDetailAction.do?tilcod=2002222332987</v>
      </c>
    </row>
    <row r="3467" spans="1:9" x14ac:dyDescent="0.4">
      <c r="A3467" t="str">
        <f>"そよかぜ；国立病院機構南岡山医療センター広報誌"</f>
        <v>そよかぜ；国立病院機構南岡山医療センター広報誌</v>
      </c>
      <c r="B3467" s="1" t="str">
        <f t="shared" si="179"/>
        <v>そよかぜ；国立病院機構南岡山医療センター広報誌</v>
      </c>
      <c r="C3467" t="str">
        <f>"ソヨカゼ＊コクリツ ビョウイン キコウ ミナミ オカヤマ イリョウ センター コウホウシ"</f>
        <v>ソヨカゼ＊コクリツ ビョウイン キコウ ミナミ オカヤマ イリョウ センター コウホウシ</v>
      </c>
      <c r="D3467" t="str">
        <f>"国立病院機構南岡山医療センター"</f>
        <v>国立病院機構南岡山医療センター</v>
      </c>
      <c r="E3467" t="str">
        <f>"コクリツ ビョウイン キコウ ミナミ オカヤマ イリョウ センター"</f>
        <v>コクリツ ビョウイン キコウ ミナミ オカヤマ イリョウ センター</v>
      </c>
      <c r="F3467" t="str">
        <f>"早島町(都窪郡)"</f>
        <v>早島町(都窪郡)</v>
      </c>
      <c r="G3467" t="str">
        <f>"季刊"</f>
        <v>季刊</v>
      </c>
      <c r="H3467" t="str">
        <f>"2002222335747"</f>
        <v>2002222335747</v>
      </c>
      <c r="I3467" t="str">
        <f>HYPERLINK("#", "https://opac.libnet.pref.okayama.jp/licsxp-opac/WOpacMsgNewListToTifTilDetailAction.do?tilcod=2002222335747")</f>
        <v>https://opac.libnet.pref.okayama.jp/licsxp-opac/WOpacMsgNewListToTifTilDetailAction.do?tilcod=2002222335747</v>
      </c>
    </row>
    <row r="3468" spans="1:9" x14ac:dyDescent="0.4">
      <c r="A3468" t="str">
        <f>"ターミナルＯＨＫ"</f>
        <v>ターミナルＯＨＫ</v>
      </c>
      <c r="B3468" s="1" t="str">
        <f t="shared" si="179"/>
        <v>ターミナルＯＨＫ</v>
      </c>
      <c r="C3468" t="str">
        <f>"ターミナル　オーエイチケー"</f>
        <v>ターミナル　オーエイチケー</v>
      </c>
      <c r="D3468" t="str">
        <f>"テレビ岡山"</f>
        <v>テレビ岡山</v>
      </c>
      <c r="E3468" t="str">
        <f>"テレビオカヤマ"</f>
        <v>テレビオカヤマ</v>
      </c>
      <c r="F3468" t="str">
        <f>""</f>
        <v/>
      </c>
      <c r="G3468" t="str">
        <f>"頻度不明"</f>
        <v>頻度不明</v>
      </c>
      <c r="H3468" t="str">
        <f>"2002222284153"</f>
        <v>2002222284153</v>
      </c>
      <c r="I3468" t="str">
        <f>HYPERLINK("#", "https://opac.libnet.pref.okayama.jp/licsxp-opac/WOpacMsgNewListToTifTilDetailAction.do?tilcod=2002222284153")</f>
        <v>https://opac.libnet.pref.okayama.jp/licsxp-opac/WOpacMsgNewListToTifTilDetailAction.do?tilcod=2002222284153</v>
      </c>
    </row>
    <row r="3469" spans="1:9" x14ac:dyDescent="0.4">
      <c r="A3469" t="str">
        <f>"大安寺；岡山大安寺高校新聞"</f>
        <v>大安寺；岡山大安寺高校新聞</v>
      </c>
      <c r="B3469" s="1" t="str">
        <f t="shared" si="179"/>
        <v>大安寺；岡山大安寺高校新聞</v>
      </c>
      <c r="C3469" t="str">
        <f>"ダイアンジ＊オカヤマ　ダイアンジ　コウコウ　シンブン"</f>
        <v>ダイアンジ＊オカヤマ　ダイアンジ　コウコウ　シンブン</v>
      </c>
      <c r="D3469" t="str">
        <f>"岡山大安寺高等学校新聞部"</f>
        <v>岡山大安寺高等学校新聞部</v>
      </c>
      <c r="E3469" t="str">
        <f>"オカヤマダイアンジコウトウガッコウシンブンブ"</f>
        <v>オカヤマダイアンジコウトウガッコウシンブンブ</v>
      </c>
      <c r="F3469" t="str">
        <f>"岡山"</f>
        <v>岡山</v>
      </c>
      <c r="G3469" t="str">
        <f>"頻度不明"</f>
        <v>頻度不明</v>
      </c>
      <c r="H3469" t="str">
        <f>"2002222301861"</f>
        <v>2002222301861</v>
      </c>
      <c r="I3469" t="str">
        <f>HYPERLINK("#", "https://opac.libnet.pref.okayama.jp/licsxp-opac/WOpacMsgNewListToTifTilDetailAction.do?tilcod=2002222301861")</f>
        <v>https://opac.libnet.pref.okayama.jp/licsxp-opac/WOpacMsgNewListToTifTilDetailAction.do?tilcod=2002222301861</v>
      </c>
    </row>
    <row r="3470" spans="1:9" x14ac:dyDescent="0.4">
      <c r="A3470" t="str">
        <f>"第一学院高等学校案内"</f>
        <v>第一学院高等学校案内</v>
      </c>
      <c r="B3470" s="1" t="str">
        <f t="shared" si="179"/>
        <v>第一学院高等学校案内</v>
      </c>
      <c r="C3470" t="str">
        <f>"ダイイチ ガクイン コウトウ ガッコウ アンナイ"</f>
        <v>ダイイチ ガクイン コウトウ ガッコウ アンナイ</v>
      </c>
      <c r="D3470" t="str">
        <f>"第一学院高等学校"</f>
        <v>第一学院高等学校</v>
      </c>
      <c r="E3470" t="str">
        <f>"ダイイチ ガクイン コウトウ ガッコウ"</f>
        <v>ダイイチ ガクイン コウトウ ガッコウ</v>
      </c>
      <c r="F3470" t="str">
        <f>"[出版地不明]"</f>
        <v>[出版地不明]</v>
      </c>
      <c r="G3470" t="str">
        <f>"年刊"</f>
        <v>年刊</v>
      </c>
      <c r="H3470" t="str">
        <f>"2002222321286"</f>
        <v>2002222321286</v>
      </c>
      <c r="I3470" t="str">
        <f>HYPERLINK("#", "https://opac.libnet.pref.okayama.jp/licsxp-opac/WOpacMsgNewListToTifTilDetailAction.do?tilcod=2002222321286")</f>
        <v>https://opac.libnet.pref.okayama.jp/licsxp-opac/WOpacMsgNewListToTifTilDetailAction.do?tilcod=2002222321286</v>
      </c>
    </row>
    <row r="3471" spans="1:9" x14ac:dyDescent="0.4">
      <c r="A3471" t="str">
        <f>"第一高等学院学校案内"</f>
        <v>第一高等学院学校案内</v>
      </c>
      <c r="B3471" s="1" t="str">
        <f t="shared" si="179"/>
        <v>第一高等学院学校案内</v>
      </c>
      <c r="C3471" t="str">
        <f>"ダイイチ　コウトウ　ガクイン　ガッコウ　アンナイ"</f>
        <v>ダイイチ　コウトウ　ガクイン　ガッコウ　アンナイ</v>
      </c>
      <c r="D3471" t="str">
        <f>"第一高等学院"</f>
        <v>第一高等学院</v>
      </c>
      <c r="E3471" t="str">
        <f>"ダイイチコウトウガクイン"</f>
        <v>ダイイチコウトウガクイン</v>
      </c>
      <c r="F3471" t="str">
        <f>"岡山"</f>
        <v>岡山</v>
      </c>
      <c r="G3471" t="str">
        <f>"年刊"</f>
        <v>年刊</v>
      </c>
      <c r="H3471" t="str">
        <f>"2002222301215"</f>
        <v>2002222301215</v>
      </c>
      <c r="I3471" t="str">
        <f>HYPERLINK("#", "https://opac.libnet.pref.okayama.jp/licsxp-opac/WOpacMsgNewListToTifTilDetailAction.do?tilcod=2002222301215")</f>
        <v>https://opac.libnet.pref.okayama.jp/licsxp-opac/WOpacMsgNewListToTifTilDetailAction.do?tilcod=2002222301215</v>
      </c>
    </row>
    <row r="3472" spans="1:9" x14ac:dyDescent="0.4">
      <c r="A3472" t="str">
        <f>"第一高等学院学校要覧"</f>
        <v>第一高等学院学校要覧</v>
      </c>
      <c r="B3472" s="1" t="str">
        <f t="shared" si="179"/>
        <v>第一高等学院学校要覧</v>
      </c>
      <c r="C3472" t="str">
        <f>"ダイイチ　コウトウ　ガクイン　ガッコウ　ヨウラン"</f>
        <v>ダイイチ　コウトウ　ガクイン　ガッコウ　ヨウラン</v>
      </c>
      <c r="D3472" t="str">
        <f>"第一高等学院"</f>
        <v>第一高等学院</v>
      </c>
      <c r="E3472" t="str">
        <f>"ダイイチコウトウガクイン"</f>
        <v>ダイイチコウトウガクイン</v>
      </c>
      <c r="F3472" t="str">
        <f>"岡山"</f>
        <v>岡山</v>
      </c>
      <c r="G3472" t="str">
        <f>"年刊"</f>
        <v>年刊</v>
      </c>
      <c r="H3472" t="str">
        <f>"2002222300590"</f>
        <v>2002222300590</v>
      </c>
      <c r="I3472" t="str">
        <f>HYPERLINK("#", "https://opac.libnet.pref.okayama.jp/licsxp-opac/WOpacMsgNewListToTifTilDetailAction.do?tilcod=2002222300590")</f>
        <v>https://opac.libnet.pref.okayama.jp/licsxp-opac/WOpacMsgNewListToTifTilDetailAction.do?tilcod=2002222300590</v>
      </c>
    </row>
    <row r="3473" spans="1:9" x14ac:dyDescent="0.4">
      <c r="A3473" t="str">
        <f>"大学教育研究紀要"</f>
        <v>大学教育研究紀要</v>
      </c>
      <c r="B3473" s="1" t="str">
        <f t="shared" si="179"/>
        <v>大学教育研究紀要</v>
      </c>
      <c r="C3473" t="str">
        <f>"ダイガク　キョウイク　ケンキョウ　キヨウ"</f>
        <v>ダイガク　キョウイク　ケンキョウ　キヨウ</v>
      </c>
      <c r="D3473" t="str">
        <f>"岡山大学国際センター"</f>
        <v>岡山大学国際センター</v>
      </c>
      <c r="E3473" t="str">
        <f>"オカヤマダイガクコクサイセンター"</f>
        <v>オカヤマダイガクコクサイセンター</v>
      </c>
      <c r="F3473" t="str">
        <f>"岡山"</f>
        <v>岡山</v>
      </c>
      <c r="G3473" t="str">
        <f>"年刊"</f>
        <v>年刊</v>
      </c>
      <c r="H3473" t="str">
        <f>"2002222302414"</f>
        <v>2002222302414</v>
      </c>
      <c r="I3473" t="str">
        <f>HYPERLINK("#", "https://opac.libnet.pref.okayama.jp/licsxp-opac/WOpacMsgNewListToTifTilDetailAction.do?tilcod=2002222302414")</f>
        <v>https://opac.libnet.pref.okayama.jp/licsxp-opac/WOpacMsgNewListToTifTilDetailAction.do?tilcod=2002222302414</v>
      </c>
    </row>
    <row r="3474" spans="1:9" x14ac:dyDescent="0.4">
      <c r="A3474" t="str">
        <f>"体協だより；赤磐市体育協会活動広報誌"</f>
        <v>体協だより；赤磐市体育協会活動広報誌</v>
      </c>
      <c r="B3474" s="1" t="str">
        <f t="shared" si="179"/>
        <v>体協だより；赤磐市体育協会活動広報誌</v>
      </c>
      <c r="C3474" t="str">
        <f>"タイキョウダヨリ＊アカイワシタイイクキョウカイカツドウコウホウシ"</f>
        <v>タイキョウダヨリ＊アカイワシタイイクキョウカイカツドウコウホウシ</v>
      </c>
      <c r="D3474" t="str">
        <f>"赤磐市体育協会加盟団体"</f>
        <v>赤磐市体育協会加盟団体</v>
      </c>
      <c r="E3474" t="str">
        <f>"アカイワシタイイクキョウカイカメイダンタイ"</f>
        <v>アカイワシタイイクキョウカイカメイダンタイ</v>
      </c>
      <c r="F3474" t="str">
        <f>"赤磐"</f>
        <v>赤磐</v>
      </c>
      <c r="G3474" t="str">
        <f>"頻度不明"</f>
        <v>頻度不明</v>
      </c>
      <c r="H3474" t="str">
        <f>"2002222302388"</f>
        <v>2002222302388</v>
      </c>
      <c r="I3474" t="str">
        <f>HYPERLINK("#", "https://opac.libnet.pref.okayama.jp/licsxp-opac/WOpacMsgNewListToTifTilDetailAction.do?tilcod=2002222302388")</f>
        <v>https://opac.libnet.pref.okayama.jp/licsxp-opac/WOpacMsgNewListToTifTilDetailAction.do?tilcod=2002222302388</v>
      </c>
    </row>
    <row r="3475" spans="1:9" x14ac:dyDescent="0.4">
      <c r="A3475" t="str">
        <f>"だいご味"</f>
        <v>だいご味</v>
      </c>
      <c r="B3475" s="1" t="str">
        <f t="shared" si="179"/>
        <v>だいご味</v>
      </c>
      <c r="C3475" t="str">
        <f>"ダイゴミ"</f>
        <v>ダイゴミ</v>
      </c>
      <c r="D3475" t="str">
        <f>"畜産研究会"</f>
        <v>畜産研究会</v>
      </c>
      <c r="E3475" t="str">
        <f>"チクサン ケンキュウカイ"</f>
        <v>チクサン ケンキュウカイ</v>
      </c>
      <c r="F3475" t="str">
        <f>"岡山"</f>
        <v>岡山</v>
      </c>
      <c r="G3475" t="str">
        <f>"頻度不明"</f>
        <v>頻度不明</v>
      </c>
      <c r="H3475" t="str">
        <f>"2002222337087"</f>
        <v>2002222337087</v>
      </c>
      <c r="I3475" t="str">
        <f>HYPERLINK("#", "https://opac.libnet.pref.okayama.jp/licsxp-opac/WOpacMsgNewListToTifTilDetailAction.do?tilcod=2002222337087")</f>
        <v>https://opac.libnet.pref.okayama.jp/licsxp-opac/WOpacMsgNewListToTifTilDetailAction.do?tilcod=2002222337087</v>
      </c>
    </row>
    <row r="3476" spans="1:9" x14ac:dyDescent="0.4">
      <c r="A3476" t="str">
        <f>"第三の人生"</f>
        <v>第三の人生</v>
      </c>
      <c r="B3476" s="1" t="str">
        <f t="shared" si="179"/>
        <v>第三の人生</v>
      </c>
      <c r="C3476" t="str">
        <f>"ダイサン　ノ　ジンセイ"</f>
        <v>ダイサン　ノ　ジンセイ</v>
      </c>
      <c r="D3476" t="str">
        <f>"岡山市高島長寿の会"</f>
        <v>岡山市高島長寿の会</v>
      </c>
      <c r="E3476" t="str">
        <f>"オカヤマシタカシマチョウジュノカイ"</f>
        <v>オカヤマシタカシマチョウジュノカイ</v>
      </c>
      <c r="F3476" t="str">
        <f>"岡山"</f>
        <v>岡山</v>
      </c>
      <c r="G3476" t="str">
        <f>"頻度不明"</f>
        <v>頻度不明</v>
      </c>
      <c r="H3476" t="str">
        <f>"2002222283883"</f>
        <v>2002222283883</v>
      </c>
      <c r="I3476" t="str">
        <f>HYPERLINK("#", "https://opac.libnet.pref.okayama.jp/licsxp-opac/WOpacMsgNewListToTifTilDetailAction.do?tilcod=2002222283883")</f>
        <v>https://opac.libnet.pref.okayama.jp/licsxp-opac/WOpacMsgNewListToTifTilDetailAction.do?tilcod=2002222283883</v>
      </c>
    </row>
    <row r="3477" spans="1:9" x14ac:dyDescent="0.4">
      <c r="A3477" t="str">
        <f>"大正時報"</f>
        <v>大正時報</v>
      </c>
      <c r="B3477" s="1" t="str">
        <f t="shared" si="179"/>
        <v>大正時報</v>
      </c>
      <c r="C3477" t="str">
        <f>"タイショウ　ジホウ"</f>
        <v>タイショウ　ジホウ</v>
      </c>
      <c r="D3477" t="str">
        <f>"大正時報社"</f>
        <v>大正時報社</v>
      </c>
      <c r="E3477" t="str">
        <f>"タイショウジホウシャ"</f>
        <v>タイショウジホウシャ</v>
      </c>
      <c r="F3477" t="str">
        <f>"玉島町（浅口郡）"</f>
        <v>玉島町（浅口郡）</v>
      </c>
      <c r="G3477" t="str">
        <f>"月刊"</f>
        <v>月刊</v>
      </c>
      <c r="H3477" t="str">
        <f>"2002222300999"</f>
        <v>2002222300999</v>
      </c>
      <c r="I3477" t="str">
        <f>HYPERLINK("#", "https://opac.libnet.pref.okayama.jp/licsxp-opac/WOpacMsgNewListToTifTilDetailAction.do?tilcod=2002222300999")</f>
        <v>https://opac.libnet.pref.okayama.jp/licsxp-opac/WOpacMsgNewListToTifTilDetailAction.do?tilcod=2002222300999</v>
      </c>
    </row>
    <row r="3478" spans="1:9" x14ac:dyDescent="0.4">
      <c r="A3478" t="str">
        <f>"大好きな岡山県！"</f>
        <v>大好きな岡山県！</v>
      </c>
      <c r="B3478" s="1" t="str">
        <f t="shared" si="179"/>
        <v>大好きな岡山県！</v>
      </c>
      <c r="C3478" t="str">
        <f>"ダイスキナ オカヤマケン"</f>
        <v>ダイスキナ オカヤマケン</v>
      </c>
      <c r="D3478" t="str">
        <f>"一井あきこ"</f>
        <v>一井あきこ</v>
      </c>
      <c r="E3478" t="str">
        <f>"イチイ アキコ"</f>
        <v>イチイ アキコ</v>
      </c>
      <c r="F3478" t="str">
        <f>"岡山"</f>
        <v>岡山</v>
      </c>
      <c r="G3478" t="str">
        <f>"頻度不明"</f>
        <v>頻度不明</v>
      </c>
      <c r="H3478" t="str">
        <f>"2002222307447"</f>
        <v>2002222307447</v>
      </c>
      <c r="I3478" t="str">
        <f>HYPERLINK("#", "https://opac.libnet.pref.okayama.jp/licsxp-opac/WOpacMsgNewListToTifTilDetailAction.do?tilcod=2002222307447")</f>
        <v>https://opac.libnet.pref.okayama.jp/licsxp-opac/WOpacMsgNewListToTifTilDetailAction.do?tilcod=2002222307447</v>
      </c>
    </row>
    <row r="3479" spans="1:9" x14ac:dyDescent="0.4">
      <c r="A3479" t="str">
        <f>"橙"</f>
        <v>橙</v>
      </c>
      <c r="B3479" s="1" t="str">
        <f t="shared" si="179"/>
        <v>橙</v>
      </c>
      <c r="C3479" t="str">
        <f>"ダイダイ"</f>
        <v>ダイダイ</v>
      </c>
      <c r="D3479" t="str">
        <f>"だいだい詩社"</f>
        <v>だいだい詩社</v>
      </c>
      <c r="E3479" t="str">
        <f>"ダイダイシシャ"</f>
        <v>ダイダイシシャ</v>
      </c>
      <c r="F3479" t="str">
        <f>""</f>
        <v/>
      </c>
      <c r="G3479" t="str">
        <f>"頻度不明"</f>
        <v>頻度不明</v>
      </c>
      <c r="H3479" t="str">
        <f>"2002222283893"</f>
        <v>2002222283893</v>
      </c>
      <c r="I3479" t="str">
        <f>HYPERLINK("#", "https://opac.libnet.pref.okayama.jp/licsxp-opac/WOpacMsgNewListToTifTilDetailAction.do?tilcod=2002222283893")</f>
        <v>https://opac.libnet.pref.okayama.jp/licsxp-opac/WOpacMsgNewListToTifTilDetailAction.do?tilcod=2002222283893</v>
      </c>
    </row>
    <row r="3480" spans="1:9" x14ac:dyDescent="0.4">
      <c r="A3480" t="str">
        <f>"だいだい"</f>
        <v>だいだい</v>
      </c>
      <c r="B3480" s="1" t="str">
        <f t="shared" si="179"/>
        <v>だいだい</v>
      </c>
      <c r="C3480" t="str">
        <f>"ダイダイ"</f>
        <v>ダイダイ</v>
      </c>
      <c r="D3480" t="str">
        <f>"だいだい詩社"</f>
        <v>だいだい詩社</v>
      </c>
      <c r="E3480" t="str">
        <f>"ダイダイシシャ"</f>
        <v>ダイダイシシャ</v>
      </c>
      <c r="F3480" t="str">
        <f>""</f>
        <v/>
      </c>
      <c r="G3480" t="str">
        <f>"頻度不明"</f>
        <v>頻度不明</v>
      </c>
      <c r="H3480" t="str">
        <f>"2002222283903"</f>
        <v>2002222283903</v>
      </c>
      <c r="I3480" t="str">
        <f>HYPERLINK("#", "https://opac.libnet.pref.okayama.jp/licsxp-opac/WOpacMsgNewListToTifTilDetailAction.do?tilcod=2002222283903")</f>
        <v>https://opac.libnet.pref.okayama.jp/licsxp-opac/WOpacMsgNewListToTifTilDetailAction.do?tilcod=2002222283903</v>
      </c>
    </row>
    <row r="3481" spans="1:9" x14ac:dyDescent="0.4">
      <c r="A3481" t="str">
        <f>"大地"</f>
        <v>大地</v>
      </c>
      <c r="B3481" s="1" t="str">
        <f t="shared" si="179"/>
        <v>大地</v>
      </c>
      <c r="C3481" t="str">
        <f>"ダイチ"</f>
        <v>ダイチ</v>
      </c>
      <c r="D3481" t="str">
        <f>"やっちもねえ会"</f>
        <v>やっちもねえ会</v>
      </c>
      <c r="E3481" t="str">
        <f>"ヤッチモネエカイ"</f>
        <v>ヤッチモネエカイ</v>
      </c>
      <c r="F3481" t="str">
        <f>""</f>
        <v/>
      </c>
      <c r="G3481" t="str">
        <f>"頻度不明"</f>
        <v>頻度不明</v>
      </c>
      <c r="H3481" t="str">
        <f>"2002222283913"</f>
        <v>2002222283913</v>
      </c>
      <c r="I3481" t="str">
        <f>HYPERLINK("#", "https://opac.libnet.pref.okayama.jp/licsxp-opac/WOpacMsgNewListToTifTilDetailAction.do?tilcod=2002222283913")</f>
        <v>https://opac.libnet.pref.okayama.jp/licsxp-opac/WOpacMsgNewListToTifTilDetailAction.do?tilcod=2002222283913</v>
      </c>
    </row>
    <row r="3482" spans="1:9" x14ac:dyDescent="0.4">
      <c r="A3482" t="str">
        <f>"大地"</f>
        <v>大地</v>
      </c>
      <c r="B3482" s="1" t="str">
        <f t="shared" si="179"/>
        <v>大地</v>
      </c>
      <c r="C3482" t="str">
        <f>"ダイチ"</f>
        <v>ダイチ</v>
      </c>
      <c r="D3482" t="str">
        <f>"金光教岡山教会"</f>
        <v>金光教岡山教会</v>
      </c>
      <c r="E3482" t="str">
        <f>"コンコウキョウ オカヤマ キョウカイ"</f>
        <v>コンコウキョウ オカヤマ キョウカイ</v>
      </c>
      <c r="F3482" t="str">
        <f>"岡山"</f>
        <v>岡山</v>
      </c>
      <c r="G3482" t="str">
        <f>"頻度不明"</f>
        <v>頻度不明</v>
      </c>
      <c r="H3482" t="str">
        <f>"2002222330488"</f>
        <v>2002222330488</v>
      </c>
      <c r="I3482" t="str">
        <f>HYPERLINK("#", "https://opac.libnet.pref.okayama.jp/licsxp-opac/WOpacMsgNewListToTifTilDetailAction.do?tilcod=2002222330488")</f>
        <v>https://opac.libnet.pref.okayama.jp/licsxp-opac/WOpacMsgNewListToTifTilDetailAction.do?tilcod=2002222330488</v>
      </c>
    </row>
    <row r="3483" spans="1:9" x14ac:dyDescent="0.4">
      <c r="A3483" t="str">
        <f>"大地育人"</f>
        <v>大地育人</v>
      </c>
      <c r="B3483" s="1" t="str">
        <f t="shared" si="179"/>
        <v>大地育人</v>
      </c>
      <c r="C3483" t="str">
        <f>"ダイチ　イクジン"</f>
        <v>ダイチ　イクジン</v>
      </c>
      <c r="D3483" t="str">
        <f>"岡山県健康の森学園"</f>
        <v>岡山県健康の森学園</v>
      </c>
      <c r="E3483" t="str">
        <f>"オカヤマケン ケンコウ ノ モリ ガクエン"</f>
        <v>オカヤマケン ケンコウ ノ モリ ガクエン</v>
      </c>
      <c r="F3483" t="str">
        <f>""</f>
        <v/>
      </c>
      <c r="G3483" t="str">
        <f>"年刊"</f>
        <v>年刊</v>
      </c>
      <c r="H3483" t="str">
        <f>"2002222288303"</f>
        <v>2002222288303</v>
      </c>
      <c r="I3483" t="str">
        <f>HYPERLINK("#", "https://opac.libnet.pref.okayama.jp/licsxp-opac/WOpacMsgNewListToTifTilDetailAction.do?tilcod=2002222288303")</f>
        <v>https://opac.libnet.pref.okayama.jp/licsxp-opac/WOpacMsgNewListToTifTilDetailAction.do?tilcod=2002222288303</v>
      </c>
    </row>
    <row r="3484" spans="1:9" x14ac:dyDescent="0.4">
      <c r="A3484" t="str">
        <f>"台地；勝英土地改良区機関紙"</f>
        <v>台地；勝英土地改良区機関紙</v>
      </c>
      <c r="B3484" s="1" t="str">
        <f t="shared" si="179"/>
        <v>台地；勝英土地改良区機関紙</v>
      </c>
      <c r="C3484" t="str">
        <f>"ダイチ＊ショウエイ　トチ　カイリョウク　キカンシ"</f>
        <v>ダイチ＊ショウエイ　トチ　カイリョウク　キカンシ</v>
      </c>
      <c r="D3484" t="str">
        <f>"勝英土地改良区"</f>
        <v>勝英土地改良区</v>
      </c>
      <c r="E3484" t="str">
        <f>"ショウエイトチカイリョウク"</f>
        <v>ショウエイトチカイリョウク</v>
      </c>
      <c r="F3484" t="str">
        <f>"勝央町（勝田郡）"</f>
        <v>勝央町（勝田郡）</v>
      </c>
      <c r="G3484" t="str">
        <f>"頻度不明"</f>
        <v>頻度不明</v>
      </c>
      <c r="H3484" t="str">
        <f>"2002222300937"</f>
        <v>2002222300937</v>
      </c>
      <c r="I3484" t="str">
        <f>HYPERLINK("#", "https://opac.libnet.pref.okayama.jp/licsxp-opac/WOpacMsgNewListToTifTilDetailAction.do?tilcod=2002222300937")</f>
        <v>https://opac.libnet.pref.okayama.jp/licsxp-opac/WOpacMsgNewListToTifTilDetailAction.do?tilcod=2002222300937</v>
      </c>
    </row>
    <row r="3485" spans="1:9" x14ac:dyDescent="0.4">
      <c r="A3485" t="str">
        <f>"大道"</f>
        <v>大道</v>
      </c>
      <c r="B3485" s="1" t="str">
        <f t="shared" si="179"/>
        <v>大道</v>
      </c>
      <c r="C3485" t="str">
        <f>"ダイドウ"</f>
        <v>ダイドウ</v>
      </c>
      <c r="D3485" t="str">
        <f>"大道会出版部"</f>
        <v>大道会出版部</v>
      </c>
      <c r="E3485" t="str">
        <f>"ダイドウカイ シュッパンブ"</f>
        <v>ダイドウカイ シュッパンブ</v>
      </c>
      <c r="F3485" t="str">
        <f>"岡山"</f>
        <v>岡山</v>
      </c>
      <c r="G3485" t="str">
        <f>"年刊"</f>
        <v>年刊</v>
      </c>
      <c r="H3485" t="str">
        <f>"2002222316246"</f>
        <v>2002222316246</v>
      </c>
      <c r="I3485" t="str">
        <f>HYPERLINK("#", "https://opac.libnet.pref.okayama.jp/licsxp-opac/WOpacMsgNewListToTifTilDetailAction.do?tilcod=2002222316246")</f>
        <v>https://opac.libnet.pref.okayama.jp/licsxp-opac/WOpacMsgNewListToTifTilDetailAction.do?tilcod=2002222316246</v>
      </c>
    </row>
    <row r="3486" spans="1:9" x14ac:dyDescent="0.4">
      <c r="A3486" t="str">
        <f>"大道"</f>
        <v>大道</v>
      </c>
      <c r="B3486" s="1" t="str">
        <f t="shared" si="179"/>
        <v>大道</v>
      </c>
      <c r="C3486" t="str">
        <f>"ダイドウ"</f>
        <v>ダイドウ</v>
      </c>
      <c r="D3486" t="str">
        <f>"日本音楽大道派"</f>
        <v>日本音楽大道派</v>
      </c>
      <c r="E3486" t="str">
        <f>"ニホン オンガク ダイドウハ"</f>
        <v>ニホン オンガク ダイドウハ</v>
      </c>
      <c r="F3486" t="str">
        <f>""</f>
        <v/>
      </c>
      <c r="G3486" t="str">
        <f>"頻度不明"</f>
        <v>頻度不明</v>
      </c>
      <c r="H3486" t="str">
        <f>"2002222335686"</f>
        <v>2002222335686</v>
      </c>
      <c r="I3486" t="str">
        <f>HYPERLINK("#", "https://opac.libnet.pref.okayama.jp/licsxp-opac/WOpacMsgNewListToTifTilDetailAction.do?tilcod=2002222335686")</f>
        <v>https://opac.libnet.pref.okayama.jp/licsxp-opac/WOpacMsgNewListToTifTilDetailAction.do?tilcod=2002222335686</v>
      </c>
    </row>
    <row r="3487" spans="1:9" x14ac:dyDescent="0.4">
      <c r="A3487" t="str">
        <f>"大道；非暴力・連帯・共生・協働・自律"</f>
        <v>大道；非暴力・連帯・共生・協働・自律</v>
      </c>
      <c r="B3487" s="1" t="str">
        <f t="shared" si="179"/>
        <v>大道；非暴力・連帯・共生・協働・自律</v>
      </c>
      <c r="C3487" t="str">
        <f>"タイドウ＊ヒボウリョク　レンタイ　キョウセイ　キョウドウ　ジリツ"</f>
        <v>タイドウ＊ヒボウリョク　レンタイ　キョウセイ　キョウドウ　ジリツ</v>
      </c>
      <c r="D3487" t="str">
        <f>"大道編集委員会"</f>
        <v>大道編集委員会</v>
      </c>
      <c r="E3487" t="str">
        <f>"タイドウヘンシュウイインカイ"</f>
        <v>タイドウヘンシュウイインカイ</v>
      </c>
      <c r="F3487" t="str">
        <f>"倉敷"</f>
        <v>倉敷</v>
      </c>
      <c r="G3487" t="str">
        <f>"月刊"</f>
        <v>月刊</v>
      </c>
      <c r="H3487" t="str">
        <f>"2002222302128"</f>
        <v>2002222302128</v>
      </c>
      <c r="I3487" t="str">
        <f>HYPERLINK("#", "https://opac.libnet.pref.okayama.jp/licsxp-opac/WOpacMsgNewListToTifTilDetailAction.do?tilcod=2002222302128")</f>
        <v>https://opac.libnet.pref.okayama.jp/licsxp-opac/WOpacMsgNewListToTifTilDetailAction.do?tilcod=2002222302128</v>
      </c>
    </row>
    <row r="3488" spans="1:9" x14ac:dyDescent="0.4">
      <c r="A3488" t="str">
        <f>"ＴＩＭＥ　ＴＡＢＬＥ〔ＦＭ岡山〕"</f>
        <v>ＴＩＭＥ　ＴＡＢＬＥ〔ＦＭ岡山〕</v>
      </c>
      <c r="B3488" s="1" t="str">
        <f t="shared" si="179"/>
        <v>ＴＩＭＥ　ＴＡＢＬＥ〔ＦＭ岡山〕</v>
      </c>
      <c r="C3488" t="str">
        <f>"タイム　テーブル＊エフエム　オカヤマ"</f>
        <v>タイム　テーブル＊エフエム　オカヤマ</v>
      </c>
      <c r="D3488" t="str">
        <f>"岡山エフエム放送"</f>
        <v>岡山エフエム放送</v>
      </c>
      <c r="E3488" t="str">
        <f>"オカヤマ エフエム ホウソウ"</f>
        <v>オカヤマ エフエム ホウソウ</v>
      </c>
      <c r="F3488" t="str">
        <f>"岡山"</f>
        <v>岡山</v>
      </c>
      <c r="G3488" t="str">
        <f>"月刊"</f>
        <v>月刊</v>
      </c>
      <c r="H3488" t="str">
        <f>"2002222282701"</f>
        <v>2002222282701</v>
      </c>
      <c r="I3488" t="str">
        <f>HYPERLINK("#", "https://opac.libnet.pref.okayama.jp/licsxp-opac/WOpacMsgNewListToTifTilDetailAction.do?tilcod=2002222282701")</f>
        <v>https://opac.libnet.pref.okayama.jp/licsxp-opac/WOpacMsgNewListToTifTilDetailAction.do?tilcod=2002222282701</v>
      </c>
    </row>
    <row r="3489" spans="1:9" x14ac:dyDescent="0.4">
      <c r="A3489" t="str">
        <f>"太陽"</f>
        <v>太陽</v>
      </c>
      <c r="B3489" s="1" t="str">
        <f t="shared" si="179"/>
        <v>太陽</v>
      </c>
      <c r="C3489" t="str">
        <f>"タイヨウ"</f>
        <v>タイヨウ</v>
      </c>
      <c r="D3489" t="str">
        <f>"岡山県歴教協岡山女性史サークル"</f>
        <v>岡山県歴教協岡山女性史サークル</v>
      </c>
      <c r="E3489" t="str">
        <f>"オカヤマケンレキキョウキョウオカヤマジョセイシサークル"</f>
        <v>オカヤマケンレキキョウキョウオカヤマジョセイシサークル</v>
      </c>
      <c r="F3489" t="str">
        <f>""</f>
        <v/>
      </c>
      <c r="G3489" t="str">
        <f>"月刊"</f>
        <v>月刊</v>
      </c>
      <c r="H3489" t="str">
        <f>"2002222283923"</f>
        <v>2002222283923</v>
      </c>
      <c r="I3489" t="str">
        <f>HYPERLINK("#", "https://opac.libnet.pref.okayama.jp/licsxp-opac/WOpacMsgNewListToTifTilDetailAction.do?tilcod=2002222283923")</f>
        <v>https://opac.libnet.pref.okayama.jp/licsxp-opac/WOpacMsgNewListToTifTilDetailAction.do?tilcod=2002222283923</v>
      </c>
    </row>
    <row r="3490" spans="1:9" x14ac:dyDescent="0.4">
      <c r="A3490" t="str">
        <f>"平姓親交"</f>
        <v>平姓親交</v>
      </c>
      <c r="B3490" s="1" t="str">
        <f t="shared" si="179"/>
        <v>平姓親交</v>
      </c>
      <c r="C3490" t="str">
        <f>"タイラセイ　シンコウ"</f>
        <v>タイラセイ　シンコウ</v>
      </c>
      <c r="D3490" t="str">
        <f>"全国平姓同族親交会出版部"</f>
        <v>全国平姓同族親交会出版部</v>
      </c>
      <c r="E3490" t="str">
        <f>"ゼンコクタイラセイドウゾクシンコウカイシュッパンブ"</f>
        <v>ゼンコクタイラセイドウゾクシンコウカイシュッパンブ</v>
      </c>
      <c r="F3490" t="str">
        <f>""</f>
        <v/>
      </c>
      <c r="G3490" t="str">
        <f>"月刊"</f>
        <v>月刊</v>
      </c>
      <c r="H3490" t="str">
        <f>"2002222283933"</f>
        <v>2002222283933</v>
      </c>
      <c r="I3490" t="str">
        <f>HYPERLINK("#", "https://opac.libnet.pref.okayama.jp/licsxp-opac/WOpacMsgNewListToTifTilDetailAction.do?tilcod=2002222283933")</f>
        <v>https://opac.libnet.pref.okayama.jp/licsxp-opac/WOpacMsgNewListToTifTilDetailAction.do?tilcod=2002222283933</v>
      </c>
    </row>
    <row r="3491" spans="1:9" x14ac:dyDescent="0.4">
      <c r="A3491" t="str">
        <f>"[第六高等学校]校友会誌"</f>
        <v>[第六高等学校]校友会誌</v>
      </c>
      <c r="B3491" s="1" t="str">
        <f t="shared" si="179"/>
        <v>[第六高等学校]校友会誌</v>
      </c>
      <c r="C3491" t="str">
        <f>"ダイロク　コウトウ　ガッコウ　コウユウ　カイシ"</f>
        <v>ダイロク　コウトウ　ガッコウ　コウユウ　カイシ</v>
      </c>
      <c r="D3491" t="str">
        <f>"第六高等学校校友会"</f>
        <v>第六高等学校校友会</v>
      </c>
      <c r="E3491" t="str">
        <f>"ダイロクコウトウガッコウコウユウカイ"</f>
        <v>ダイロクコウトウガッコウコウユウカイ</v>
      </c>
      <c r="F3491" t="str">
        <f>"岡山"</f>
        <v>岡山</v>
      </c>
      <c r="G3491" t="str">
        <f>"頻度不明"</f>
        <v>頻度不明</v>
      </c>
      <c r="H3491" t="str">
        <f>"2002222285231"</f>
        <v>2002222285231</v>
      </c>
      <c r="I3491" t="str">
        <f>HYPERLINK("#", "https://opac.libnet.pref.okayama.jp/licsxp-opac/WOpacMsgNewListToTifTilDetailAction.do?tilcod=2002222285231")</f>
        <v>https://opac.libnet.pref.okayama.jp/licsxp-opac/WOpacMsgNewListToTifTilDetailAction.do?tilcod=2002222285231</v>
      </c>
    </row>
    <row r="3492" spans="1:9" x14ac:dyDescent="0.4">
      <c r="A3492" t="str">
        <f>"[第六高等学校報国団]報国団誌"</f>
        <v>[第六高等学校報国団]報国団誌</v>
      </c>
      <c r="B3492" s="1" t="str">
        <f t="shared" si="179"/>
        <v>[第六高等学校報国団]報国団誌</v>
      </c>
      <c r="C3492" t="str">
        <f>"ダイロク コウトウ ガッコウ ホウコクダン ホウコクダンシ"</f>
        <v>ダイロク コウトウ ガッコウ ホウコクダン ホウコクダンシ</v>
      </c>
      <c r="D3492" t="str">
        <f>"第六高等学校報国団"</f>
        <v>第六高等学校報国団</v>
      </c>
      <c r="E3492" t="str">
        <f>"ダイロクコウトウガッコウホウコクダン"</f>
        <v>ダイロクコウトウガッコウホウコクダン</v>
      </c>
      <c r="F3492" t="str">
        <f>""</f>
        <v/>
      </c>
      <c r="G3492" t="str">
        <f>"頻度不明"</f>
        <v>頻度不明</v>
      </c>
      <c r="H3492" t="str">
        <f>"2002222283943"</f>
        <v>2002222283943</v>
      </c>
      <c r="I3492" t="str">
        <f>HYPERLINK("#", "https://opac.libnet.pref.okayama.jp/licsxp-opac/WOpacMsgNewListToTifTilDetailAction.do?tilcod=2002222283943")</f>
        <v>https://opac.libnet.pref.okayama.jp/licsxp-opac/WOpacMsgNewListToTifTilDetailAction.do?tilcod=2002222283943</v>
      </c>
    </row>
    <row r="3493" spans="1:9" x14ac:dyDescent="0.4">
      <c r="A3493" t="str">
        <f>"[第六高等学校]六稜科学"</f>
        <v>[第六高等学校]六稜科学</v>
      </c>
      <c r="B3493" s="1" t="str">
        <f t="shared" si="179"/>
        <v>[第六高等学校]六稜科学</v>
      </c>
      <c r="C3493" t="str">
        <f>"ダイロク コウトウガッコウ リクリョウ カガク"</f>
        <v>ダイロク コウトウガッコウ リクリョウ カガク</v>
      </c>
      <c r="D3493" t="str">
        <f>"六稜科学同友会"</f>
        <v>六稜科学同友会</v>
      </c>
      <c r="E3493" t="str">
        <f>"リクリョウカガクドウユウカイ"</f>
        <v>リクリョウカガクドウユウカイ</v>
      </c>
      <c r="F3493" t="str">
        <f>""</f>
        <v/>
      </c>
      <c r="G3493" t="str">
        <f>"頻度不明"</f>
        <v>頻度不明</v>
      </c>
      <c r="H3493" t="str">
        <f>"2002222283953"</f>
        <v>2002222283953</v>
      </c>
      <c r="I3493" t="str">
        <f>HYPERLINK("#", "https://opac.libnet.pref.okayama.jp/licsxp-opac/WOpacMsgNewListToTifTilDetailAction.do?tilcod=2002222283953")</f>
        <v>https://opac.libnet.pref.okayama.jp/licsxp-opac/WOpacMsgNewListToTifTilDetailAction.do?tilcod=2002222283953</v>
      </c>
    </row>
    <row r="3494" spans="1:9" x14ac:dyDescent="0.4">
      <c r="A3494" t="str">
        <f>"タウン情報おかやま"</f>
        <v>タウン情報おかやま</v>
      </c>
      <c r="B3494" s="1" t="str">
        <f t="shared" si="179"/>
        <v>タウン情報おかやま</v>
      </c>
      <c r="C3494" t="str">
        <f>"タウン　ジョウホウ　オカヤマ"</f>
        <v>タウン　ジョウホウ　オカヤマ</v>
      </c>
      <c r="D3494" t="str">
        <f>"ビザビ"</f>
        <v>ビザビ</v>
      </c>
      <c r="E3494" t="str">
        <f>"ビザビ"</f>
        <v>ビザビ</v>
      </c>
      <c r="F3494" t="str">
        <f>"岡山"</f>
        <v>岡山</v>
      </c>
      <c r="G3494" t="str">
        <f>"月刊"</f>
        <v>月刊</v>
      </c>
      <c r="H3494" t="str">
        <f>"2002222291791"</f>
        <v>2002222291791</v>
      </c>
      <c r="I3494" t="str">
        <f>HYPERLINK("#", "https://opac.libnet.pref.okayama.jp/licsxp-opac/WOpacMsgNewListToTifTilDetailAction.do?tilcod=2002222291791")</f>
        <v>https://opac.libnet.pref.okayama.jp/licsxp-opac/WOpacMsgNewListToTifTilDetailAction.do?tilcod=2002222291791</v>
      </c>
    </row>
    <row r="3495" spans="1:9" x14ac:dyDescent="0.4">
      <c r="A3495" t="str">
        <f>"ＴＯＷＮ　ＷＯＲＫ（タウンワーク）岡山・倉敷版"</f>
        <v>ＴＯＷＮ　ＷＯＲＫ（タウンワーク）岡山・倉敷版</v>
      </c>
      <c r="B3495" s="1" t="str">
        <f t="shared" si="179"/>
        <v>ＴＯＷＮ　ＷＯＲＫ（タウンワーク）岡山・倉敷版</v>
      </c>
      <c r="C3495" t="str">
        <f>"タウン　ワーク　オカヤマ　クラシキバン"</f>
        <v>タウン　ワーク　オカヤマ　クラシキバン</v>
      </c>
      <c r="D3495" t="str">
        <f t="shared" ref="D3495:E3497" si="180">"リクルート"</f>
        <v>リクルート</v>
      </c>
      <c r="E3495" t="str">
        <f t="shared" si="180"/>
        <v>リクルート</v>
      </c>
      <c r="F3495" t="str">
        <f>"東京"</f>
        <v>東京</v>
      </c>
      <c r="G3495" t="str">
        <f>"週刊"</f>
        <v>週刊</v>
      </c>
      <c r="H3495" t="str">
        <f>"2002222280724"</f>
        <v>2002222280724</v>
      </c>
      <c r="I3495" t="str">
        <f>HYPERLINK("#", "https://opac.libnet.pref.okayama.jp/licsxp-opac/WOpacMsgNewListToTifTilDetailAction.do?tilcod=2002222280724")</f>
        <v>https://opac.libnet.pref.okayama.jp/licsxp-opac/WOpacMsgNewListToTifTilDetailAction.do?tilcod=2002222280724</v>
      </c>
    </row>
    <row r="3496" spans="1:9" x14ac:dyDescent="0.4">
      <c r="A3496" t="str">
        <f>"ＴＯＷＮ　ＷＯＲＫ社員（タウンワーク社員）"</f>
        <v>ＴＯＷＮ　ＷＯＲＫ社員（タウンワーク社員）</v>
      </c>
      <c r="B3496" s="1" t="str">
        <f t="shared" si="179"/>
        <v>ＴＯＷＮ　ＷＯＲＫ社員（タウンワーク社員）</v>
      </c>
      <c r="C3496" t="str">
        <f>"タウン　ワーク　シャイン"</f>
        <v>タウン　ワーク　シャイン</v>
      </c>
      <c r="D3496" t="str">
        <f t="shared" si="180"/>
        <v>リクルート</v>
      </c>
      <c r="E3496" t="str">
        <f t="shared" si="180"/>
        <v>リクルート</v>
      </c>
      <c r="F3496" t="str">
        <f>"東京"</f>
        <v>東京</v>
      </c>
      <c r="G3496" t="str">
        <f>"週刊"</f>
        <v>週刊</v>
      </c>
      <c r="H3496" t="str">
        <f>"2002222301469"</f>
        <v>2002222301469</v>
      </c>
      <c r="I3496" t="str">
        <f>HYPERLINK("#", "https://opac.libnet.pref.okayama.jp/licsxp-opac/WOpacMsgNewListToTifTilDetailAction.do?tilcod=2002222301469")</f>
        <v>https://opac.libnet.pref.okayama.jp/licsxp-opac/WOpacMsgNewListToTifTilDetailAction.do?tilcod=2002222301469</v>
      </c>
    </row>
    <row r="3497" spans="1:9" x14ac:dyDescent="0.4">
      <c r="A3497" t="str">
        <f>"ＴＯＷＮ　ＷＯＲＫ（タウンワーク）岡山・倉敷・福山版"</f>
        <v>ＴＯＷＮ　ＷＯＲＫ（タウンワーク）岡山・倉敷・福山版</v>
      </c>
      <c r="B3497" s="1" t="str">
        <f t="shared" si="179"/>
        <v>ＴＯＷＮ　ＷＯＲＫ（タウンワーク）岡山・倉敷・福山版</v>
      </c>
      <c r="C3497" t="str">
        <f>"タウンワーク　オカヤマ　クラシキ　フクヤマバン"</f>
        <v>タウンワーク　オカヤマ　クラシキ　フクヤマバン</v>
      </c>
      <c r="D3497" t="str">
        <f t="shared" si="180"/>
        <v>リクルート</v>
      </c>
      <c r="E3497" t="str">
        <f t="shared" si="180"/>
        <v>リクルート</v>
      </c>
      <c r="F3497" t="str">
        <f>"東京"</f>
        <v>東京</v>
      </c>
      <c r="G3497" t="str">
        <f>"週刊"</f>
        <v>週刊</v>
      </c>
      <c r="H3497" t="str">
        <f>"2002222302103"</f>
        <v>2002222302103</v>
      </c>
      <c r="I3497" t="str">
        <f>HYPERLINK("#", "https://opac.libnet.pref.okayama.jp/licsxp-opac/WOpacMsgNewListToTifTilDetailAction.do?tilcod=2002222302103")</f>
        <v>https://opac.libnet.pref.okayama.jp/licsxp-opac/WOpacMsgNewListToTifTilDetailAction.do?tilcod=2002222302103</v>
      </c>
    </row>
    <row r="3498" spans="1:9" x14ac:dyDescent="0.4">
      <c r="A3498" t="str">
        <f>"TOWN WORK(タウンワーク）倉敷･福山版"</f>
        <v>TOWN WORK(タウンワーク）倉敷･福山版</v>
      </c>
      <c r="B3498" s="1" t="str">
        <f t="shared" si="179"/>
        <v>TOWN WORK(タウンワーク）倉敷･福山版</v>
      </c>
      <c r="C3498" t="str">
        <f>"タウンワーク クラシキ フクヤマ バン"</f>
        <v>タウンワーク クラシキ フクヤマ バン</v>
      </c>
      <c r="D3498" t="str">
        <f>"RECRUIT"</f>
        <v>RECRUIT</v>
      </c>
      <c r="E3498" t="str">
        <f>"リクルート"</f>
        <v>リクルート</v>
      </c>
      <c r="F3498" t="str">
        <f>"東京"</f>
        <v>東京</v>
      </c>
      <c r="G3498" t="str">
        <f>"週刊"</f>
        <v>週刊</v>
      </c>
      <c r="H3498" t="str">
        <f>"2002222339450"</f>
        <v>2002222339450</v>
      </c>
      <c r="I3498" t="str">
        <f>HYPERLINK("#", "https://opac.libnet.pref.okayama.jp/licsxp-opac/WOpacMsgNewListToTifTilDetailAction.do?tilcod=2002222339450")</f>
        <v>https://opac.libnet.pref.okayama.jp/licsxp-opac/WOpacMsgNewListToTifTilDetailAction.do?tilcod=2002222339450</v>
      </c>
    </row>
    <row r="3499" spans="1:9" x14ac:dyDescent="0.4">
      <c r="A3499" t="str">
        <f>"楕円"</f>
        <v>楕円</v>
      </c>
      <c r="B3499" s="1" t="str">
        <f t="shared" si="179"/>
        <v>楕円</v>
      </c>
      <c r="C3499" t="str">
        <f>"ダエン"</f>
        <v>ダエン</v>
      </c>
      <c r="D3499" t="str">
        <f>"楕円の会"</f>
        <v>楕円の会</v>
      </c>
      <c r="E3499" t="str">
        <f>"ダエン ノ カイ"</f>
        <v>ダエン ノ カイ</v>
      </c>
      <c r="F3499" t="str">
        <f>"岡山"</f>
        <v>岡山</v>
      </c>
      <c r="G3499" t="str">
        <f>"頻度不明"</f>
        <v>頻度不明</v>
      </c>
      <c r="H3499" t="str">
        <f>"2002222344010"</f>
        <v>2002222344010</v>
      </c>
      <c r="I3499" t="str">
        <f>HYPERLINK("#", "https://opac.libnet.pref.okayama.jp/licsxp-opac/WOpacMsgNewListToTifTilDetailAction.do?tilcod=2002222344010")</f>
        <v>https://opac.libnet.pref.okayama.jp/licsxp-opac/WOpacMsgNewListToTifTilDetailAction.do?tilcod=2002222344010</v>
      </c>
    </row>
    <row r="3500" spans="1:9" x14ac:dyDescent="0.4">
      <c r="A3500" t="str">
        <f>"高島"</f>
        <v>高島</v>
      </c>
      <c r="B3500" s="1" t="str">
        <f t="shared" si="179"/>
        <v>高島</v>
      </c>
      <c r="C3500" t="str">
        <f>"タカシマ"</f>
        <v>タカシマ</v>
      </c>
      <c r="D3500" t="str">
        <f>"岡山市立甲浦中学校第六期卒業生同期会"</f>
        <v>岡山市立甲浦中学校第六期卒業生同期会</v>
      </c>
      <c r="E3500" t="str">
        <f>"オカヤマシリツ コウウラ チュウガッコ ウ ダイ ロクキ ソツギョウセイ ドウキ カイ"</f>
        <v>オカヤマシリツ コウウラ チュウガッコ ウ ダイ ロクキ ソツギョウセイ ドウキ カイ</v>
      </c>
      <c r="F3500" t="str">
        <f>"岡山"</f>
        <v>岡山</v>
      </c>
      <c r="G3500" t="str">
        <f>"頻度不明"</f>
        <v>頻度不明</v>
      </c>
      <c r="H3500" t="str">
        <f>"2002222316247"</f>
        <v>2002222316247</v>
      </c>
      <c r="I3500" t="str">
        <f>HYPERLINK("#", "https://opac.libnet.pref.okayama.jp/licsxp-opac/WOpacMsgNewListToTifTilDetailAction.do?tilcod=2002222316247")</f>
        <v>https://opac.libnet.pref.okayama.jp/licsxp-opac/WOpacMsgNewListToTifTilDetailAction.do?tilcod=2002222316247</v>
      </c>
    </row>
    <row r="3501" spans="1:9" x14ac:dyDescent="0.4">
      <c r="A3501" t="str">
        <f>"高島"</f>
        <v>高島</v>
      </c>
      <c r="B3501" s="1" t="str">
        <f t="shared" si="179"/>
        <v>高島</v>
      </c>
      <c r="C3501" t="str">
        <f>"タカシマ"</f>
        <v>タカシマ</v>
      </c>
      <c r="D3501" t="str">
        <f>"岡山市立高島中学校PTA広報部"</f>
        <v>岡山市立高島中学校PTA広報部</v>
      </c>
      <c r="E3501" t="str">
        <f>"コウキチュウガッコウクガッコウウンエイキョウギカイ"</f>
        <v>コウキチュウガッコウクガッコウウンエイキョウギカイ</v>
      </c>
      <c r="F3501" t="str">
        <f>"岡山"</f>
        <v>岡山</v>
      </c>
      <c r="G3501" t="str">
        <f>"頻度不明"</f>
        <v>頻度不明</v>
      </c>
      <c r="H3501" t="str">
        <f>"2002222338871"</f>
        <v>2002222338871</v>
      </c>
      <c r="I3501" t="str">
        <f>HYPERLINK("#", "https://opac.libnet.pref.okayama.jp/licsxp-opac/WOpacMsgNewListToTifTilDetailAction.do?tilcod=2002222338871")</f>
        <v>https://opac.libnet.pref.okayama.jp/licsxp-opac/WOpacMsgNewListToTifTilDetailAction.do?tilcod=2002222338871</v>
      </c>
    </row>
    <row r="3502" spans="1:9" x14ac:dyDescent="0.4">
      <c r="A3502" t="str">
        <f>"タカシマヤ えぷろん通信"</f>
        <v>タカシマヤ えぷろん通信</v>
      </c>
      <c r="B3502" s="1" t="str">
        <f t="shared" si="179"/>
        <v>タカシマヤ えぷろん通信</v>
      </c>
      <c r="C3502" t="str">
        <f>"タカシマヤ エプロン ツウシン"</f>
        <v>タカシマヤ エプロン ツウシン</v>
      </c>
      <c r="D3502" t="str">
        <f>"岡山高島屋"</f>
        <v>岡山高島屋</v>
      </c>
      <c r="E3502" t="str">
        <f>"オカヤマ タカシマヤ"</f>
        <v>オカヤマ タカシマヤ</v>
      </c>
      <c r="F3502" t="str">
        <f>"岡山"</f>
        <v>岡山</v>
      </c>
      <c r="G3502" t="str">
        <f>"月刊"</f>
        <v>月刊</v>
      </c>
      <c r="H3502" t="str">
        <f>"2002222339312"</f>
        <v>2002222339312</v>
      </c>
      <c r="I3502" t="str">
        <f>HYPERLINK("#", "https://opac.libnet.pref.okayama.jp/licsxp-opac/WOpacMsgNewListToTifTilDetailAction.do?tilcod=2002222339312")</f>
        <v>https://opac.libnet.pref.okayama.jp/licsxp-opac/WOpacMsgNewListToTifTilDetailAction.do?tilcod=2002222339312</v>
      </c>
    </row>
    <row r="3503" spans="1:9" x14ac:dyDescent="0.4">
      <c r="A3503" t="str">
        <f>"高瀬舟"</f>
        <v>高瀬舟</v>
      </c>
      <c r="B3503" s="1" t="str">
        <f t="shared" si="179"/>
        <v>高瀬舟</v>
      </c>
      <c r="C3503" t="str">
        <f>"タカセブネ"</f>
        <v>タカセブネ</v>
      </c>
      <c r="D3503" t="str">
        <f>"高梁市観光協会"</f>
        <v>高梁市観光協会</v>
      </c>
      <c r="E3503" t="str">
        <f>"タカハシシ カンコウ キョウカイ"</f>
        <v>タカハシシ カンコウ キョウカイ</v>
      </c>
      <c r="F3503" t="str">
        <f>"高梁"</f>
        <v>高梁</v>
      </c>
      <c r="G3503" t="str">
        <f>"年刊"</f>
        <v>年刊</v>
      </c>
      <c r="H3503" t="str">
        <f>"2002222294031"</f>
        <v>2002222294031</v>
      </c>
      <c r="I3503" t="str">
        <f>HYPERLINK("#", "https://opac.libnet.pref.okayama.jp/licsxp-opac/WOpacMsgNewListToTifTilDetailAction.do?tilcod=2002222294031")</f>
        <v>https://opac.libnet.pref.okayama.jp/licsxp-opac/WOpacMsgNewListToTifTilDetailAction.do?tilcod=2002222294031</v>
      </c>
    </row>
    <row r="3504" spans="1:9" x14ac:dyDescent="0.4">
      <c r="A3504" t="str">
        <f>"たがね"</f>
        <v>たがね</v>
      </c>
      <c r="B3504" s="1" t="str">
        <f t="shared" si="179"/>
        <v>たがね</v>
      </c>
      <c r="C3504" t="str">
        <f>"タガネ"</f>
        <v>タガネ</v>
      </c>
      <c r="D3504" t="str">
        <f>"備前鏨会"</f>
        <v>備前鏨会</v>
      </c>
      <c r="E3504" t="str">
        <f>"ビゼンタガネカイ"</f>
        <v>ビゼンタガネカイ</v>
      </c>
      <c r="F3504" t="str">
        <f>"瀬戸町（赤磐郡）"</f>
        <v>瀬戸町（赤磐郡）</v>
      </c>
      <c r="G3504" t="str">
        <f>"不定期刊"</f>
        <v>不定期刊</v>
      </c>
      <c r="H3504" t="str">
        <f>"2002222301829"</f>
        <v>2002222301829</v>
      </c>
      <c r="I3504" t="str">
        <f>HYPERLINK("#", "https://opac.libnet.pref.okayama.jp/licsxp-opac/WOpacMsgNewListToTifTilDetailAction.do?tilcod=2002222301829")</f>
        <v>https://opac.libnet.pref.okayama.jp/licsxp-opac/WOpacMsgNewListToTifTilDetailAction.do?tilcod=2002222301829</v>
      </c>
    </row>
    <row r="3505" spans="1:9" x14ac:dyDescent="0.4">
      <c r="A3505" t="str">
        <f>"高梁工業高等学校学校要覧"</f>
        <v>高梁工業高等学校学校要覧</v>
      </c>
      <c r="B3505" s="1" t="str">
        <f t="shared" si="179"/>
        <v>高梁工業高等学校学校要覧</v>
      </c>
      <c r="C3505" t="str">
        <f>"タカハシ　コウギョウ　コウトウ　ガッコウ　ガッコウ　ヨウラン"</f>
        <v>タカハシ　コウギョウ　コウトウ　ガッコウ　ガッコウ　ヨウラン</v>
      </c>
      <c r="D3505" t="str">
        <f>"高梁工業高等学校"</f>
        <v>高梁工業高等学校</v>
      </c>
      <c r="E3505" t="str">
        <f>"タカハシコウギョウコウトウガッコウ"</f>
        <v>タカハシコウギョウコウトウガッコウ</v>
      </c>
      <c r="F3505" t="str">
        <f t="shared" ref="F3505:F3520" si="181">"高梁"</f>
        <v>高梁</v>
      </c>
      <c r="G3505" t="str">
        <f>"年刊"</f>
        <v>年刊</v>
      </c>
      <c r="H3505" t="str">
        <f>"2002222300526"</f>
        <v>2002222300526</v>
      </c>
      <c r="I3505" t="str">
        <f>HYPERLINK("#", "https://opac.libnet.pref.okayama.jp/licsxp-opac/WOpacMsgNewListToTifTilDetailAction.do?tilcod=2002222300526")</f>
        <v>https://opac.libnet.pref.okayama.jp/licsxp-opac/WOpacMsgNewListToTifTilDetailAction.do?tilcod=2002222300526</v>
      </c>
    </row>
    <row r="3506" spans="1:9" x14ac:dyDescent="0.4">
      <c r="A3506" t="str">
        <f>"〔高梁工業高等学校・高梁城南高等学校〕菊桜"</f>
        <v>〔高梁工業高等学校・高梁城南高等学校〕菊桜</v>
      </c>
      <c r="B3506" s="1" t="str">
        <f t="shared" si="179"/>
        <v>〔高梁工業高等学校・高梁城南高等学校〕菊桜</v>
      </c>
      <c r="C3506" t="str">
        <f>"タカハシ　コウギョウ　コウトウ　ガッコウ　タカハシ　ジョウナン　コウトウ　ガッコウ　キクザクラ"</f>
        <v>タカハシ　コウギョウ　コウトウ　ガッコウ　タカハシ　ジョウナン　コウトウ　ガッコウ　キクザクラ</v>
      </c>
      <c r="D3506" t="str">
        <f>"高梁工業高等学校・高梁城南高等学校"</f>
        <v>高梁工業高等学校・高梁城南高等学校</v>
      </c>
      <c r="E3506" t="str">
        <f>"タカハシコウギョウコウトウガッコウタカハシジョウナンコウトウガッコウ"</f>
        <v>タカハシコウギョウコウトウガッコウタカハシジョウナンコウトウガッコウ</v>
      </c>
      <c r="F3506" t="str">
        <f t="shared" si="181"/>
        <v>高梁</v>
      </c>
      <c r="G3506" t="str">
        <f>"年刊"</f>
        <v>年刊</v>
      </c>
      <c r="H3506" t="str">
        <f>"2002222300515"</f>
        <v>2002222300515</v>
      </c>
      <c r="I3506" t="str">
        <f>HYPERLINK("#", "https://opac.libnet.pref.okayama.jp/licsxp-opac/WOpacMsgNewListToTifTilDetailAction.do?tilcod=2002222300515")</f>
        <v>https://opac.libnet.pref.okayama.jp/licsxp-opac/WOpacMsgNewListToTifTilDetailAction.do?tilcod=2002222300515</v>
      </c>
    </row>
    <row r="3507" spans="1:9" x14ac:dyDescent="0.4">
      <c r="A3507" t="str">
        <f>"高梁高等学校学校案内"</f>
        <v>高梁高等学校学校案内</v>
      </c>
      <c r="B3507" s="1" t="str">
        <f t="shared" si="179"/>
        <v>高梁高等学校学校案内</v>
      </c>
      <c r="C3507" t="str">
        <f>"タカハシ　コウトウ　ガッコウ　ガッコウ　アンナイ"</f>
        <v>タカハシ　コウトウ　ガッコウ　ガッコウ　アンナイ</v>
      </c>
      <c r="D3507" t="str">
        <f>"高梁高等学校"</f>
        <v>高梁高等学校</v>
      </c>
      <c r="E3507" t="str">
        <f>"タカハシコウトウガッコウ"</f>
        <v>タカハシコウトウガッコウ</v>
      </c>
      <c r="F3507" t="str">
        <f t="shared" si="181"/>
        <v>高梁</v>
      </c>
      <c r="G3507" t="str">
        <f>"年刊"</f>
        <v>年刊</v>
      </c>
      <c r="H3507" t="str">
        <f>"2002222301195"</f>
        <v>2002222301195</v>
      </c>
      <c r="I3507" t="str">
        <f>HYPERLINK("#", "https://opac.libnet.pref.okayama.jp/licsxp-opac/WOpacMsgNewListToTifTilDetailAction.do?tilcod=2002222301195")</f>
        <v>https://opac.libnet.pref.okayama.jp/licsxp-opac/WOpacMsgNewListToTifTilDetailAction.do?tilcod=2002222301195</v>
      </c>
    </row>
    <row r="3508" spans="1:9" x14ac:dyDescent="0.4">
      <c r="A3508" t="str">
        <f>"高梁高等学校学校要覧"</f>
        <v>高梁高等学校学校要覧</v>
      </c>
      <c r="B3508" s="1" t="str">
        <f t="shared" si="179"/>
        <v>高梁高等学校学校要覧</v>
      </c>
      <c r="C3508" t="str">
        <f>"タカハシ　コウトウ　ガッコウ　ガッコウ　ヨウラン"</f>
        <v>タカハシ　コウトウ　ガッコウ　ガッコウ　ヨウラン</v>
      </c>
      <c r="D3508" t="str">
        <f>"高梁高等学校"</f>
        <v>高梁高等学校</v>
      </c>
      <c r="E3508" t="str">
        <f>"タカハシコウトウガッコウ"</f>
        <v>タカハシコウトウガッコウ</v>
      </c>
      <c r="F3508" t="str">
        <f t="shared" si="181"/>
        <v>高梁</v>
      </c>
      <c r="G3508" t="str">
        <f>"年刊"</f>
        <v>年刊</v>
      </c>
      <c r="H3508" t="str">
        <f>"2002222300523"</f>
        <v>2002222300523</v>
      </c>
      <c r="I3508" t="str">
        <f>HYPERLINK("#", "https://opac.libnet.pref.okayama.jp/licsxp-opac/WOpacMsgNewListToTifTilDetailAction.do?tilcod=2002222300523")</f>
        <v>https://opac.libnet.pref.okayama.jp/licsxp-opac/WOpacMsgNewListToTifTilDetailAction.do?tilcod=2002222300523</v>
      </c>
    </row>
    <row r="3509" spans="1:9" x14ac:dyDescent="0.4">
      <c r="A3509" t="str">
        <f>"[高梁高等学校]同窓会だより"</f>
        <v>[高梁高等学校]同窓会だより</v>
      </c>
      <c r="B3509" s="1" t="str">
        <f t="shared" si="179"/>
        <v>[高梁高等学校]同窓会だより</v>
      </c>
      <c r="C3509" t="str">
        <f>"タカハシ コウトウ ガッコウ ドウソウカイ ダヨリ"</f>
        <v>タカハシ コウトウ ガッコウ ドウソウカイ ダヨリ</v>
      </c>
      <c r="D3509" t="str">
        <f>"高梁高等学校同窓会事務局"</f>
        <v>高梁高等学校同窓会事務局</v>
      </c>
      <c r="E3509" t="str">
        <f>"タカハシコウトウガッコウドウソウカイジムキョク"</f>
        <v>タカハシコウトウガッコウドウソウカイジムキョク</v>
      </c>
      <c r="F3509" t="str">
        <f t="shared" si="181"/>
        <v>高梁</v>
      </c>
      <c r="G3509" t="str">
        <f>"頻度不明"</f>
        <v>頻度不明</v>
      </c>
      <c r="H3509" t="str">
        <f>"2002222301950"</f>
        <v>2002222301950</v>
      </c>
      <c r="I3509" t="str">
        <f>HYPERLINK("#", "https://opac.libnet.pref.okayama.jp/licsxp-opac/WOpacMsgNewListToTifTilDetailAction.do?tilcod=2002222301950")</f>
        <v>https://opac.libnet.pref.okayama.jp/licsxp-opac/WOpacMsgNewListToTifTilDetailAction.do?tilcod=2002222301950</v>
      </c>
    </row>
    <row r="3510" spans="1:9" x14ac:dyDescent="0.4">
      <c r="A3510" t="str">
        <f>"〔高梁高等学校〕あゆみ；家庭クラブ新聞"</f>
        <v>〔高梁高等学校〕あゆみ；家庭クラブ新聞</v>
      </c>
      <c r="B3510" s="1" t="str">
        <f t="shared" si="179"/>
        <v>〔高梁高等学校〕あゆみ；家庭クラブ新聞</v>
      </c>
      <c r="C3510" t="str">
        <f>"タカハシ　コウトウ　ガッコウ＊アユミ＊カテイ　クラブ　シンブン"</f>
        <v>タカハシ　コウトウ　ガッコウ＊アユミ＊カテイ　クラブ　シンブン</v>
      </c>
      <c r="D3510" t="str">
        <f>"高梁高等学校"</f>
        <v>高梁高等学校</v>
      </c>
      <c r="E3510" t="str">
        <f>"タカハシコウトウガッコウ"</f>
        <v>タカハシコウトウガッコウ</v>
      </c>
      <c r="F3510" t="str">
        <f t="shared" si="181"/>
        <v>高梁</v>
      </c>
      <c r="G3510" t="str">
        <f>"頻度不明"</f>
        <v>頻度不明</v>
      </c>
      <c r="H3510" t="str">
        <f>"2002222302060"</f>
        <v>2002222302060</v>
      </c>
      <c r="I3510" t="str">
        <f>HYPERLINK("#", "https://opac.libnet.pref.okayama.jp/licsxp-opac/WOpacMsgNewListToTifTilDetailAction.do?tilcod=2002222302060")</f>
        <v>https://opac.libnet.pref.okayama.jp/licsxp-opac/WOpacMsgNewListToTifTilDetailAction.do?tilcod=2002222302060</v>
      </c>
    </row>
    <row r="3511" spans="1:9" x14ac:dyDescent="0.4">
      <c r="A3511" t="str">
        <f>"〔高梁高等学校〕シラバス"</f>
        <v>〔高梁高等学校〕シラバス</v>
      </c>
      <c r="B3511" s="1" t="str">
        <f t="shared" si="179"/>
        <v>〔高梁高等学校〕シラバス</v>
      </c>
      <c r="C3511" t="str">
        <f>"タカハシ　コウトウ　ガッコウ＊シラバス"</f>
        <v>タカハシ　コウトウ　ガッコウ＊シラバス</v>
      </c>
      <c r="D3511" t="str">
        <f>"高梁高等学校"</f>
        <v>高梁高等学校</v>
      </c>
      <c r="E3511" t="str">
        <f>"タカハシコウトウガッコウ"</f>
        <v>タカハシコウトウガッコウ</v>
      </c>
      <c r="F3511" t="str">
        <f t="shared" si="181"/>
        <v>高梁</v>
      </c>
      <c r="G3511" t="str">
        <f>"年刊"</f>
        <v>年刊</v>
      </c>
      <c r="H3511" t="str">
        <f>"2002222300739"</f>
        <v>2002222300739</v>
      </c>
      <c r="I3511" t="str">
        <f>HYPERLINK("#", "https://opac.libnet.pref.okayama.jp/licsxp-opac/WOpacMsgNewListToTifTilDetailAction.do?tilcod=2002222300739")</f>
        <v>https://opac.libnet.pref.okayama.jp/licsxp-opac/WOpacMsgNewListToTifTilDetailAction.do?tilcod=2002222300739</v>
      </c>
    </row>
    <row r="3512" spans="1:9" x14ac:dyDescent="0.4">
      <c r="A3512" t="str">
        <f>"〔高梁高等学校〕せせらぎ；図書館報せせらぎ"</f>
        <v>〔高梁高等学校〕せせらぎ；図書館報せせらぎ</v>
      </c>
      <c r="B3512" s="1" t="str">
        <f t="shared" si="179"/>
        <v>〔高梁高等学校〕せせらぎ；図書館報せせらぎ</v>
      </c>
      <c r="C3512" t="str">
        <f>"タカハシ　コウトウ　ガッコウ＊セセラギ＊トショカンポウ　セセラギ"</f>
        <v>タカハシ　コウトウ　ガッコウ＊セセラギ＊トショカンポウ　セセラギ</v>
      </c>
      <c r="D3512" t="str">
        <f>"高梁高等学校"</f>
        <v>高梁高等学校</v>
      </c>
      <c r="E3512" t="str">
        <f>"タカハシコウトウガッコウ"</f>
        <v>タカハシコウトウガッコウ</v>
      </c>
      <c r="F3512" t="str">
        <f t="shared" si="181"/>
        <v>高梁</v>
      </c>
      <c r="G3512" t="str">
        <f>"頻度不明"</f>
        <v>頻度不明</v>
      </c>
      <c r="H3512" t="str">
        <f>"2002222301862"</f>
        <v>2002222301862</v>
      </c>
      <c r="I3512" t="str">
        <f>HYPERLINK("#", "https://opac.libnet.pref.okayama.jp/licsxp-opac/WOpacMsgNewListToTifTilDetailAction.do?tilcod=2002222301862")</f>
        <v>https://opac.libnet.pref.okayama.jp/licsxp-opac/WOpacMsgNewListToTifTilDetailAction.do?tilcod=2002222301862</v>
      </c>
    </row>
    <row r="3513" spans="1:9" x14ac:dyDescent="0.4">
      <c r="A3513" t="str">
        <f>"高梁公論"</f>
        <v>高梁公論</v>
      </c>
      <c r="B3513" s="1" t="str">
        <f t="shared" si="179"/>
        <v>高梁公論</v>
      </c>
      <c r="C3513" t="str">
        <f>"タカハシ　コウロン"</f>
        <v>タカハシ　コウロン</v>
      </c>
      <c r="D3513" t="str">
        <f>"高梁公論社"</f>
        <v>高梁公論社</v>
      </c>
      <c r="E3513" t="str">
        <f>"タカハシコウロンシャ"</f>
        <v>タカハシコウロンシャ</v>
      </c>
      <c r="F3513" t="str">
        <f t="shared" si="181"/>
        <v>高梁</v>
      </c>
      <c r="G3513" t="str">
        <f>"頻度不明"</f>
        <v>頻度不明</v>
      </c>
      <c r="H3513" t="str">
        <f>"2002222300938"</f>
        <v>2002222300938</v>
      </c>
      <c r="I3513" t="str">
        <f>HYPERLINK("#", "https://opac.libnet.pref.okayama.jp/licsxp-opac/WOpacMsgNewListToTifTilDetailAction.do?tilcod=2002222300938")</f>
        <v>https://opac.libnet.pref.okayama.jp/licsxp-opac/WOpacMsgNewListToTifTilDetailAction.do?tilcod=2002222300938</v>
      </c>
    </row>
    <row r="3514" spans="1:9" x14ac:dyDescent="0.4">
      <c r="A3514" t="str">
        <f>"たかはし市議会だより"</f>
        <v>たかはし市議会だより</v>
      </c>
      <c r="B3514" s="1" t="str">
        <f t="shared" si="179"/>
        <v>たかはし市議会だより</v>
      </c>
      <c r="C3514" t="str">
        <f>"タカハシ　シギカイ　ダヨリ"</f>
        <v>タカハシ　シギカイ　ダヨリ</v>
      </c>
      <c r="D3514" t="str">
        <f>"高梁市議会"</f>
        <v>高梁市議会</v>
      </c>
      <c r="E3514" t="str">
        <f>"タカハシシギカイ"</f>
        <v>タカハシシギカイ</v>
      </c>
      <c r="F3514" t="str">
        <f t="shared" si="181"/>
        <v>高梁</v>
      </c>
      <c r="G3514" t="str">
        <f>"頻度不明"</f>
        <v>頻度不明</v>
      </c>
      <c r="H3514" t="str">
        <f>"2002222300185"</f>
        <v>2002222300185</v>
      </c>
      <c r="I3514" t="str">
        <f>HYPERLINK("#", "https://opac.libnet.pref.okayama.jp/licsxp-opac/WOpacMsgNewListToTifTilDetailAction.do?tilcod=2002222300185")</f>
        <v>https://opac.libnet.pref.okayama.jp/licsxp-opac/WOpacMsgNewListToTifTilDetailAction.do?tilcod=2002222300185</v>
      </c>
    </row>
    <row r="3515" spans="1:9" x14ac:dyDescent="0.4">
      <c r="A3515" t="str">
        <f>"高梁市議会だより"</f>
        <v>高梁市議会だより</v>
      </c>
      <c r="B3515" s="1" t="str">
        <f t="shared" si="179"/>
        <v>高梁市議会だより</v>
      </c>
      <c r="C3515" t="str">
        <f>"タカハシ　シギカイ　ダヨリ"</f>
        <v>タカハシ　シギカイ　ダヨリ</v>
      </c>
      <c r="D3515" t="str">
        <f>"高梁市議会"</f>
        <v>高梁市議会</v>
      </c>
      <c r="E3515" t="str">
        <f>"タカハシシギカイ"</f>
        <v>タカハシシギカイ</v>
      </c>
      <c r="F3515" t="str">
        <f t="shared" si="181"/>
        <v>高梁</v>
      </c>
      <c r="G3515" t="str">
        <f>"季刊"</f>
        <v>季刊</v>
      </c>
      <c r="H3515" t="str">
        <f>"2002222302401"</f>
        <v>2002222302401</v>
      </c>
      <c r="I3515" t="str">
        <f>HYPERLINK("#", "https://opac.libnet.pref.okayama.jp/licsxp-opac/WOpacMsgNewListToTifTilDetailAction.do?tilcod=2002222302401")</f>
        <v>https://opac.libnet.pref.okayama.jp/licsxp-opac/WOpacMsgNewListToTifTilDetailAction.do?tilcod=2002222302401</v>
      </c>
    </row>
    <row r="3516" spans="1:9" x14ac:dyDescent="0.4">
      <c r="A3516" t="str">
        <f>"高梁商工会議所商工ニュース"</f>
        <v>高梁商工会議所商工ニュース</v>
      </c>
      <c r="B3516" s="1" t="str">
        <f t="shared" si="179"/>
        <v>高梁商工会議所商工ニュース</v>
      </c>
      <c r="C3516" t="str">
        <f>"タカハシ　ショウコウ　カイギショ　ショウコウ　ニュース"</f>
        <v>タカハシ　ショウコウ　カイギショ　ショウコウ　ニュース</v>
      </c>
      <c r="D3516" t="str">
        <f>"高梁商工会議所"</f>
        <v>高梁商工会議所</v>
      </c>
      <c r="E3516" t="str">
        <f>"タカハシ ショウコウ カイギショ"</f>
        <v>タカハシ ショウコウ カイギショ</v>
      </c>
      <c r="F3516" t="str">
        <f t="shared" si="181"/>
        <v>高梁</v>
      </c>
      <c r="G3516" t="str">
        <f>"年刊"</f>
        <v>年刊</v>
      </c>
      <c r="H3516" t="str">
        <f>"2002222283001"</f>
        <v>2002222283001</v>
      </c>
      <c r="I3516" t="str">
        <f>HYPERLINK("#", "https://opac.libnet.pref.okayama.jp/licsxp-opac/WOpacMsgNewListToTifTilDetailAction.do?tilcod=2002222283001")</f>
        <v>https://opac.libnet.pref.okayama.jp/licsxp-opac/WOpacMsgNewListToTifTilDetailAction.do?tilcod=2002222283001</v>
      </c>
    </row>
    <row r="3517" spans="1:9" x14ac:dyDescent="0.4">
      <c r="A3517" t="str">
        <f>"高梁商工会議所会報たかはし"</f>
        <v>高梁商工会議所会報たかはし</v>
      </c>
      <c r="B3517" s="1" t="str">
        <f t="shared" si="179"/>
        <v>高梁商工会議所会報たかはし</v>
      </c>
      <c r="C3517" t="str">
        <f>"タカハシ ショウコウカイギショ カイホウ タカハシ"</f>
        <v>タカハシ ショウコウカイギショ カイホウ タカハシ</v>
      </c>
      <c r="D3517" t="str">
        <f>"高梁商工会議所"</f>
        <v>高梁商工会議所</v>
      </c>
      <c r="E3517" t="str">
        <f>"タカハシ ショウコウ カイギショ"</f>
        <v>タカハシ ショウコウ カイギショ</v>
      </c>
      <c r="F3517" t="str">
        <f t="shared" si="181"/>
        <v>高梁</v>
      </c>
      <c r="G3517" t="str">
        <f>"月刊"</f>
        <v>月刊</v>
      </c>
      <c r="H3517" t="str">
        <f>"2002222283071"</f>
        <v>2002222283071</v>
      </c>
      <c r="I3517" t="str">
        <f>HYPERLINK("#", "https://opac.libnet.pref.okayama.jp/licsxp-opac/WOpacMsgNewListToTifTilDetailAction.do?tilcod=2002222283071")</f>
        <v>https://opac.libnet.pref.okayama.jp/licsxp-opac/WOpacMsgNewListToTifTilDetailAction.do?tilcod=2002222283071</v>
      </c>
    </row>
    <row r="3518" spans="1:9" x14ac:dyDescent="0.4">
      <c r="A3518" t="str">
        <f>"高梁城南高等学校学校案内"</f>
        <v>高梁城南高等学校学校案内</v>
      </c>
      <c r="B3518" s="1" t="str">
        <f t="shared" si="179"/>
        <v>高梁城南高等学校学校案内</v>
      </c>
      <c r="C3518" t="str">
        <f>"タカハシ　ジョウナン　コウトウ　ガッコウ　ガッコウ　アンナイ"</f>
        <v>タカハシ　ジョウナン　コウトウ　ガッコウ　ガッコウ　アンナイ</v>
      </c>
      <c r="D3518" t="str">
        <f t="shared" ref="D3518:D3523" si="182">"高梁城南高等学校"</f>
        <v>高梁城南高等学校</v>
      </c>
      <c r="E3518" t="str">
        <f t="shared" ref="E3518:E3523" si="183">"タカハシジョウナンコウトウガッコウ"</f>
        <v>タカハシジョウナンコウトウガッコウ</v>
      </c>
      <c r="F3518" t="str">
        <f t="shared" si="181"/>
        <v>高梁</v>
      </c>
      <c r="G3518" t="str">
        <f t="shared" ref="G3518:G3523" si="184">"年刊"</f>
        <v>年刊</v>
      </c>
      <c r="H3518" t="str">
        <f>"2002222301199"</f>
        <v>2002222301199</v>
      </c>
      <c r="I3518" t="str">
        <f>HYPERLINK("#", "https://opac.libnet.pref.okayama.jp/licsxp-opac/WOpacMsgNewListToTifTilDetailAction.do?tilcod=2002222301199")</f>
        <v>https://opac.libnet.pref.okayama.jp/licsxp-opac/WOpacMsgNewListToTifTilDetailAction.do?tilcod=2002222301199</v>
      </c>
    </row>
    <row r="3519" spans="1:9" x14ac:dyDescent="0.4">
      <c r="A3519" t="str">
        <f>"高梁城南高等学校学校案内（川上校地）"</f>
        <v>高梁城南高等学校学校案内（川上校地）</v>
      </c>
      <c r="B3519" s="1" t="str">
        <f t="shared" si="179"/>
        <v>高梁城南高等学校学校案内（川上校地）</v>
      </c>
      <c r="C3519" t="str">
        <f>"タカハシ　ジョウナン　コウトウ　ガッコウ　ガッコウ　アンナイ　カワカミコウチ"</f>
        <v>タカハシ　ジョウナン　コウトウ　ガッコウ　ガッコウ　アンナイ　カワカミコウチ</v>
      </c>
      <c r="D3519" t="str">
        <f t="shared" si="182"/>
        <v>高梁城南高等学校</v>
      </c>
      <c r="E3519" t="str">
        <f t="shared" si="183"/>
        <v>タカハシジョウナンコウトウガッコウ</v>
      </c>
      <c r="F3519" t="str">
        <f t="shared" si="181"/>
        <v>高梁</v>
      </c>
      <c r="G3519" t="str">
        <f t="shared" si="184"/>
        <v>年刊</v>
      </c>
      <c r="H3519" t="str">
        <f>"2002222301198"</f>
        <v>2002222301198</v>
      </c>
      <c r="I3519" t="str">
        <f>HYPERLINK("#", "https://opac.libnet.pref.okayama.jp/licsxp-opac/WOpacMsgNewListToTifTilDetailAction.do?tilcod=2002222301198")</f>
        <v>https://opac.libnet.pref.okayama.jp/licsxp-opac/WOpacMsgNewListToTifTilDetailAction.do?tilcod=2002222301198</v>
      </c>
    </row>
    <row r="3520" spans="1:9" x14ac:dyDescent="0.4">
      <c r="A3520" t="str">
        <f>"高梁城南高等学校学校要覧"</f>
        <v>高梁城南高等学校学校要覧</v>
      </c>
      <c r="B3520" s="1" t="str">
        <f t="shared" si="179"/>
        <v>高梁城南高等学校学校要覧</v>
      </c>
      <c r="C3520" t="str">
        <f>"タカハシ　ジョウナン　コウトウ　ガッコウ　ガッコウ　ヨウラン"</f>
        <v>タカハシ　ジョウナン　コウトウ　ガッコウ　ガッコウ　ヨウラン</v>
      </c>
      <c r="D3520" t="str">
        <f t="shared" si="182"/>
        <v>高梁城南高等学校</v>
      </c>
      <c r="E3520" t="str">
        <f t="shared" si="183"/>
        <v>タカハシジョウナンコウトウガッコウ</v>
      </c>
      <c r="F3520" t="str">
        <f t="shared" si="181"/>
        <v>高梁</v>
      </c>
      <c r="G3520" t="str">
        <f t="shared" si="184"/>
        <v>年刊</v>
      </c>
      <c r="H3520" t="str">
        <f>"2002222300527"</f>
        <v>2002222300527</v>
      </c>
      <c r="I3520" t="str">
        <f>HYPERLINK("#", "https://opac.libnet.pref.okayama.jp/licsxp-opac/WOpacMsgNewListToTifTilDetailAction.do?tilcod=2002222300527")</f>
        <v>https://opac.libnet.pref.okayama.jp/licsxp-opac/WOpacMsgNewListToTifTilDetailAction.do?tilcod=2002222300527</v>
      </c>
    </row>
    <row r="3521" spans="1:9" x14ac:dyDescent="0.4">
      <c r="A3521" t="str">
        <f>"高梁城南高等学校学校要覧（川上校地）"</f>
        <v>高梁城南高等学校学校要覧（川上校地）</v>
      </c>
      <c r="B3521" s="1" t="str">
        <f t="shared" si="179"/>
        <v>高梁城南高等学校学校要覧（川上校地）</v>
      </c>
      <c r="C3521" t="str">
        <f>"タカハシ　ジョウナン　コウトウ　ガッコウ　ガッコウ　ヨウラン　カワカミコウチ"</f>
        <v>タカハシ　ジョウナン　コウトウ　ガッコウ　ガッコウ　ヨウラン　カワカミコウチ</v>
      </c>
      <c r="D3521" t="str">
        <f t="shared" si="182"/>
        <v>高梁城南高等学校</v>
      </c>
      <c r="E3521" t="str">
        <f t="shared" si="183"/>
        <v>タカハシジョウナンコウトウガッコウ</v>
      </c>
      <c r="F3521" t="str">
        <f>"川上町（川上郡）"</f>
        <v>川上町（川上郡）</v>
      </c>
      <c r="G3521" t="str">
        <f t="shared" si="184"/>
        <v>年刊</v>
      </c>
      <c r="H3521" t="str">
        <f>"2002222300528"</f>
        <v>2002222300528</v>
      </c>
      <c r="I3521" t="str">
        <f>HYPERLINK("#", "https://opac.libnet.pref.okayama.jp/licsxp-opac/WOpacMsgNewListToTifTilDetailAction.do?tilcod=2002222300528")</f>
        <v>https://opac.libnet.pref.okayama.jp/licsxp-opac/WOpacMsgNewListToTifTilDetailAction.do?tilcod=2002222300528</v>
      </c>
    </row>
    <row r="3522" spans="1:9" x14ac:dyDescent="0.4">
      <c r="A3522" t="str">
        <f>"〔高梁城南高等学校〕シラバス"</f>
        <v>〔高梁城南高等学校〕シラバス</v>
      </c>
      <c r="B3522" s="1" t="str">
        <f t="shared" si="179"/>
        <v>〔高梁城南高等学校〕シラバス</v>
      </c>
      <c r="C3522" t="str">
        <f>"タカハシ　ジョウナン　コウトウ　ガッコウ＊シラバス"</f>
        <v>タカハシ　ジョウナン　コウトウ　ガッコウ＊シラバス</v>
      </c>
      <c r="D3522" t="str">
        <f t="shared" si="182"/>
        <v>高梁城南高等学校</v>
      </c>
      <c r="E3522" t="str">
        <f t="shared" si="183"/>
        <v>タカハシジョウナンコウトウガッコウ</v>
      </c>
      <c r="F3522" t="str">
        <f>"高梁"</f>
        <v>高梁</v>
      </c>
      <c r="G3522" t="str">
        <f t="shared" si="184"/>
        <v>年刊</v>
      </c>
      <c r="H3522" t="str">
        <f>"2002222301160"</f>
        <v>2002222301160</v>
      </c>
      <c r="I3522" t="str">
        <f>HYPERLINK("#", "https://opac.libnet.pref.okayama.jp/licsxp-opac/WOpacMsgNewListToTifTilDetailAction.do?tilcod=2002222301160")</f>
        <v>https://opac.libnet.pref.okayama.jp/licsxp-opac/WOpacMsgNewListToTifTilDetailAction.do?tilcod=2002222301160</v>
      </c>
    </row>
    <row r="3523" spans="1:9" x14ac:dyDescent="0.4">
      <c r="A3523" t="str">
        <f>"〔高梁城南高等学校〕城南"</f>
        <v>〔高梁城南高等学校〕城南</v>
      </c>
      <c r="B3523" s="1" t="str">
        <f t="shared" si="179"/>
        <v>〔高梁城南高等学校〕城南</v>
      </c>
      <c r="C3523" t="str">
        <f>"タカハシ　ジョウナン　コウトウガッコウ＊ジョウナン"</f>
        <v>タカハシ　ジョウナン　コウトウガッコウ＊ジョウナン</v>
      </c>
      <c r="D3523" t="str">
        <f t="shared" si="182"/>
        <v>高梁城南高等学校</v>
      </c>
      <c r="E3523" t="str">
        <f t="shared" si="183"/>
        <v>タカハシジョウナンコウトウガッコウ</v>
      </c>
      <c r="F3523" t="str">
        <f>"高梁"</f>
        <v>高梁</v>
      </c>
      <c r="G3523" t="str">
        <f t="shared" si="184"/>
        <v>年刊</v>
      </c>
      <c r="H3523" t="str">
        <f>"2002222301406"</f>
        <v>2002222301406</v>
      </c>
      <c r="I3523" t="str">
        <f>HYPERLINK("#", "https://opac.libnet.pref.okayama.jp/licsxp-opac/WOpacMsgNewListToTifTilDetailAction.do?tilcod=2002222301406")</f>
        <v>https://opac.libnet.pref.okayama.jp/licsxp-opac/WOpacMsgNewListToTifTilDetailAction.do?tilcod=2002222301406</v>
      </c>
    </row>
    <row r="3524" spans="1:9" x14ac:dyDescent="0.4">
      <c r="A3524" t="str">
        <f>"高梁新聞"</f>
        <v>高梁新聞</v>
      </c>
      <c r="B3524" s="1" t="str">
        <f t="shared" ref="B3524:B3587" si="185">HYPERLINK("#", A3524)</f>
        <v>高梁新聞</v>
      </c>
      <c r="C3524" t="str">
        <f>"タカハシ シンブン"</f>
        <v>タカハシ シンブン</v>
      </c>
      <c r="D3524" t="str">
        <f>"高梁新聞社"</f>
        <v>高梁新聞社</v>
      </c>
      <c r="E3524" t="str">
        <f>"タカハシ シンブンシャ"</f>
        <v>タカハシ シンブンシャ</v>
      </c>
      <c r="F3524" t="str">
        <f>"高梁町[上房郡]"</f>
        <v>高梁町[上房郡]</v>
      </c>
      <c r="G3524" t="str">
        <f>"その他"</f>
        <v>その他</v>
      </c>
      <c r="H3524" t="str">
        <f>"2002222335606"</f>
        <v>2002222335606</v>
      </c>
      <c r="I3524" t="str">
        <f>HYPERLINK("#", "https://opac.libnet.pref.okayama.jp/licsxp-opac/WOpacMsgNewListToTifTilDetailAction.do?tilcod=2002222335606")</f>
        <v>https://opac.libnet.pref.okayama.jp/licsxp-opac/WOpacMsgNewListToTifTilDetailAction.do?tilcod=2002222335606</v>
      </c>
    </row>
    <row r="3525" spans="1:9" x14ac:dyDescent="0.4">
      <c r="A3525" t="str">
        <f>"高梁地域づくり交流会会報"</f>
        <v>高梁地域づくり交流会会報</v>
      </c>
      <c r="B3525" s="1" t="str">
        <f t="shared" si="185"/>
        <v>高梁地域づくり交流会会報</v>
      </c>
      <c r="C3525" t="str">
        <f>"タカハシ チイキズクリ コウリュウカイ カイホウ"</f>
        <v>タカハシ チイキズクリ コウリュウカイ カイホウ</v>
      </c>
      <c r="D3525" t="str">
        <f>"高梁地域づくり交流会"</f>
        <v>高梁地域づくり交流会</v>
      </c>
      <c r="E3525" t="str">
        <f>"タカハシ チイキズクリ コウリュウカイ"</f>
        <v>タカハシ チイキズクリ コウリュウカイ</v>
      </c>
      <c r="F3525" t="str">
        <f>"高梁"</f>
        <v>高梁</v>
      </c>
      <c r="G3525" t="str">
        <f>"頻度不明"</f>
        <v>頻度不明</v>
      </c>
      <c r="H3525" t="str">
        <f>"2002222342710"</f>
        <v>2002222342710</v>
      </c>
      <c r="I3525" t="str">
        <f>HYPERLINK("#", "https://opac.libnet.pref.okayama.jp/licsxp-opac/WOpacMsgNewListToTifTilDetailAction.do?tilcod=2002222342710")</f>
        <v>https://opac.libnet.pref.okayama.jp/licsxp-opac/WOpacMsgNewListToTifTilDetailAction.do?tilcod=2002222342710</v>
      </c>
    </row>
    <row r="3526" spans="1:9" x14ac:dyDescent="0.4">
      <c r="A3526" t="str">
        <f>"〔高梁中学校寄宿舎〕時報"</f>
        <v>〔高梁中学校寄宿舎〕時報</v>
      </c>
      <c r="B3526" s="1" t="str">
        <f t="shared" si="185"/>
        <v>〔高梁中学校寄宿舎〕時報</v>
      </c>
      <c r="C3526" t="str">
        <f>"タカハシ　チュウガッコウ　キシュクシャ＊ジホウ"</f>
        <v>タカハシ　チュウガッコウ　キシュクシャ＊ジホウ</v>
      </c>
      <c r="D3526" t="str">
        <f>"岡山県高梁中学校寄宿舎"</f>
        <v>岡山県高梁中学校寄宿舎</v>
      </c>
      <c r="E3526" t="str">
        <f>"オカヤマケンタカハシチュウガッコウキシュクシャ"</f>
        <v>オカヤマケンタカハシチュウガッコウキシュクシャ</v>
      </c>
      <c r="F3526" t="str">
        <f>"高梁"</f>
        <v>高梁</v>
      </c>
      <c r="G3526" t="str">
        <f>"頻度不明"</f>
        <v>頻度不明</v>
      </c>
      <c r="H3526" t="str">
        <f>"2002222283983"</f>
        <v>2002222283983</v>
      </c>
      <c r="I3526" t="str">
        <f>HYPERLINK("#", "https://opac.libnet.pref.okayama.jp/licsxp-opac/WOpacMsgNewListToTifTilDetailAction.do?tilcod=2002222283983")</f>
        <v>https://opac.libnet.pref.okayama.jp/licsxp-opac/WOpacMsgNewListToTifTilDetailAction.do?tilcod=2002222283983</v>
      </c>
    </row>
    <row r="3527" spans="1:9" x14ac:dyDescent="0.4">
      <c r="A3527" t="str">
        <f>"高梁の絆；The Takahashi Bonds"</f>
        <v>高梁の絆；The Takahashi Bonds</v>
      </c>
      <c r="B3527" s="1" t="str">
        <f t="shared" si="185"/>
        <v>高梁の絆；The Takahashi Bonds</v>
      </c>
      <c r="C3527" t="str">
        <f>"タカハシ ノ キズナ＊ザ タカハシ バンズ"</f>
        <v>タカハシ ノ キズナ＊ザ タカハシ バンズ</v>
      </c>
      <c r="D3527" t="str">
        <f>"[土生 裕]"</f>
        <v>[土生 裕]</v>
      </c>
      <c r="E3527" t="str">
        <f>"ハブ ヒロシ"</f>
        <v>ハブ ヒロシ</v>
      </c>
      <c r="F3527" t="str">
        <f>"[高梁]"</f>
        <v>[高梁]</v>
      </c>
      <c r="G3527" t="str">
        <f>"頻度不明"</f>
        <v>頻度不明</v>
      </c>
      <c r="H3527" t="str">
        <f>"2002222342278"</f>
        <v>2002222342278</v>
      </c>
      <c r="I3527" t="str">
        <f>HYPERLINK("#", "https://opac.libnet.pref.okayama.jp/licsxp-opac/WOpacMsgNewListToTifTilDetailAction.do?tilcod=2002222342278")</f>
        <v>https://opac.libnet.pref.okayama.jp/licsxp-opac/WOpacMsgNewListToTifTilDetailAction.do?tilcod=2002222342278</v>
      </c>
    </row>
    <row r="3528" spans="1:9" x14ac:dyDescent="0.4">
      <c r="A3528" t="str">
        <f>"たかはしの生涯学習"</f>
        <v>たかはしの生涯学習</v>
      </c>
      <c r="B3528" s="1" t="str">
        <f t="shared" si="185"/>
        <v>たかはしの生涯学習</v>
      </c>
      <c r="C3528" t="str">
        <f>"タカハシ　ノ　シヨウガイ　ガクシユウ"</f>
        <v>タカハシ　ノ　シヨウガイ　ガクシユウ</v>
      </c>
      <c r="D3528" t="str">
        <f>"高梁市生涯学習推進本部事務局"</f>
        <v>高梁市生涯学習推進本部事務局</v>
      </c>
      <c r="E3528" t="str">
        <f>"タカハシシシヨウガイガクシユウスイシンホンブジムキヨク"</f>
        <v>タカハシシシヨウガイガクシユウスイシンホンブジムキヨク</v>
      </c>
      <c r="F3528" t="str">
        <f>"高梁"</f>
        <v>高梁</v>
      </c>
      <c r="G3528" t="str">
        <f>"年２回刊"</f>
        <v>年２回刊</v>
      </c>
      <c r="H3528" t="str">
        <f>"2002222293841"</f>
        <v>2002222293841</v>
      </c>
      <c r="I3528" t="str">
        <f>HYPERLINK("#", "https://opac.libnet.pref.okayama.jp/licsxp-opac/WOpacMsgNewListToTifTilDetailAction.do?tilcod=2002222293841")</f>
        <v>https://opac.libnet.pref.okayama.jp/licsxp-opac/WOpacMsgNewListToTifTilDetailAction.do?tilcod=2002222293841</v>
      </c>
    </row>
    <row r="3529" spans="1:9" x14ac:dyDescent="0.4">
      <c r="A3529" t="str">
        <f>"たかはし文化"</f>
        <v>たかはし文化</v>
      </c>
      <c r="B3529" s="1" t="str">
        <f t="shared" si="185"/>
        <v>たかはし文化</v>
      </c>
      <c r="C3529" t="str">
        <f>"タカハシ　ブンカ"</f>
        <v>タカハシ　ブンカ</v>
      </c>
      <c r="D3529" t="str">
        <f>"高梁市文化協会"</f>
        <v>高梁市文化協会</v>
      </c>
      <c r="E3529" t="str">
        <f>"タカハシシ ブンカ キョウカイ"</f>
        <v>タカハシシ ブンカ キョウカイ</v>
      </c>
      <c r="F3529" t="str">
        <f>"高梁"</f>
        <v>高梁</v>
      </c>
      <c r="G3529" t="str">
        <f>"年刊"</f>
        <v>年刊</v>
      </c>
      <c r="H3529" t="str">
        <f>"2002222280531"</f>
        <v>2002222280531</v>
      </c>
      <c r="I3529" t="str">
        <f>HYPERLINK("#", "https://opac.libnet.pref.okayama.jp/licsxp-opac/WOpacMsgNewListToTifTilDetailAction.do?tilcod=2002222280531")</f>
        <v>https://opac.libnet.pref.okayama.jp/licsxp-opac/WOpacMsgNewListToTifTilDetailAction.do?tilcod=2002222280531</v>
      </c>
    </row>
    <row r="3530" spans="1:9" x14ac:dyDescent="0.4">
      <c r="A3530" t="str">
        <f>"高梁方谷会報"</f>
        <v>高梁方谷会報</v>
      </c>
      <c r="B3530" s="1" t="str">
        <f t="shared" si="185"/>
        <v>高梁方谷会報</v>
      </c>
      <c r="C3530" t="str">
        <f>"タカハシ　ホウコク　カイホウ"</f>
        <v>タカハシ　ホウコク　カイホウ</v>
      </c>
      <c r="D3530" t="str">
        <f>"高梁方谷会"</f>
        <v>高梁方谷会</v>
      </c>
      <c r="E3530" t="str">
        <f>"タカハシ ホウコクカイ"</f>
        <v>タカハシ ホウコクカイ</v>
      </c>
      <c r="F3530" t="str">
        <f>"高梁"</f>
        <v>高梁</v>
      </c>
      <c r="G3530" t="str">
        <f>"年刊"</f>
        <v>年刊</v>
      </c>
      <c r="H3530" t="str">
        <f>"2002222282341"</f>
        <v>2002222282341</v>
      </c>
      <c r="I3530" t="str">
        <f>HYPERLINK("#", "https://opac.libnet.pref.okayama.jp/licsxp-opac/WOpacMsgNewListToTifTilDetailAction.do?tilcod=2002222282341")</f>
        <v>https://opac.libnet.pref.okayama.jp/licsxp-opac/WOpacMsgNewListToTifTilDetailAction.do?tilcod=2002222282341</v>
      </c>
    </row>
    <row r="3531" spans="1:9" x14ac:dyDescent="0.4">
      <c r="A3531" t="str">
        <f>"高梁ＬＩＯＮＳ　ＣＬＵＢ（高梁ライオンズ　クラブ）"</f>
        <v>高梁ＬＩＯＮＳ　ＣＬＵＢ（高梁ライオンズ　クラブ）</v>
      </c>
      <c r="B3531" s="1" t="str">
        <f t="shared" si="185"/>
        <v>高梁ＬＩＯＮＳ　ＣＬＵＢ（高梁ライオンズ　クラブ）</v>
      </c>
      <c r="C3531" t="str">
        <f>"タカハシ　ライオンズ　クラブ"</f>
        <v>タカハシ　ライオンズ　クラブ</v>
      </c>
      <c r="D3531" t="str">
        <f>"高梁ライオンズクラブ"</f>
        <v>高梁ライオンズクラブ</v>
      </c>
      <c r="E3531" t="str">
        <f>"タカハシ ライオンズ クラブ"</f>
        <v>タカハシ ライオンズ クラブ</v>
      </c>
      <c r="F3531" t="str">
        <f>"高梁"</f>
        <v>高梁</v>
      </c>
      <c r="G3531" t="str">
        <f>"年刊"</f>
        <v>年刊</v>
      </c>
      <c r="H3531" t="str">
        <f>"2002222292901"</f>
        <v>2002222292901</v>
      </c>
      <c r="I3531" t="str">
        <f>HYPERLINK("#", "https://opac.libnet.pref.okayama.jp/licsxp-opac/WOpacMsgNewListToTifTilDetailAction.do?tilcod=2002222292901")</f>
        <v>https://opac.libnet.pref.okayama.jp/licsxp-opac/WOpacMsgNewListToTifTilDetailAction.do?tilcod=2002222292901</v>
      </c>
    </row>
    <row r="3532" spans="1:9" x14ac:dyDescent="0.4">
      <c r="A3532" t="str">
        <f>"たかはし川"</f>
        <v>たかはし川</v>
      </c>
      <c r="B3532" s="1" t="str">
        <f t="shared" si="185"/>
        <v>たかはし川</v>
      </c>
      <c r="C3532" t="str">
        <f>"タカハシガワ"</f>
        <v>タカハシガワ</v>
      </c>
      <c r="D3532" t="str">
        <f>"クラレ倉敷自治会"</f>
        <v>クラレ倉敷自治会</v>
      </c>
      <c r="E3532" t="str">
        <f>"クラレクラシキジチカイ"</f>
        <v>クラレクラシキジチカイ</v>
      </c>
      <c r="F3532" t="str">
        <f>"倉敷"</f>
        <v>倉敷</v>
      </c>
      <c r="G3532" t="str">
        <f>"頻度不明"</f>
        <v>頻度不明</v>
      </c>
      <c r="H3532" t="str">
        <f>"2002222301497"</f>
        <v>2002222301497</v>
      </c>
      <c r="I3532" t="str">
        <f>HYPERLINK("#", "https://opac.libnet.pref.okayama.jp/licsxp-opac/WOpacMsgNewListToTifTilDetailAction.do?tilcod=2002222301497")</f>
        <v>https://opac.libnet.pref.okayama.jp/licsxp-opac/WOpacMsgNewListToTifTilDetailAction.do?tilcod=2002222301497</v>
      </c>
    </row>
    <row r="3533" spans="1:9" x14ac:dyDescent="0.4">
      <c r="A3533" t="str">
        <f>"たかはしがわ"</f>
        <v>たかはしがわ</v>
      </c>
      <c r="B3533" s="1" t="str">
        <f t="shared" si="185"/>
        <v>たかはしがわ</v>
      </c>
      <c r="C3533" t="str">
        <f>"タカハシガワ"</f>
        <v>タカハシガワ</v>
      </c>
      <c r="D3533" t="str">
        <f>"高梁川漁業協同組合"</f>
        <v>高梁川漁業協同組合</v>
      </c>
      <c r="E3533" t="str">
        <f>"タカハシガワ ギョギョウ キョウドウ クミアイ"</f>
        <v>タカハシガワ ギョギョウ キョウドウ クミアイ</v>
      </c>
      <c r="F3533" t="str">
        <f>"高梁"</f>
        <v>高梁</v>
      </c>
      <c r="G3533" t="str">
        <f>"頻度不明"</f>
        <v>頻度不明</v>
      </c>
      <c r="H3533" t="str">
        <f>"2002222283973"</f>
        <v>2002222283973</v>
      </c>
      <c r="I3533" t="str">
        <f>HYPERLINK("#", "https://opac.libnet.pref.okayama.jp/licsxp-opac/WOpacMsgNewListToTifTilDetailAction.do?tilcod=2002222283973")</f>
        <v>https://opac.libnet.pref.okayama.jp/licsxp-opac/WOpacMsgNewListToTifTilDetailAction.do?tilcod=2002222283973</v>
      </c>
    </row>
    <row r="3534" spans="1:9" x14ac:dyDescent="0.4">
      <c r="A3534" t="str">
        <f>"高梁川"</f>
        <v>高梁川</v>
      </c>
      <c r="B3534" s="1" t="str">
        <f t="shared" si="185"/>
        <v>高梁川</v>
      </c>
      <c r="C3534" t="str">
        <f>"タカハシガワ"</f>
        <v>タカハシガワ</v>
      </c>
      <c r="D3534" t="str">
        <f>"高梁川流域連盟"</f>
        <v>高梁川流域連盟</v>
      </c>
      <c r="E3534" t="str">
        <f>"タカハシガワ リュウイキ レンメイ"</f>
        <v>タカハシガワ リュウイキ レンメイ</v>
      </c>
      <c r="F3534" t="str">
        <f>"倉敷"</f>
        <v>倉敷</v>
      </c>
      <c r="G3534" t="str">
        <f>"年刊"</f>
        <v>年刊</v>
      </c>
      <c r="H3534" t="str">
        <f>"2002222291511"</f>
        <v>2002222291511</v>
      </c>
      <c r="I3534" t="str">
        <f>HYPERLINK("#", "https://opac.libnet.pref.okayama.jp/licsxp-opac/WOpacMsgNewListToTifTilDetailAction.do?tilcod=2002222291511")</f>
        <v>https://opac.libnet.pref.okayama.jp/licsxp-opac/WOpacMsgNewListToTifTilDetailAction.do?tilcod=2002222291511</v>
      </c>
    </row>
    <row r="3535" spans="1:9" x14ac:dyDescent="0.4">
      <c r="A3535" t="str">
        <f>"高梁川ニューズレター；高梁川水系河川整備計画"</f>
        <v>高梁川ニューズレター；高梁川水系河川整備計画</v>
      </c>
      <c r="B3535" s="1" t="str">
        <f t="shared" si="185"/>
        <v>高梁川ニューズレター；高梁川水系河川整備計画</v>
      </c>
      <c r="C3535" t="str">
        <f>"タカハシガワ　ニューズ　レター＊タカハシガワ　スイケイ　カセン　セイビ　ケイカク"</f>
        <v>タカハシガワ　ニューズ　レター＊タカハシガワ　スイケイ　カセン　セイビ　ケイカク</v>
      </c>
      <c r="D3535" t="str">
        <f>"岡山河川事務所"</f>
        <v>岡山河川事務所</v>
      </c>
      <c r="E3535" t="str">
        <f>"オカヤマカセンジムショ"</f>
        <v>オカヤマカセンジムショ</v>
      </c>
      <c r="F3535" t="str">
        <f>"岡山"</f>
        <v>岡山</v>
      </c>
      <c r="G3535" t="str">
        <f>"頻度不明"</f>
        <v>頻度不明</v>
      </c>
      <c r="H3535" t="str">
        <f>"2002222302416"</f>
        <v>2002222302416</v>
      </c>
      <c r="I3535" t="str">
        <f>HYPERLINK("#", "https://opac.libnet.pref.okayama.jp/licsxp-opac/WOpacMsgNewListToTifTilDetailAction.do?tilcod=2002222302416")</f>
        <v>https://opac.libnet.pref.okayama.jp/licsxp-opac/WOpacMsgNewListToTifTilDetailAction.do?tilcod=2002222302416</v>
      </c>
    </row>
    <row r="3536" spans="1:9" x14ac:dyDescent="0.4">
      <c r="A3536" t="str">
        <f>"高梁川流域の自然"</f>
        <v>高梁川流域の自然</v>
      </c>
      <c r="B3536" s="1" t="str">
        <f t="shared" si="185"/>
        <v>高梁川流域の自然</v>
      </c>
      <c r="C3536" t="str">
        <f>"タカハシガワ　リュウイキ　ノ　シゼン"</f>
        <v>タカハシガワ　リュウイキ　ノ　シゼン</v>
      </c>
      <c r="D3536" t="str">
        <f>"高梁川流域の水と緑をまもる会"</f>
        <v>高梁川流域の水と緑をまもる会</v>
      </c>
      <c r="E3536" t="str">
        <f>"タカハシガワリュウイキノミズトミドリオマモルカイ"</f>
        <v>タカハシガワリュウイキノミズトミドリオマモルカイ</v>
      </c>
      <c r="F3536" t="str">
        <f>"倉敷"</f>
        <v>倉敷</v>
      </c>
      <c r="G3536" t="str">
        <f>"年３回刊"</f>
        <v>年３回刊</v>
      </c>
      <c r="H3536" t="str">
        <f>"2002222291521"</f>
        <v>2002222291521</v>
      </c>
      <c r="I3536" t="str">
        <f>HYPERLINK("#", "https://opac.libnet.pref.okayama.jp/licsxp-opac/WOpacMsgNewListToTifTilDetailAction.do?tilcod=2002222291521")</f>
        <v>https://opac.libnet.pref.okayama.jp/licsxp-opac/WOpacMsgNewListToTifTilDetailAction.do?tilcod=2002222291521</v>
      </c>
    </row>
    <row r="3537" spans="1:9" x14ac:dyDescent="0.4">
      <c r="A3537" t="str">
        <f>"[高梁市図書館]EVENT INFOMATION(イベントインフォメーション)"</f>
        <v>[高梁市図書館]EVENT INFOMATION(イベントインフォメーション)</v>
      </c>
      <c r="B3537" s="1" t="str">
        <f t="shared" si="185"/>
        <v>[高梁市図書館]EVENT INFOMATION(イベントインフォメーション)</v>
      </c>
      <c r="C3537" t="str">
        <f>"タカハシシ トショカン イベント インフォメーション"</f>
        <v>タカハシシ トショカン イベント インフォメーション</v>
      </c>
      <c r="D3537" t="str">
        <f>"高梁市図書館"</f>
        <v>高梁市図書館</v>
      </c>
      <c r="E3537" t="str">
        <f>"タカハシシ トショカン"</f>
        <v>タカハシシ トショカン</v>
      </c>
      <c r="F3537" t="str">
        <f t="shared" ref="F3537:F3542" si="186">"高梁"</f>
        <v>高梁</v>
      </c>
      <c r="G3537" t="str">
        <f>"月刊"</f>
        <v>月刊</v>
      </c>
      <c r="H3537" t="str">
        <f>"2002222330187"</f>
        <v>2002222330187</v>
      </c>
      <c r="I3537" t="str">
        <f>HYPERLINK("#", "https://opac.libnet.pref.okayama.jp/licsxp-opac/WOpacMsgNewListToTifTilDetailAction.do?tilcod=2002222330187")</f>
        <v>https://opac.libnet.pref.okayama.jp/licsxp-opac/WOpacMsgNewListToTifTilDetailAction.do?tilcod=2002222330187</v>
      </c>
    </row>
    <row r="3538" spans="1:9" x14ac:dyDescent="0.4">
      <c r="A3538" t="str">
        <f>"高梁市成羽美術館だより"</f>
        <v>高梁市成羽美術館だより</v>
      </c>
      <c r="B3538" s="1" t="str">
        <f t="shared" si="185"/>
        <v>高梁市成羽美術館だより</v>
      </c>
      <c r="C3538" t="str">
        <f>"タカハシシ　ナリワ　ビジュツカン　ダヨリ"</f>
        <v>タカハシシ　ナリワ　ビジュツカン　ダヨリ</v>
      </c>
      <c r="D3538" t="str">
        <f>"高梁市成羽美術館"</f>
        <v>高梁市成羽美術館</v>
      </c>
      <c r="E3538" t="str">
        <f>"タカハシシ ナリワ ビジュツカン"</f>
        <v>タカハシシ ナリワ ビジュツカン</v>
      </c>
      <c r="F3538" t="str">
        <f t="shared" si="186"/>
        <v>高梁</v>
      </c>
      <c r="G3538" t="str">
        <f>"年刊"</f>
        <v>年刊</v>
      </c>
      <c r="H3538" t="str">
        <f>"2002222302450"</f>
        <v>2002222302450</v>
      </c>
      <c r="I3538" t="str">
        <f>HYPERLINK("#", "https://opac.libnet.pref.okayama.jp/licsxp-opac/WOpacMsgNewListToTifTilDetailAction.do?tilcod=2002222302450")</f>
        <v>https://opac.libnet.pref.okayama.jp/licsxp-opac/WOpacMsgNewListToTifTilDetailAction.do?tilcod=2002222302450</v>
      </c>
    </row>
    <row r="3539" spans="1:9" x14ac:dyDescent="0.4">
      <c r="A3539" t="str">
        <f>"高梁市文化センター　催物ご案内"</f>
        <v>高梁市文化センター　催物ご案内</v>
      </c>
      <c r="B3539" s="1" t="str">
        <f t="shared" si="185"/>
        <v>高梁市文化センター　催物ご案内</v>
      </c>
      <c r="C3539" t="str">
        <f>"タカハシシ　ブンカ　センター　モヨオシモノ　ゴアンナイ"</f>
        <v>タカハシシ　ブンカ　センター　モヨオシモノ　ゴアンナイ</v>
      </c>
      <c r="D3539" t="str">
        <f>"高梁市文化センター"</f>
        <v>高梁市文化センター</v>
      </c>
      <c r="E3539" t="str">
        <f>"タカハシシブンカセンター"</f>
        <v>タカハシシブンカセンター</v>
      </c>
      <c r="F3539" t="str">
        <f t="shared" si="186"/>
        <v>高梁</v>
      </c>
      <c r="G3539" t="str">
        <f>"月刊"</f>
        <v>月刊</v>
      </c>
      <c r="H3539" t="str">
        <f>"2002222282271"</f>
        <v>2002222282271</v>
      </c>
      <c r="I3539" t="str">
        <f>HYPERLINK("#", "https://opac.libnet.pref.okayama.jp/licsxp-opac/WOpacMsgNewListToTifTilDetailAction.do?tilcod=2002222282271")</f>
        <v>https://opac.libnet.pref.okayama.jp/licsxp-opac/WOpacMsgNewListToTifTilDetailAction.do?tilcod=2002222282271</v>
      </c>
    </row>
    <row r="3540" spans="1:9" x14ac:dyDescent="0.4">
      <c r="A3540" t="str">
        <f>"高梁市歴史美術館NEWS"</f>
        <v>高梁市歴史美術館NEWS</v>
      </c>
      <c r="B3540" s="1" t="str">
        <f t="shared" si="185"/>
        <v>高梁市歴史美術館NEWS</v>
      </c>
      <c r="C3540" t="str">
        <f>"タカハシシ レキシ ビジュツカン ニュース"</f>
        <v>タカハシシ レキシ ビジュツカン ニュース</v>
      </c>
      <c r="D3540" t="str">
        <f>"高梁市歴史美術館"</f>
        <v>高梁市歴史美術館</v>
      </c>
      <c r="E3540" t="str">
        <f>"タカハシシ レキシ ビジュツカン"</f>
        <v>タカハシシ レキシ ビジュツカン</v>
      </c>
      <c r="F3540" t="str">
        <f t="shared" si="186"/>
        <v>高梁</v>
      </c>
      <c r="G3540" t="str">
        <f>"年刊"</f>
        <v>年刊</v>
      </c>
      <c r="H3540" t="str">
        <f>"2002222331416"</f>
        <v>2002222331416</v>
      </c>
      <c r="I3540" t="str">
        <f>HYPERLINK("#", "https://opac.libnet.pref.okayama.jp/licsxp-opac/WOpacMsgNewListToTifTilDetailAction.do?tilcod=2002222331416")</f>
        <v>https://opac.libnet.pref.okayama.jp/licsxp-opac/WOpacMsgNewListToTifTilDetailAction.do?tilcod=2002222331416</v>
      </c>
    </row>
    <row r="3541" spans="1:9" x14ac:dyDescent="0.4">
      <c r="A3541" t="str">
        <f>"高梁市立宇治高等学校学校案内"</f>
        <v>高梁市立宇治高等学校学校案内</v>
      </c>
      <c r="B3541" s="1" t="str">
        <f t="shared" si="185"/>
        <v>高梁市立宇治高等学校学校案内</v>
      </c>
      <c r="C3541" t="str">
        <f>"タカハシシリツ　ウジ　コウトウ　ガッコウ　ガッコウ　アンナイ"</f>
        <v>タカハシシリツ　ウジ　コウトウ　ガッコウ　ガッコウ　アンナイ</v>
      </c>
      <c r="D3541" t="str">
        <f>"高梁市立宇治高等学校"</f>
        <v>高梁市立宇治高等学校</v>
      </c>
      <c r="E3541" t="str">
        <f>"タカハシシリツウジコウトウガッコウ"</f>
        <v>タカハシシリツウジコウトウガッコウ</v>
      </c>
      <c r="F3541" t="str">
        <f t="shared" si="186"/>
        <v>高梁</v>
      </c>
      <c r="G3541" t="str">
        <f>"年刊"</f>
        <v>年刊</v>
      </c>
      <c r="H3541" t="str">
        <f>"2002222301120"</f>
        <v>2002222301120</v>
      </c>
      <c r="I3541" t="str">
        <f>HYPERLINK("#", "https://opac.libnet.pref.okayama.jp/licsxp-opac/WOpacMsgNewListToTifTilDetailAction.do?tilcod=2002222301120")</f>
        <v>https://opac.libnet.pref.okayama.jp/licsxp-opac/WOpacMsgNewListToTifTilDetailAction.do?tilcod=2002222301120</v>
      </c>
    </row>
    <row r="3542" spans="1:9" x14ac:dyDescent="0.4">
      <c r="A3542" t="str">
        <f>"高梁市立宇治高等学校学校要覧"</f>
        <v>高梁市立宇治高等学校学校要覧</v>
      </c>
      <c r="B3542" s="1" t="str">
        <f t="shared" si="185"/>
        <v>高梁市立宇治高等学校学校要覧</v>
      </c>
      <c r="C3542" t="str">
        <f>"タカハシシリツ　ウジ　コウトウ　ガッコウ　ガッコウ　ヨウラン"</f>
        <v>タカハシシリツ　ウジ　コウトウ　ガッコウ　ガッコウ　ヨウラン</v>
      </c>
      <c r="D3542" t="str">
        <f>"高梁市立宇治高等学校"</f>
        <v>高梁市立宇治高等学校</v>
      </c>
      <c r="E3542" t="str">
        <f>"タカハシシリツウジコウトウガッコウ"</f>
        <v>タカハシシリツウジコウトウガッコウ</v>
      </c>
      <c r="F3542" t="str">
        <f t="shared" si="186"/>
        <v>高梁</v>
      </c>
      <c r="G3542" t="str">
        <f>"年刊"</f>
        <v>年刊</v>
      </c>
      <c r="H3542" t="str">
        <f>"2002222301117"</f>
        <v>2002222301117</v>
      </c>
      <c r="I3542" t="str">
        <f>HYPERLINK("#", "https://opac.libnet.pref.okayama.jp/licsxp-opac/WOpacMsgNewListToTifTilDetailAction.do?tilcod=2002222301117")</f>
        <v>https://opac.libnet.pref.okayama.jp/licsxp-opac/WOpacMsgNewListToTifTilDetailAction.do?tilcod=2002222301117</v>
      </c>
    </row>
    <row r="3543" spans="1:9" x14ac:dyDescent="0.4">
      <c r="A3543" t="str">
        <f>"[高松中学校]高中PTA新聞"</f>
        <v>[高松中学校]高中PTA新聞</v>
      </c>
      <c r="B3543" s="1" t="str">
        <f t="shared" si="185"/>
        <v>[高松中学校]高中PTA新聞</v>
      </c>
      <c r="C3543" t="str">
        <f>"タカマツ チュウガッコウ タカチュウ ピーティーエー シンブン"</f>
        <v>タカマツ チュウガッコウ タカチュウ ピーティーエー シンブン</v>
      </c>
      <c r="D3543" t="str">
        <f>"高松中学校"</f>
        <v>高松中学校</v>
      </c>
      <c r="E3543" t="str">
        <f>"キビグン タカマツ チュウガッコウ"</f>
        <v>キビグン タカマツ チュウガッコウ</v>
      </c>
      <c r="F3543" t="str">
        <f>"[吉備郡]"</f>
        <v>[吉備郡]</v>
      </c>
      <c r="G3543" t="str">
        <f>"頻度不明"</f>
        <v>頻度不明</v>
      </c>
      <c r="H3543" t="str">
        <f>"2002222332828"</f>
        <v>2002222332828</v>
      </c>
      <c r="I3543" t="str">
        <f>HYPERLINK("#", "https://opac.libnet.pref.okayama.jp/licsxp-opac/WOpacMsgNewListToTifTilDetailAction.do?tilcod=2002222332828")</f>
        <v>https://opac.libnet.pref.okayama.jp/licsxp-opac/WOpacMsgNewListToTifTilDetailAction.do?tilcod=2002222332828</v>
      </c>
    </row>
    <row r="3544" spans="1:9" x14ac:dyDescent="0.4">
      <c r="A3544" t="str">
        <f>"高松農業高等学校学校案内"</f>
        <v>高松農業高等学校学校案内</v>
      </c>
      <c r="B3544" s="1" t="str">
        <f t="shared" si="185"/>
        <v>高松農業高等学校学校案内</v>
      </c>
      <c r="C3544" t="str">
        <f>"タカマツ　ノウギョウ　コウトウ　ガッコウ　ガッコウ　アンナイ"</f>
        <v>タカマツ　ノウギョウ　コウトウ　ガッコウ　ガッコウ　アンナイ</v>
      </c>
      <c r="D3544" t="str">
        <f>"高松農業高等学校"</f>
        <v>高松農業高等学校</v>
      </c>
      <c r="E3544" t="str">
        <f>"タカマツ ノウギョウ コウトウ ガッコウ"</f>
        <v>タカマツ ノウギョウ コウトウ ガッコウ</v>
      </c>
      <c r="F3544" t="str">
        <f t="shared" ref="F3544:F3549" si="187">"岡山"</f>
        <v>岡山</v>
      </c>
      <c r="G3544" t="str">
        <f>"年刊"</f>
        <v>年刊</v>
      </c>
      <c r="H3544" t="str">
        <f>"2002222301177"</f>
        <v>2002222301177</v>
      </c>
      <c r="I3544" t="str">
        <f>HYPERLINK("#", "https://opac.libnet.pref.okayama.jp/licsxp-opac/WOpacMsgNewListToTifTilDetailAction.do?tilcod=2002222301177")</f>
        <v>https://opac.libnet.pref.okayama.jp/licsxp-opac/WOpacMsgNewListToTifTilDetailAction.do?tilcod=2002222301177</v>
      </c>
    </row>
    <row r="3545" spans="1:9" x14ac:dyDescent="0.4">
      <c r="A3545" t="str">
        <f>"高松農業高等学校学校要覧"</f>
        <v>高松農業高等学校学校要覧</v>
      </c>
      <c r="B3545" s="1" t="str">
        <f t="shared" si="185"/>
        <v>高松農業高等学校学校要覧</v>
      </c>
      <c r="C3545" t="str">
        <f>"タカマツ　ノウギョウ　コウトウ　ガッコウ　ガッコウ　ヨウラン"</f>
        <v>タカマツ　ノウギョウ　コウトウ　ガッコウ　ガッコウ　ヨウラン</v>
      </c>
      <c r="D3545" t="str">
        <f>"高松農業高等学校"</f>
        <v>高松農業高等学校</v>
      </c>
      <c r="E3545" t="str">
        <f>"タカマツ ノウギョウ コウトウ ガッコウ"</f>
        <v>タカマツ ノウギョウ コウトウ ガッコウ</v>
      </c>
      <c r="F3545" t="str">
        <f t="shared" si="187"/>
        <v>岡山</v>
      </c>
      <c r="G3545" t="str">
        <f>"年刊"</f>
        <v>年刊</v>
      </c>
      <c r="H3545" t="str">
        <f>"2002222300488"</f>
        <v>2002222300488</v>
      </c>
      <c r="I3545" t="str">
        <f>HYPERLINK("#", "https://opac.libnet.pref.okayama.jp/licsxp-opac/WOpacMsgNewListToTifTilDetailAction.do?tilcod=2002222300488")</f>
        <v>https://opac.libnet.pref.okayama.jp/licsxp-opac/WOpacMsgNewListToTifTilDetailAction.do?tilcod=2002222300488</v>
      </c>
    </row>
    <row r="3546" spans="1:9" x14ac:dyDescent="0.4">
      <c r="A3546" t="str">
        <f>"[高松農業高等学校]研究紀要"</f>
        <v>[高松農業高等学校]研究紀要</v>
      </c>
      <c r="B3546" s="1" t="str">
        <f t="shared" si="185"/>
        <v>[高松農業高等学校]研究紀要</v>
      </c>
      <c r="C3546" t="str">
        <f>"タカマツ ノウギョウ コウトウ ガッコウ ケンキュウ キヨウ"</f>
        <v>タカマツ ノウギョウ コウトウ ガッコウ ケンキュウ キヨウ</v>
      </c>
      <c r="D3546" t="str">
        <f>"高松農業高等学校"</f>
        <v>高松農業高等学校</v>
      </c>
      <c r="E3546" t="str">
        <f>"タカマツ ノウギョウ コウトウ ガッコウ"</f>
        <v>タカマツ ノウギョウ コウトウ ガッコウ</v>
      </c>
      <c r="F3546" t="str">
        <f t="shared" si="187"/>
        <v>岡山</v>
      </c>
      <c r="G3546" t="str">
        <f>"頻度不明"</f>
        <v>頻度不明</v>
      </c>
      <c r="H3546" t="str">
        <f>"2002222282891"</f>
        <v>2002222282891</v>
      </c>
      <c r="I3546" t="str">
        <f>HYPERLINK("#", "https://opac.libnet.pref.okayama.jp/licsxp-opac/WOpacMsgNewListToTifTilDetailAction.do?tilcod=2002222282891")</f>
        <v>https://opac.libnet.pref.okayama.jp/licsxp-opac/WOpacMsgNewListToTifTilDetailAction.do?tilcod=2002222282891</v>
      </c>
    </row>
    <row r="3547" spans="1:9" x14ac:dyDescent="0.4">
      <c r="A3547" t="str">
        <f>"[高松農業高等学校]高農PTA新聞"</f>
        <v>[高松農業高等学校]高農PTA新聞</v>
      </c>
      <c r="B3547" s="1" t="str">
        <f t="shared" si="185"/>
        <v>[高松農業高等学校]高農PTA新聞</v>
      </c>
      <c r="C3547" t="str">
        <f>"タカマツ ノウギョウ コウトウ ガッコウ タカノウ ピーティーエー シンブン"</f>
        <v>タカマツ ノウギョウ コウトウ ガッコウ タカノウ ピーティーエー シンブン</v>
      </c>
      <c r="D3547" t="str">
        <f>"高松農業高等学校PTA後援会"</f>
        <v>高松農業高等学校PTA後援会</v>
      </c>
      <c r="E3547" t="str">
        <f>"タカマツノウギョウコウトウガッコウピーティーエーコウエンカイ"</f>
        <v>タカマツノウギョウコウトウガッコウピーティーエーコウエンカイ</v>
      </c>
      <c r="F3547" t="str">
        <f t="shared" si="187"/>
        <v>岡山</v>
      </c>
      <c r="G3547" t="str">
        <f>"年２回刊"</f>
        <v>年２回刊</v>
      </c>
      <c r="H3547" t="str">
        <f>"2002222301850"</f>
        <v>2002222301850</v>
      </c>
      <c r="I3547" t="str">
        <f>HYPERLINK("#", "https://opac.libnet.pref.okayama.jp/licsxp-opac/WOpacMsgNewListToTifTilDetailAction.do?tilcod=2002222301850")</f>
        <v>https://opac.libnet.pref.okayama.jp/licsxp-opac/WOpacMsgNewListToTifTilDetailAction.do?tilcod=2002222301850</v>
      </c>
    </row>
    <row r="3548" spans="1:9" x14ac:dyDescent="0.4">
      <c r="A3548" t="str">
        <f>"たから"</f>
        <v>たから</v>
      </c>
      <c r="B3548" s="1" t="str">
        <f t="shared" si="185"/>
        <v>たから</v>
      </c>
      <c r="C3548" t="str">
        <f>"タカラ"</f>
        <v>タカラ</v>
      </c>
      <c r="D3548" t="str">
        <f>"岡山市立南方小学校"</f>
        <v>岡山市立南方小学校</v>
      </c>
      <c r="E3548" t="str">
        <f>"オカヤマシリツヨシダショウガッコウ"</f>
        <v>オカヤマシリツヨシダショウガッコウ</v>
      </c>
      <c r="F3548" t="str">
        <f t="shared" si="187"/>
        <v>岡山</v>
      </c>
      <c r="G3548" t="str">
        <f>"頻度不明"</f>
        <v>頻度不明</v>
      </c>
      <c r="H3548" t="str">
        <f>"2002222338872"</f>
        <v>2002222338872</v>
      </c>
      <c r="I3548" t="str">
        <f>HYPERLINK("#", "https://opac.libnet.pref.okayama.jp/licsxp-opac/WOpacMsgNewListToTifTilDetailAction.do?tilcod=2002222338872")</f>
        <v>https://opac.libnet.pref.okayama.jp/licsxp-opac/WOpacMsgNewListToTifTilDetailAction.do?tilcod=2002222338872</v>
      </c>
    </row>
    <row r="3549" spans="1:9" x14ac:dyDescent="0.4">
      <c r="A3549" t="str">
        <f>"宝；南方学報"</f>
        <v>宝；南方学報</v>
      </c>
      <c r="B3549" s="1" t="str">
        <f t="shared" si="185"/>
        <v>宝；南方学報</v>
      </c>
      <c r="C3549" t="str">
        <f>"タカラ＊ミナミガタ　ガクホウ"</f>
        <v>タカラ＊ミナミガタ　ガクホウ</v>
      </c>
      <c r="D3549" t="str">
        <f>"南方国民学校"</f>
        <v>南方国民学校</v>
      </c>
      <c r="E3549" t="str">
        <f>"ミナミガタコクミンガッコウ"</f>
        <v>ミナミガタコクミンガッコウ</v>
      </c>
      <c r="F3549" t="str">
        <f t="shared" si="187"/>
        <v>岡山</v>
      </c>
      <c r="G3549" t="str">
        <f>"月刊"</f>
        <v>月刊</v>
      </c>
      <c r="H3549" t="str">
        <f>"2002222301738"</f>
        <v>2002222301738</v>
      </c>
      <c r="I3549" t="str">
        <f>HYPERLINK("#", "https://opac.libnet.pref.okayama.jp/licsxp-opac/WOpacMsgNewListToTifTilDetailAction.do?tilcod=2002222301738")</f>
        <v>https://opac.libnet.pref.okayama.jp/licsxp-opac/WOpacMsgNewListToTifTilDetailAction.do?tilcod=2002222301738</v>
      </c>
    </row>
    <row r="3550" spans="1:9" x14ac:dyDescent="0.4">
      <c r="A3550" t="str">
        <f>"たきさわ"</f>
        <v>たきさわ</v>
      </c>
      <c r="B3550" s="1" t="str">
        <f t="shared" si="185"/>
        <v>たきさわ</v>
      </c>
      <c r="C3550" t="str">
        <f>"タキサワ"</f>
        <v>タキサワ</v>
      </c>
      <c r="D3550" t="str">
        <f>"滝沢産業株式会社"</f>
        <v>滝沢産業株式会社</v>
      </c>
      <c r="E3550" t="str">
        <f>"タキサワサンギョウカブシキガイシャ"</f>
        <v>タキサワサンギョウカブシキガイシャ</v>
      </c>
      <c r="F3550" t="str">
        <f>""</f>
        <v/>
      </c>
      <c r="G3550" t="str">
        <f>"頻度不明"</f>
        <v>頻度不明</v>
      </c>
      <c r="H3550" t="str">
        <f>"2002222283993"</f>
        <v>2002222283993</v>
      </c>
      <c r="I3550" t="str">
        <f>HYPERLINK("#", "https://opac.libnet.pref.okayama.jp/licsxp-opac/WOpacMsgNewListToTifTilDetailAction.do?tilcod=2002222283993")</f>
        <v>https://opac.libnet.pref.okayama.jp/licsxp-opac/WOpacMsgNewListToTifTilDetailAction.do?tilcod=2002222283993</v>
      </c>
    </row>
    <row r="3551" spans="1:9" x14ac:dyDescent="0.4">
      <c r="A3551" t="str">
        <f>"タグチ通信"</f>
        <v>タグチ通信</v>
      </c>
      <c r="B3551" s="1" t="str">
        <f t="shared" si="185"/>
        <v>タグチ通信</v>
      </c>
      <c r="C3551" t="str">
        <f>"タグチ ツウシン"</f>
        <v>タグチ ツウシン</v>
      </c>
      <c r="D3551" t="str">
        <f>"TAGUCHi 経営企画室"</f>
        <v>TAGUCHi 経営企画室</v>
      </c>
      <c r="E3551" t="str">
        <f>"タグチ ケイエイ キカクシツ"</f>
        <v>タグチ ケイエイ キカクシツ</v>
      </c>
      <c r="F3551" t="str">
        <f>"岡山"</f>
        <v>岡山</v>
      </c>
      <c r="G3551" t="str">
        <f>"不定期刊"</f>
        <v>不定期刊</v>
      </c>
      <c r="H3551" t="str">
        <f>"2002222343810"</f>
        <v>2002222343810</v>
      </c>
      <c r="I3551" t="str">
        <f>HYPERLINK("#", "https://opac.libnet.pref.okayama.jp/licsxp-opac/WOpacMsgNewListToTifTilDetailAction.do?tilcod=2002222343810")</f>
        <v>https://opac.libnet.pref.okayama.jp/licsxp-opac/WOpacMsgNewListToTifTilDetailAction.do?tilcod=2002222343810</v>
      </c>
    </row>
    <row r="3552" spans="1:9" x14ac:dyDescent="0.4">
      <c r="A3552" t="str">
        <f>"TACTON(タクテォン)"</f>
        <v>TACTON(タクテォン)</v>
      </c>
      <c r="B3552" s="1" t="str">
        <f t="shared" si="185"/>
        <v>TACTON(タクテォン)</v>
      </c>
      <c r="C3552" t="str">
        <f>"タクテォン"</f>
        <v>タクテォン</v>
      </c>
      <c r="D3552" t="str">
        <f>"タクテォン"</f>
        <v>タクテォン</v>
      </c>
      <c r="E3552" t="str">
        <f>"タクテォン"</f>
        <v>タクテォン</v>
      </c>
      <c r="F3552" t="str">
        <f>"倉敷"</f>
        <v>倉敷</v>
      </c>
      <c r="G3552" t="str">
        <f>"頻度不明"</f>
        <v>頻度不明</v>
      </c>
      <c r="H3552" t="str">
        <f>"2002222323986"</f>
        <v>2002222323986</v>
      </c>
      <c r="I3552" t="str">
        <f>HYPERLINK("#", "https://opac.libnet.pref.okayama.jp/licsxp-opac/WOpacMsgNewListToTifTilDetailAction.do?tilcod=2002222323986")</f>
        <v>https://opac.libnet.pref.okayama.jp/licsxp-opac/WOpacMsgNewListToTifTilDetailAction.do?tilcod=2002222323986</v>
      </c>
    </row>
    <row r="3553" spans="1:9" x14ac:dyDescent="0.4">
      <c r="A3553" t="str">
        <f>"たけのこ"</f>
        <v>たけのこ</v>
      </c>
      <c r="B3553" s="1" t="str">
        <f t="shared" si="185"/>
        <v>たけのこ</v>
      </c>
      <c r="C3553" t="str">
        <f>"タケノコ"</f>
        <v>タケノコ</v>
      </c>
      <c r="D3553" t="str">
        <f>"玉島文化協会"</f>
        <v>玉島文化協会</v>
      </c>
      <c r="E3553" t="str">
        <f>"タマシマ ブンカ キョウカイ"</f>
        <v>タマシマ ブンカ キョウカイ</v>
      </c>
      <c r="F3553" t="str">
        <f>"倉敷"</f>
        <v>倉敷</v>
      </c>
      <c r="G3553" t="str">
        <f>"年刊"</f>
        <v>年刊</v>
      </c>
      <c r="H3553" t="str">
        <f>"2002222284003"</f>
        <v>2002222284003</v>
      </c>
      <c r="I3553" t="str">
        <f>HYPERLINK("#", "https://opac.libnet.pref.okayama.jp/licsxp-opac/WOpacMsgNewListToTifTilDetailAction.do?tilcod=2002222284003")</f>
        <v>https://opac.libnet.pref.okayama.jp/licsxp-opac/WOpacMsgNewListToTifTilDetailAction.do?tilcod=2002222284003</v>
      </c>
    </row>
    <row r="3554" spans="1:9" x14ac:dyDescent="0.4">
      <c r="A3554" t="str">
        <f>"たけべ議会だより"</f>
        <v>たけべ議会だより</v>
      </c>
      <c r="B3554" s="1" t="str">
        <f t="shared" si="185"/>
        <v>たけべ議会だより</v>
      </c>
      <c r="C3554" t="str">
        <f>"タケベ　ギカイ　ダヨリ"</f>
        <v>タケベ　ギカイ　ダヨリ</v>
      </c>
      <c r="D3554" t="str">
        <f>"建部町議会"</f>
        <v>建部町議会</v>
      </c>
      <c r="E3554" t="str">
        <f>"タケベチョウギカイ"</f>
        <v>タケベチョウギカイ</v>
      </c>
      <c r="F3554" t="str">
        <f>"建部町（御津郡）"</f>
        <v>建部町（御津郡）</v>
      </c>
      <c r="G3554" t="str">
        <f>"季刊"</f>
        <v>季刊</v>
      </c>
      <c r="H3554" t="str">
        <f>"2002222281821"</f>
        <v>2002222281821</v>
      </c>
      <c r="I3554" t="str">
        <f>HYPERLINK("#", "https://opac.libnet.pref.okayama.jp/licsxp-opac/WOpacMsgNewListToTifTilDetailAction.do?tilcod=2002222281821")</f>
        <v>https://opac.libnet.pref.okayama.jp/licsxp-opac/WOpacMsgNewListToTifTilDetailAction.do?tilcod=2002222281821</v>
      </c>
    </row>
    <row r="3555" spans="1:9" x14ac:dyDescent="0.4">
      <c r="A3555" t="str">
        <f>"たけべだより；建部町公民館だより"</f>
        <v>たけべだより；建部町公民館だより</v>
      </c>
      <c r="B3555" s="1" t="str">
        <f t="shared" si="185"/>
        <v>たけべだより；建部町公民館だより</v>
      </c>
      <c r="C3555" t="str">
        <f>"タケベ ダヨリ＊タケベチョウ コウミンカン ダヨリ"</f>
        <v>タケベ ダヨリ＊タケベチョウ コウミンカン ダヨリ</v>
      </c>
      <c r="D3555" t="str">
        <f>"岡山市立建部町公民館"</f>
        <v>岡山市立建部町公民館</v>
      </c>
      <c r="E3555" t="str">
        <f>"オカヤマシリツ タケベチョウ コウミンカン"</f>
        <v>オカヤマシリツ タケベチョウ コウミンカン</v>
      </c>
      <c r="F3555" t="str">
        <f>"岡山"</f>
        <v>岡山</v>
      </c>
      <c r="G3555" t="str">
        <f>"隔月刊"</f>
        <v>隔月刊</v>
      </c>
      <c r="H3555" t="str">
        <f>"2002222341351"</f>
        <v>2002222341351</v>
      </c>
      <c r="I3555" t="str">
        <f>HYPERLINK("#", "https://opac.libnet.pref.okayama.jp/licsxp-opac/WOpacMsgNewListToTifTilDetailAction.do?tilcod=2002222341351")</f>
        <v>https://opac.libnet.pref.okayama.jp/licsxp-opac/WOpacMsgNewListToTifTilDetailAction.do?tilcod=2002222341351</v>
      </c>
    </row>
    <row r="3556" spans="1:9" x14ac:dyDescent="0.4">
      <c r="A3556" t="str">
        <f>"[建部中学校]緑の丘"</f>
        <v>[建部中学校]緑の丘</v>
      </c>
      <c r="B3556" s="1" t="str">
        <f t="shared" si="185"/>
        <v>[建部中学校]緑の丘</v>
      </c>
      <c r="C3556" t="str">
        <f>"タケベ チュウガッコウ ミドリ ノ オカ"</f>
        <v>タケベ チュウガッコウ ミドリ ノ オカ</v>
      </c>
      <c r="D3556" t="str">
        <f>"建部中学校生徒会"</f>
        <v>建部中学校生徒会</v>
      </c>
      <c r="E3556" t="str">
        <f>"タケベ チュウガッコウ セイトカイ"</f>
        <v>タケベ チュウガッコウ セイトカイ</v>
      </c>
      <c r="F3556" t="str">
        <f>""</f>
        <v/>
      </c>
      <c r="G3556" t="str">
        <f>"頻度不明"</f>
        <v>頻度不明</v>
      </c>
      <c r="H3556" t="str">
        <f>"2002222340550"</f>
        <v>2002222340550</v>
      </c>
      <c r="I3556" t="str">
        <f>HYPERLINK("#", "https://opac.libnet.pref.okayama.jp/licsxp-opac/WOpacMsgNewListToTifTilDetailAction.do?tilcod=2002222340550")</f>
        <v>https://opac.libnet.pref.okayama.jp/licsxp-opac/WOpacMsgNewListToTifTilDetailAction.do?tilcod=2002222340550</v>
      </c>
    </row>
    <row r="3557" spans="1:9" x14ac:dyDescent="0.4">
      <c r="A3557" t="str">
        <f>"建部町婦人協議会婦人会だより"</f>
        <v>建部町婦人協議会婦人会だより</v>
      </c>
      <c r="B3557" s="1" t="str">
        <f t="shared" si="185"/>
        <v>建部町婦人協議会婦人会だより</v>
      </c>
      <c r="C3557" t="str">
        <f>"タケベチョウ　フジン　キョウギカイ　フジンカイ　ダヨリ"</f>
        <v>タケベチョウ　フジン　キョウギカイ　フジンカイ　ダヨリ</v>
      </c>
      <c r="D3557" t="str">
        <f>"建部町婦人協議会"</f>
        <v>建部町婦人協議会</v>
      </c>
      <c r="E3557" t="str">
        <f>"タケベチョウフジンキョウギカイ"</f>
        <v>タケベチョウフジンキョウギカイ</v>
      </c>
      <c r="F3557" t="str">
        <f>"建部町（御津郡）"</f>
        <v>建部町（御津郡）</v>
      </c>
      <c r="G3557" t="str">
        <f>"年刊"</f>
        <v>年刊</v>
      </c>
      <c r="H3557" t="str">
        <f>"2002222293991"</f>
        <v>2002222293991</v>
      </c>
      <c r="I3557" t="str">
        <f>HYPERLINK("#", "https://opac.libnet.pref.okayama.jp/licsxp-opac/WOpacMsgNewListToTifTilDetailAction.do?tilcod=2002222293991")</f>
        <v>https://opac.libnet.pref.okayama.jp/licsxp-opac/WOpacMsgNewListToTifTilDetailAction.do?tilcod=2002222293991</v>
      </c>
    </row>
    <row r="3558" spans="1:9" x14ac:dyDescent="0.4">
      <c r="A3558" t="str">
        <f>"田鶴が音"</f>
        <v>田鶴が音</v>
      </c>
      <c r="B3558" s="1" t="str">
        <f t="shared" si="185"/>
        <v>田鶴が音</v>
      </c>
      <c r="C3558" t="str">
        <f>"タズガネ"</f>
        <v>タズガネ</v>
      </c>
      <c r="D3558" t="str">
        <f>"津山実科高等女学校校友会"</f>
        <v>津山実科高等女学校校友会</v>
      </c>
      <c r="E3558" t="str">
        <f>"ツヤマジツカコウトウガッコウジョガクコウコウユウカイ"</f>
        <v>ツヤマジツカコウトウガッコウジョガクコウコウユウカイ</v>
      </c>
      <c r="F3558" t="str">
        <f>"津山"</f>
        <v>津山</v>
      </c>
      <c r="G3558" t="str">
        <f>"隔月刊"</f>
        <v>隔月刊</v>
      </c>
      <c r="H3558" t="str">
        <f>"2002222285051"</f>
        <v>2002222285051</v>
      </c>
      <c r="I3558" t="str">
        <f>HYPERLINK("#", "https://opac.libnet.pref.okayama.jp/licsxp-opac/WOpacMsgNewListToTifTilDetailAction.do?tilcod=2002222285051")</f>
        <v>https://opac.libnet.pref.okayama.jp/licsxp-opac/WOpacMsgNewListToTifTilDetailAction.do?tilcod=2002222285051</v>
      </c>
    </row>
    <row r="3559" spans="1:9" x14ac:dyDescent="0.4">
      <c r="A3559" t="str">
        <f>"踏鞴"</f>
        <v>踏鞴</v>
      </c>
      <c r="B3559" s="1" t="str">
        <f t="shared" si="185"/>
        <v>踏鞴</v>
      </c>
      <c r="C3559" t="str">
        <f>"タタラ"</f>
        <v>タタラ</v>
      </c>
      <c r="D3559" t="str">
        <f>"新日本歌人協会岡山支部"</f>
        <v>新日本歌人協会岡山支部</v>
      </c>
      <c r="E3559" t="str">
        <f>"シンニホンカジンキョウカイオカヤマシブ"</f>
        <v>シンニホンカジンキョウカイオカヤマシブ</v>
      </c>
      <c r="F3559" t="str">
        <f>"岡山"</f>
        <v>岡山</v>
      </c>
      <c r="G3559" t="str">
        <f>"年刊"</f>
        <v>年刊</v>
      </c>
      <c r="H3559" t="str">
        <f>"2002222284013"</f>
        <v>2002222284013</v>
      </c>
      <c r="I3559" t="str">
        <f>HYPERLINK("#", "https://opac.libnet.pref.okayama.jp/licsxp-opac/WOpacMsgNewListToTifTilDetailAction.do?tilcod=2002222284013")</f>
        <v>https://opac.libnet.pref.okayama.jp/licsxp-opac/WOpacMsgNewListToTifTilDetailAction.do?tilcod=2002222284013</v>
      </c>
    </row>
    <row r="3560" spans="1:9" x14ac:dyDescent="0.4">
      <c r="A3560" t="str">
        <f>"たたら研究会会報"</f>
        <v>たたら研究会会報</v>
      </c>
      <c r="B3560" s="1" t="str">
        <f t="shared" si="185"/>
        <v>たたら研究会会報</v>
      </c>
      <c r="C3560" t="str">
        <f>"タタラ　ケンキュウカイ　カイホウ"</f>
        <v>タタラ　ケンキュウカイ　カイホウ</v>
      </c>
      <c r="D3560" t="str">
        <f>"たたら研究会（岡山）"</f>
        <v>たたら研究会（岡山）</v>
      </c>
      <c r="E3560" t="str">
        <f>"タタラケンキュウカイ"</f>
        <v>タタラケンキュウカイ</v>
      </c>
      <c r="F3560" t="str">
        <f>"岡山"</f>
        <v>岡山</v>
      </c>
      <c r="G3560" t="str">
        <f>"頻度不明"</f>
        <v>頻度不明</v>
      </c>
      <c r="H3560" t="str">
        <f>"2002222302095"</f>
        <v>2002222302095</v>
      </c>
      <c r="I3560" t="str">
        <f>HYPERLINK("#", "https://opac.libnet.pref.okayama.jp/licsxp-opac/WOpacMsgNewListToTifTilDetailAction.do?tilcod=2002222302095")</f>
        <v>https://opac.libnet.pref.okayama.jp/licsxp-opac/WOpacMsgNewListToTifTilDetailAction.do?tilcod=2002222302095</v>
      </c>
    </row>
    <row r="3561" spans="1:9" x14ac:dyDescent="0.4">
      <c r="A3561" t="str">
        <f>"たちばな新聞"</f>
        <v>たちばな新聞</v>
      </c>
      <c r="B3561" s="1" t="str">
        <f t="shared" si="185"/>
        <v>たちばな新聞</v>
      </c>
      <c r="C3561" t="str">
        <f>"タチバナ　シンブン"</f>
        <v>タチバナ　シンブン</v>
      </c>
      <c r="D3561" t="str">
        <f>"妙広寺"</f>
        <v>妙広寺</v>
      </c>
      <c r="E3561" t="str">
        <f>"ミョウコウジ"</f>
        <v>ミョウコウジ</v>
      </c>
      <c r="F3561" t="str">
        <f>"岡山"</f>
        <v>岡山</v>
      </c>
      <c r="G3561" t="str">
        <f>"月刊"</f>
        <v>月刊</v>
      </c>
      <c r="H3561" t="str">
        <f>"2002222300939"</f>
        <v>2002222300939</v>
      </c>
      <c r="I3561" t="str">
        <f>HYPERLINK("#", "https://opac.libnet.pref.okayama.jp/licsxp-opac/WOpacMsgNewListToTifTilDetailAction.do?tilcod=2002222300939")</f>
        <v>https://opac.libnet.pref.okayama.jp/licsxp-opac/WOpacMsgNewListToTifTilDetailAction.do?tilcod=2002222300939</v>
      </c>
    </row>
    <row r="3562" spans="1:9" x14ac:dyDescent="0.4">
      <c r="A3562" t="str">
        <f>"ＴＯＵＣＨ（タッチ）"</f>
        <v>ＴＯＵＣＨ（タッチ）</v>
      </c>
      <c r="B3562" s="1" t="str">
        <f t="shared" si="185"/>
        <v>ＴＯＵＣＨ（タッチ）</v>
      </c>
      <c r="C3562" t="str">
        <f>"タッチ"</f>
        <v>タッチ</v>
      </c>
      <c r="D3562" t="str">
        <f>"タッチの会"</f>
        <v>タッチの会</v>
      </c>
      <c r="E3562" t="str">
        <f>"タッチノカイ"</f>
        <v>タッチノカイ</v>
      </c>
      <c r="F3562" t="str">
        <f>""</f>
        <v/>
      </c>
      <c r="G3562" t="str">
        <f>"頻度不明"</f>
        <v>頻度不明</v>
      </c>
      <c r="H3562" t="str">
        <f>"2002222284023"</f>
        <v>2002222284023</v>
      </c>
      <c r="I3562" t="str">
        <f>HYPERLINK("#", "https://opac.libnet.pref.okayama.jp/licsxp-opac/WOpacMsgNewListToTifTilDetailAction.do?tilcod=2002222284023")</f>
        <v>https://opac.libnet.pref.okayama.jp/licsxp-opac/WOpacMsgNewListToTifTilDetailAction.do?tilcod=2002222284023</v>
      </c>
    </row>
    <row r="3563" spans="1:9" x14ac:dyDescent="0.4">
      <c r="A3563" t="str">
        <f>"ＴＯＵＣＨ２（タッチ）"</f>
        <v>ＴＯＵＣＨ２（タッチ）</v>
      </c>
      <c r="B3563" s="1" t="str">
        <f t="shared" si="185"/>
        <v>ＴＯＵＣＨ２（タッチ）</v>
      </c>
      <c r="C3563" t="str">
        <f>"タッチ　ツー"</f>
        <v>タッチ　ツー</v>
      </c>
      <c r="D3563" t="str">
        <f>"タッチの会"</f>
        <v>タッチの会</v>
      </c>
      <c r="E3563" t="str">
        <f>"タッチノカイ"</f>
        <v>タッチノカイ</v>
      </c>
      <c r="F3563" t="str">
        <f>""</f>
        <v/>
      </c>
      <c r="G3563" t="str">
        <f>"頻度不明"</f>
        <v>頻度不明</v>
      </c>
      <c r="H3563" t="str">
        <f>"2002222284033"</f>
        <v>2002222284033</v>
      </c>
      <c r="I3563" t="str">
        <f>HYPERLINK("#", "https://opac.libnet.pref.okayama.jp/licsxp-opac/WOpacMsgNewListToTifTilDetailAction.do?tilcod=2002222284033")</f>
        <v>https://opac.libnet.pref.okayama.jp/licsxp-opac/WOpacMsgNewListToTifTilDetailAction.do?tilcod=2002222284033</v>
      </c>
    </row>
    <row r="3564" spans="1:9" x14ac:dyDescent="0.4">
      <c r="A3564" t="str">
        <f>"〔竜ノ口寮川柳大会〕句報"</f>
        <v>〔竜ノ口寮川柳大会〕句報</v>
      </c>
      <c r="B3564" s="1" t="str">
        <f t="shared" si="185"/>
        <v>〔竜ノ口寮川柳大会〕句報</v>
      </c>
      <c r="C3564" t="str">
        <f>"タツノクチリョウ　センリュウ　タイカイ＊クホウ"</f>
        <v>タツノクチリョウ　センリュウ　タイカイ＊クホウ</v>
      </c>
      <c r="D3564" t="str">
        <f>"旭川荘竜ノ口寮"</f>
        <v>旭川荘竜ノ口寮</v>
      </c>
      <c r="E3564" t="str">
        <f>"アサヒガワソウ タツノクチリョウ"</f>
        <v>アサヒガワソウ タツノクチリョウ</v>
      </c>
      <c r="F3564" t="str">
        <f>"岡山"</f>
        <v>岡山</v>
      </c>
      <c r="G3564" t="str">
        <f>"頻度不明"</f>
        <v>頻度不明</v>
      </c>
      <c r="H3564" t="str">
        <f>"2002222284043"</f>
        <v>2002222284043</v>
      </c>
      <c r="I3564" t="str">
        <f>HYPERLINK("#", "https://opac.libnet.pref.okayama.jp/licsxp-opac/WOpacMsgNewListToTifTilDetailAction.do?tilcod=2002222284043")</f>
        <v>https://opac.libnet.pref.okayama.jp/licsxp-opac/WOpacMsgNewListToTifTilDetailAction.do?tilcod=2002222284043</v>
      </c>
    </row>
    <row r="3565" spans="1:9" x14ac:dyDescent="0.4">
      <c r="A3565" t="str">
        <f>"タネピリカ"</f>
        <v>タネピリカ</v>
      </c>
      <c r="B3565" s="1" t="str">
        <f t="shared" si="185"/>
        <v>タネピリカ</v>
      </c>
      <c r="C3565" t="str">
        <f>"タネピリカ"</f>
        <v>タネピリカ</v>
      </c>
      <c r="D3565" t="str">
        <f>"建部町公民館"</f>
        <v>建部町公民館</v>
      </c>
      <c r="E3565" t="str">
        <f>"タケベチョウ コウミンカン"</f>
        <v>タケベチョウ コウミンカン</v>
      </c>
      <c r="F3565" t="str">
        <f>""</f>
        <v/>
      </c>
      <c r="G3565" t="str">
        <f>"季刊"</f>
        <v>季刊</v>
      </c>
      <c r="H3565" t="str">
        <f>"2002222314946"</f>
        <v>2002222314946</v>
      </c>
      <c r="I3565" t="str">
        <f>HYPERLINK("#", "https://opac.libnet.pref.okayama.jp/licsxp-opac/WOpacMsgNewListToTifTilDetailAction.do?tilcod=2002222314946")</f>
        <v>https://opac.libnet.pref.okayama.jp/licsxp-opac/WOpacMsgNewListToTifTilDetailAction.do?tilcod=2002222314946</v>
      </c>
    </row>
    <row r="3566" spans="1:9" x14ac:dyDescent="0.4">
      <c r="A3566" t="str">
        <f>"田畑けんじ市政ニュース"</f>
        <v>田畑けんじ市政ニュース</v>
      </c>
      <c r="B3566" s="1" t="str">
        <f t="shared" si="185"/>
        <v>田畑けんじ市政ニュース</v>
      </c>
      <c r="C3566" t="str">
        <f>"タバタ　ケンジ　シセイ　ニュース"</f>
        <v>タバタ　ケンジ　シセイ　ニュース</v>
      </c>
      <c r="D3566" t="str">
        <f>"日本共産党岡山地区委員会"</f>
        <v>日本共産党岡山地区委員会</v>
      </c>
      <c r="E3566" t="str">
        <f>"ニホン キョウサントウ オカヤマ チク イインカイ"</f>
        <v>ニホン キョウサントウ オカヤマ チク イインカイ</v>
      </c>
      <c r="F3566" t="str">
        <f>"岡山"</f>
        <v>岡山</v>
      </c>
      <c r="G3566" t="str">
        <f>"頻度不明"</f>
        <v>頻度不明</v>
      </c>
      <c r="H3566" t="str">
        <f>"2002222281461"</f>
        <v>2002222281461</v>
      </c>
      <c r="I3566" t="str">
        <f>HYPERLINK("#", "https://opac.libnet.pref.okayama.jp/licsxp-opac/WOpacMsgNewListToTifTilDetailAction.do?tilcod=2002222281461")</f>
        <v>https://opac.libnet.pref.okayama.jp/licsxp-opac/WOpacMsgNewListToTifTilDetailAction.do?tilcod=2002222281461</v>
      </c>
    </row>
    <row r="3567" spans="1:9" x14ac:dyDescent="0.4">
      <c r="A3567" t="str">
        <f>"旅"</f>
        <v>旅</v>
      </c>
      <c r="B3567" s="1" t="str">
        <f t="shared" si="185"/>
        <v>旅</v>
      </c>
      <c r="C3567" t="str">
        <f>"タビ"</f>
        <v>タビ</v>
      </c>
      <c r="D3567" t="str">
        <f>"「旅」編集室"</f>
        <v>「旅」編集室</v>
      </c>
      <c r="E3567" t="str">
        <f>"タビヘンシュウシツ"</f>
        <v>タビヘンシュウシツ</v>
      </c>
      <c r="F3567" t="str">
        <f>""</f>
        <v/>
      </c>
      <c r="G3567" t="str">
        <f>"頻度不明"</f>
        <v>頻度不明</v>
      </c>
      <c r="H3567" t="str">
        <f>"2002222284053"</f>
        <v>2002222284053</v>
      </c>
      <c r="I3567" t="str">
        <f>HYPERLINK("#", "https://opac.libnet.pref.okayama.jp/licsxp-opac/WOpacMsgNewListToTifTilDetailAction.do?tilcod=2002222284053")</f>
        <v>https://opac.libnet.pref.okayama.jp/licsxp-opac/WOpacMsgNewListToTifTilDetailAction.do?tilcod=2002222284053</v>
      </c>
    </row>
    <row r="3568" spans="1:9" x14ac:dyDescent="0.4">
      <c r="A3568" t="str">
        <f>"旅と観光"</f>
        <v>旅と観光</v>
      </c>
      <c r="B3568" s="1" t="str">
        <f t="shared" si="185"/>
        <v>旅と観光</v>
      </c>
      <c r="C3568" t="str">
        <f>"タビ　ト　カンコウ"</f>
        <v>タビ　ト　カンコウ</v>
      </c>
      <c r="D3568" t="str">
        <f>"岡山観光公社"</f>
        <v>岡山観光公社</v>
      </c>
      <c r="E3568" t="str">
        <f>"オカヤマカンコウコウシャ"</f>
        <v>オカヤマカンコウコウシャ</v>
      </c>
      <c r="F3568" t="str">
        <f>""</f>
        <v/>
      </c>
      <c r="G3568" t="str">
        <f>"頻度不明"</f>
        <v>頻度不明</v>
      </c>
      <c r="H3568" t="str">
        <f>"2002222284073"</f>
        <v>2002222284073</v>
      </c>
      <c r="I3568" t="str">
        <f>HYPERLINK("#", "https://opac.libnet.pref.okayama.jp/licsxp-opac/WOpacMsgNewListToTifTilDetailAction.do?tilcod=2002222284073")</f>
        <v>https://opac.libnet.pref.okayama.jp/licsxp-opac/WOpacMsgNewListToTifTilDetailAction.do?tilcod=2002222284073</v>
      </c>
    </row>
    <row r="3569" spans="1:9" x14ac:dyDescent="0.4">
      <c r="A3569" t="str">
        <f>"旅人の木"</f>
        <v>旅人の木</v>
      </c>
      <c r="B3569" s="1" t="str">
        <f t="shared" si="185"/>
        <v>旅人の木</v>
      </c>
      <c r="C3569" t="str">
        <f>"タビ　ビト　ノ　キ"</f>
        <v>タビ　ビト　ノ　キ</v>
      </c>
      <c r="D3569" t="str">
        <f>"ケイズデザイン"</f>
        <v>ケイズデザイン</v>
      </c>
      <c r="E3569" t="str">
        <f>"ケイズデザイン"</f>
        <v>ケイズデザイン</v>
      </c>
      <c r="F3569" t="str">
        <f>"岡山"</f>
        <v>岡山</v>
      </c>
      <c r="G3569" t="str">
        <f>"年３回刊"</f>
        <v>年３回刊</v>
      </c>
      <c r="H3569" t="str">
        <f>"2002222302361"</f>
        <v>2002222302361</v>
      </c>
      <c r="I3569" t="str">
        <f>HYPERLINK("#", "https://opac.libnet.pref.okayama.jp/licsxp-opac/WOpacMsgNewListToTifTilDetailAction.do?tilcod=2002222302361")</f>
        <v>https://opac.libnet.pref.okayama.jp/licsxp-opac/WOpacMsgNewListToTifTilDetailAction.do?tilcod=2002222302361</v>
      </c>
    </row>
    <row r="3570" spans="1:9" x14ac:dyDescent="0.4">
      <c r="A3570" t="str">
        <f>"旅立ちの岡山"</f>
        <v>旅立ちの岡山</v>
      </c>
      <c r="B3570" s="1" t="str">
        <f t="shared" si="185"/>
        <v>旅立ちの岡山</v>
      </c>
      <c r="C3570" t="str">
        <f>"タビダチ　ノ　オカヤマ"</f>
        <v>タビダチ　ノ　オカヤマ</v>
      </c>
      <c r="D3570" t="str">
        <f>"旅立ちの岡山編集部"</f>
        <v>旅立ちの岡山編集部</v>
      </c>
      <c r="E3570" t="str">
        <f>"タビダチノオカヤマヘンシュウブ"</f>
        <v>タビダチノオカヤマヘンシュウブ</v>
      </c>
      <c r="F3570" t="str">
        <f>"岡山"</f>
        <v>岡山</v>
      </c>
      <c r="G3570" t="str">
        <f>"月刊"</f>
        <v>月刊</v>
      </c>
      <c r="H3570" t="str">
        <f>"2002222284063"</f>
        <v>2002222284063</v>
      </c>
      <c r="I3570" t="str">
        <f>HYPERLINK("#", "https://opac.libnet.pref.okayama.jp/licsxp-opac/WOpacMsgNewListToTifTilDetailAction.do?tilcod=2002222284063")</f>
        <v>https://opac.libnet.pref.okayama.jp/licsxp-opac/WOpacMsgNewListToTifTilDetailAction.do?tilcod=2002222284063</v>
      </c>
    </row>
    <row r="3571" spans="1:9" x14ac:dyDescent="0.4">
      <c r="A3571" t="str">
        <f>"ＷＯＣニュース"</f>
        <v>ＷＯＣニュース</v>
      </c>
      <c r="B3571" s="1" t="str">
        <f t="shared" si="185"/>
        <v>ＷＯＣニュース</v>
      </c>
      <c r="C3571" t="str">
        <f>"ダブリュー　オー　シー　ニュース"</f>
        <v>ダブリュー　オー　シー　ニュース</v>
      </c>
      <c r="D3571" t="str">
        <f>"ワールド オプティカル カレッジ"</f>
        <v>ワールド オプティカル カレッジ</v>
      </c>
      <c r="E3571" t="str">
        <f>"ワールド オプティカル カレッジ"</f>
        <v>ワールド オプティカル カレッジ</v>
      </c>
      <c r="F3571" t="str">
        <f>"岡山"</f>
        <v>岡山</v>
      </c>
      <c r="G3571" t="str">
        <f>"頻度不明"</f>
        <v>頻度不明</v>
      </c>
      <c r="H3571" t="str">
        <f>"2002222302431"</f>
        <v>2002222302431</v>
      </c>
      <c r="I3571" t="str">
        <f>HYPERLINK("#", "https://opac.libnet.pref.okayama.jp/licsxp-opac/WOpacMsgNewListToTifTilDetailAction.do?tilcod=2002222302431")</f>
        <v>https://opac.libnet.pref.okayama.jp/licsxp-opac/WOpacMsgNewListToTifTilDetailAction.do?tilcod=2002222302431</v>
      </c>
    </row>
    <row r="3572" spans="1:9" x14ac:dyDescent="0.4">
      <c r="A3572" t="str">
        <f>"WWL通信；World-Wide Learning Consortium From SOZAN"</f>
        <v>WWL通信；World-Wide Learning Consortium From SOZAN</v>
      </c>
      <c r="B3572" s="1" t="str">
        <f t="shared" si="185"/>
        <v>WWL通信；World-Wide Learning Consortium From SOZAN</v>
      </c>
      <c r="C3572" t="str">
        <f>"ダブリューダブリューエル ツウシン＊ワールド ワイド ラーニング コンソ-シアム フロム ソウザン"</f>
        <v>ダブリューダブリューエル ツウシン＊ワールド ワイド ラーニング コンソ-シアム フロム ソウザン</v>
      </c>
      <c r="D3572" t="str">
        <f>"岡山操山高等学校"</f>
        <v>岡山操山高等学校</v>
      </c>
      <c r="E3572" t="str">
        <f>"オカヤマ ソウザン コウトウ ガッコウ"</f>
        <v>オカヤマ ソウザン コウトウ ガッコウ</v>
      </c>
      <c r="F3572" t="str">
        <f>"岡山"</f>
        <v>岡山</v>
      </c>
      <c r="G3572" t="str">
        <f>"頻度不明"</f>
        <v>頻度不明</v>
      </c>
      <c r="H3572" t="str">
        <f>"2002222344211"</f>
        <v>2002222344211</v>
      </c>
      <c r="I3572" t="str">
        <f>HYPERLINK("#", "https://opac.libnet.pref.okayama.jp/licsxp-opac/WOpacMsgNewListToTifTilDetailAction.do?tilcod=2002222344211")</f>
        <v>https://opac.libnet.pref.okayama.jp/licsxp-opac/WOpacMsgNewListToTifTilDetailAction.do?tilcod=2002222344211</v>
      </c>
    </row>
    <row r="3573" spans="1:9" x14ac:dyDescent="0.4">
      <c r="A3573" t="str">
        <f>"瓊"</f>
        <v>瓊</v>
      </c>
      <c r="B3573" s="1" t="str">
        <f t="shared" si="185"/>
        <v>瓊</v>
      </c>
      <c r="C3573" t="str">
        <f>"タマ"</f>
        <v>タマ</v>
      </c>
      <c r="D3573" t="str">
        <f>"玉島俳壇瓊刊行所"</f>
        <v>玉島俳壇瓊刊行所</v>
      </c>
      <c r="E3573" t="str">
        <f>"タマシマハイダンタマカンコウジョ"</f>
        <v>タマシマハイダンタマカンコウジョ</v>
      </c>
      <c r="F3573" t="str">
        <f>"玉島町（浅口郡）"</f>
        <v>玉島町（浅口郡）</v>
      </c>
      <c r="G3573" t="str">
        <f>"頻度不明"</f>
        <v>頻度不明</v>
      </c>
      <c r="H3573" t="str">
        <f>"2002222301762"</f>
        <v>2002222301762</v>
      </c>
      <c r="I3573" t="str">
        <f>HYPERLINK("#", "https://opac.libnet.pref.okayama.jp/licsxp-opac/WOpacMsgNewListToTifTilDetailAction.do?tilcod=2002222301762")</f>
        <v>https://opac.libnet.pref.okayama.jp/licsxp-opac/WOpacMsgNewListToTifTilDetailAction.do?tilcod=2002222301762</v>
      </c>
    </row>
    <row r="3574" spans="1:9" x14ac:dyDescent="0.4">
      <c r="A3574" t="str">
        <f>"たまかざし；玉簪；玉かざし[校友会誌]"</f>
        <v>たまかざし；玉簪；玉かざし[校友会誌]</v>
      </c>
      <c r="B3574" s="1" t="str">
        <f t="shared" si="185"/>
        <v>たまかざし；玉簪；玉かざし[校友会誌]</v>
      </c>
      <c r="C3574" t="str">
        <f>"タマカザシ コウユウカイシ"</f>
        <v>タマカザシ コウユウカイシ</v>
      </c>
      <c r="D3574" t="str">
        <f>"岡山県西大寺高等女学校校友会"</f>
        <v>岡山県西大寺高等女学校校友会</v>
      </c>
      <c r="E3574" t="str">
        <f>"オカヤマケン サイダイジ コウトウ ジョガッコウ コウユウカイ"</f>
        <v>オカヤマケン サイダイジ コウトウ ジョガッコウ コウユウカイ</v>
      </c>
      <c r="F3574" t="str">
        <f>"岡山"</f>
        <v>岡山</v>
      </c>
      <c r="G3574" t="str">
        <f>"頻度不明"</f>
        <v>頻度不明</v>
      </c>
      <c r="H3574" t="str">
        <f>"2002222285151"</f>
        <v>2002222285151</v>
      </c>
      <c r="I3574" t="str">
        <f>HYPERLINK("#", "https://opac.libnet.pref.okayama.jp/licsxp-opac/WOpacMsgNewListToTifTilDetailAction.do?tilcod=2002222285151")</f>
        <v>https://opac.libnet.pref.okayama.jp/licsxp-opac/WOpacMsgNewListToTifTilDetailAction.do?tilcod=2002222285151</v>
      </c>
    </row>
    <row r="3575" spans="1:9" x14ac:dyDescent="0.4">
      <c r="A3575" t="str">
        <f>"玉簪[同窓会誌]"</f>
        <v>玉簪[同窓会誌]</v>
      </c>
      <c r="B3575" s="1" t="str">
        <f t="shared" si="185"/>
        <v>玉簪[同窓会誌]</v>
      </c>
      <c r="C3575" t="str">
        <f>"タマカザシ ドウソウカイシ"</f>
        <v>タマカザシ ドウソウカイシ</v>
      </c>
      <c r="D3575" t="str">
        <f>"岡山県西大寺高等女学校同窓会"</f>
        <v>岡山県西大寺高等女学校同窓会</v>
      </c>
      <c r="E3575" t="str">
        <f>"オカヤマケン サイダイジ コウトウ ジョガッコウ ドウソウカイ"</f>
        <v>オカヤマケン サイダイジ コウトウ ジョガッコウ ドウソウカイ</v>
      </c>
      <c r="F3575" t="str">
        <f>"岡山市"</f>
        <v>岡山市</v>
      </c>
      <c r="G3575" t="str">
        <f>"頻度不明"</f>
        <v>頻度不明</v>
      </c>
      <c r="H3575" t="str">
        <f>"2002222285251"</f>
        <v>2002222285251</v>
      </c>
      <c r="I3575" t="str">
        <f>HYPERLINK("#", "https://opac.libnet.pref.okayama.jp/licsxp-opac/WOpacMsgNewListToTifTilDetailAction.do?tilcod=2002222285251")</f>
        <v>https://opac.libnet.pref.okayama.jp/licsxp-opac/WOpacMsgNewListToTifTilDetailAction.do?tilcod=2002222285251</v>
      </c>
    </row>
    <row r="3576" spans="1:9" x14ac:dyDescent="0.4">
      <c r="A3576" t="str">
        <f>"たまき"</f>
        <v>たまき</v>
      </c>
      <c r="B3576" s="1" t="str">
        <f t="shared" si="185"/>
        <v>たまき</v>
      </c>
      <c r="C3576" t="str">
        <f>"タマキ"</f>
        <v>タマキ</v>
      </c>
      <c r="D3576" t="str">
        <f>"たまきの会"</f>
        <v>たまきの会</v>
      </c>
      <c r="E3576" t="str">
        <f>"タマキノカイ"</f>
        <v>タマキノカイ</v>
      </c>
      <c r="F3576" t="str">
        <f>"岡山"</f>
        <v>岡山</v>
      </c>
      <c r="G3576" t="str">
        <f>"年２回刊"</f>
        <v>年２回刊</v>
      </c>
      <c r="H3576" t="str">
        <f>"2002222280581"</f>
        <v>2002222280581</v>
      </c>
      <c r="I3576" t="str">
        <f>HYPERLINK("#", "https://opac.libnet.pref.okayama.jp/licsxp-opac/WOpacMsgNewListToTifTilDetailAction.do?tilcod=2002222280581")</f>
        <v>https://opac.libnet.pref.okayama.jp/licsxp-opac/WOpacMsgNewListToTifTilDetailAction.do?tilcod=2002222280581</v>
      </c>
    </row>
    <row r="3577" spans="1:9" x14ac:dyDescent="0.4">
      <c r="A3577" t="str">
        <f>"たまごバクダン"</f>
        <v>たまごバクダン</v>
      </c>
      <c r="B3577" s="1" t="str">
        <f t="shared" si="185"/>
        <v>たまごバクダン</v>
      </c>
      <c r="C3577" t="str">
        <f>"タマゴ　バクダン"</f>
        <v>タマゴ　バクダン</v>
      </c>
      <c r="D3577" t="str">
        <f>"岡山建築技術者たまごの会"</f>
        <v>岡山建築技術者たまごの会</v>
      </c>
      <c r="E3577" t="str">
        <f>"オカヤマケンチクギジュツシャタマゴノカイ"</f>
        <v>オカヤマケンチクギジュツシャタマゴノカイ</v>
      </c>
      <c r="F3577" t="str">
        <f>"岡山"</f>
        <v>岡山</v>
      </c>
      <c r="G3577" t="str">
        <f>"月刊"</f>
        <v>月刊</v>
      </c>
      <c r="H3577" t="str">
        <f>"2002222284083"</f>
        <v>2002222284083</v>
      </c>
      <c r="I3577" t="str">
        <f>HYPERLINK("#", "https://opac.libnet.pref.okayama.jp/licsxp-opac/WOpacMsgNewListToTifTilDetailAction.do?tilcod=2002222284083")</f>
        <v>https://opac.libnet.pref.okayama.jp/licsxp-opac/WOpacMsgNewListToTifTilDetailAction.do?tilcod=2002222284083</v>
      </c>
    </row>
    <row r="3578" spans="1:9" x14ac:dyDescent="0.4">
      <c r="A3578" t="str">
        <f>"玉島教育"</f>
        <v>玉島教育</v>
      </c>
      <c r="B3578" s="1" t="str">
        <f t="shared" si="185"/>
        <v>玉島教育</v>
      </c>
      <c r="C3578" t="str">
        <f>"タマシマ キョウイク"</f>
        <v>タマシマ キョウイク</v>
      </c>
      <c r="D3578" t="str">
        <f>"玉島地区教育研究会報道部"</f>
        <v>玉島地区教育研究会報道部</v>
      </c>
      <c r="E3578" t="str">
        <f>"タマシマチク キョウイク ケンキュウカイ ホウドウブ"</f>
        <v>タマシマチク キョウイク ケンキュウカイ ホウドウブ</v>
      </c>
      <c r="F3578" t="str">
        <f>"玉島町(浅口郡)"</f>
        <v>玉島町(浅口郡)</v>
      </c>
      <c r="G3578" t="str">
        <f>"頻度不明"</f>
        <v>頻度不明</v>
      </c>
      <c r="H3578" t="str">
        <f>"2002222334828"</f>
        <v>2002222334828</v>
      </c>
      <c r="I3578" t="str">
        <f>HYPERLINK("#", "https://opac.libnet.pref.okayama.jp/licsxp-opac/WOpacMsgNewListToTifTilDetailAction.do?tilcod=2002222334828")</f>
        <v>https://opac.libnet.pref.okayama.jp/licsxp-opac/WOpacMsgNewListToTifTilDetailAction.do?tilcod=2002222334828</v>
      </c>
    </row>
    <row r="3579" spans="1:9" x14ac:dyDescent="0.4">
      <c r="A3579" t="str">
        <f>"[玉島高等学校] 学校案内"</f>
        <v>[玉島高等学校] 学校案内</v>
      </c>
      <c r="B3579" s="1" t="str">
        <f t="shared" si="185"/>
        <v>[玉島高等学校] 学校案内</v>
      </c>
      <c r="C3579" t="str">
        <f>"タマシマ　コウトウ　ガッコウ　ガッコウ　アンナイ"</f>
        <v>タマシマ　コウトウ　ガッコウ　ガッコウ　アンナイ</v>
      </c>
      <c r="D3579" t="str">
        <f>"玉島高等学校"</f>
        <v>玉島高等学校</v>
      </c>
      <c r="E3579" t="str">
        <f>"タマシマ コウトウ ガッコウ"</f>
        <v>タマシマ コウトウ ガッコウ</v>
      </c>
      <c r="F3579" t="str">
        <f>"倉敷"</f>
        <v>倉敷</v>
      </c>
      <c r="G3579" t="str">
        <f>"年刊"</f>
        <v>年刊</v>
      </c>
      <c r="H3579" t="str">
        <f>"2002222301250"</f>
        <v>2002222301250</v>
      </c>
      <c r="I3579" t="str">
        <f>HYPERLINK("#", "https://opac.libnet.pref.okayama.jp/licsxp-opac/WOpacMsgNewListToTifTilDetailAction.do?tilcod=2002222301250")</f>
        <v>https://opac.libnet.pref.okayama.jp/licsxp-opac/WOpacMsgNewListToTifTilDetailAction.do?tilcod=2002222301250</v>
      </c>
    </row>
    <row r="3580" spans="1:9" x14ac:dyDescent="0.4">
      <c r="A3580" t="str">
        <f>"[玉島高等学校] 学校要覧"</f>
        <v>[玉島高等学校] 学校要覧</v>
      </c>
      <c r="B3580" s="1" t="str">
        <f t="shared" si="185"/>
        <v>[玉島高等学校] 学校要覧</v>
      </c>
      <c r="C3580" t="str">
        <f>"タマシマ　コウトウ　ガッコウ　ガッコウ　ヨウラン"</f>
        <v>タマシマ　コウトウ　ガッコウ　ガッコウ　ヨウラン</v>
      </c>
      <c r="D3580" t="str">
        <f>"玉島高等学校"</f>
        <v>玉島高等学校</v>
      </c>
      <c r="E3580" t="str">
        <f>"タマシマ コウトウ ガッコウ"</f>
        <v>タマシマ コウトウ ガッコウ</v>
      </c>
      <c r="F3580" t="str">
        <f>"倉敷"</f>
        <v>倉敷</v>
      </c>
      <c r="G3580" t="str">
        <f>"年刊"</f>
        <v>年刊</v>
      </c>
      <c r="H3580" t="str">
        <f>"2002222300502"</f>
        <v>2002222300502</v>
      </c>
      <c r="I3580" t="str">
        <f>HYPERLINK("#", "https://opac.libnet.pref.okayama.jp/licsxp-opac/WOpacMsgNewListToTifTilDetailAction.do?tilcod=2002222300502")</f>
        <v>https://opac.libnet.pref.okayama.jp/licsxp-opac/WOpacMsgNewListToTifTilDetailAction.do?tilcod=2002222300502</v>
      </c>
    </row>
    <row r="3581" spans="1:9" x14ac:dyDescent="0.4">
      <c r="A3581" t="str">
        <f>"[玉島商業高等学校] 学校案内"</f>
        <v>[玉島商業高等学校] 学校案内</v>
      </c>
      <c r="B3581" s="1" t="str">
        <f t="shared" si="185"/>
        <v>[玉島商業高等学校] 学校案内</v>
      </c>
      <c r="C3581" t="str">
        <f>"タマシマ　ショウギョウ　コウトウ　ガッコウ　ガッコウ　アンナイ"</f>
        <v>タマシマ　ショウギョウ　コウトウ　ガッコウ　ガッコウ　アンナイ</v>
      </c>
      <c r="D3581" t="str">
        <f>"玉島商業高等学校"</f>
        <v>玉島商業高等学校</v>
      </c>
      <c r="E3581" t="str">
        <f>"タマシマ ショウギョウ コウトウ ガッコウ"</f>
        <v>タマシマ ショウギョウ コウトウ ガッコウ</v>
      </c>
      <c r="F3581" t="str">
        <f>"倉敷"</f>
        <v>倉敷</v>
      </c>
      <c r="G3581" t="str">
        <f>"年刊"</f>
        <v>年刊</v>
      </c>
      <c r="H3581" t="str">
        <f>"2002222301251"</f>
        <v>2002222301251</v>
      </c>
      <c r="I3581" t="str">
        <f>HYPERLINK("#", "https://opac.libnet.pref.okayama.jp/licsxp-opac/WOpacMsgNewListToTifTilDetailAction.do?tilcod=2002222301251")</f>
        <v>https://opac.libnet.pref.okayama.jp/licsxp-opac/WOpacMsgNewListToTifTilDetailAction.do?tilcod=2002222301251</v>
      </c>
    </row>
    <row r="3582" spans="1:9" x14ac:dyDescent="0.4">
      <c r="A3582" t="str">
        <f>"[玉島商業高等学校] 学校要覧"</f>
        <v>[玉島商業高等学校] 学校要覧</v>
      </c>
      <c r="B3582" s="1" t="str">
        <f t="shared" si="185"/>
        <v>[玉島商業高等学校] 学校要覧</v>
      </c>
      <c r="C3582" t="str">
        <f>"タマシマ　ショウギョウ　コウトウ　ガッコウ　ガッコウ　ヨウラン"</f>
        <v>タマシマ　ショウギョウ　コウトウ　ガッコウ　ガッコウ　ヨウラン</v>
      </c>
      <c r="D3582" t="str">
        <f>"玉島商業高等学校"</f>
        <v>玉島商業高等学校</v>
      </c>
      <c r="E3582" t="str">
        <f>"タマシマ ショウギョウ コウトウ ガッコウ"</f>
        <v>タマシマ ショウギョウ コウトウ ガッコウ</v>
      </c>
      <c r="F3582" t="str">
        <f>"倉敷"</f>
        <v>倉敷</v>
      </c>
      <c r="G3582" t="str">
        <f>"年刊"</f>
        <v>年刊</v>
      </c>
      <c r="H3582" t="str">
        <f>"2002222300507"</f>
        <v>2002222300507</v>
      </c>
      <c r="I3582" t="str">
        <f>HYPERLINK("#", "https://opac.libnet.pref.okayama.jp/licsxp-opac/WOpacMsgNewListToTifTilDetailAction.do?tilcod=2002222300507")</f>
        <v>https://opac.libnet.pref.okayama.jp/licsxp-opac/WOpacMsgNewListToTifTilDetailAction.do?tilcod=2002222300507</v>
      </c>
    </row>
    <row r="3583" spans="1:9" x14ac:dyDescent="0.4">
      <c r="A3583" t="str">
        <f>"玉島新聞"</f>
        <v>玉島新聞</v>
      </c>
      <c r="B3583" s="1" t="str">
        <f t="shared" si="185"/>
        <v>玉島新聞</v>
      </c>
      <c r="C3583" t="str">
        <f>"タマシマ シンブン"</f>
        <v>タマシマ シンブン</v>
      </c>
      <c r="D3583" t="str">
        <f>"玉島新聞社"</f>
        <v>玉島新聞社</v>
      </c>
      <c r="E3583" t="str">
        <f>"タマシマシンブンシャ"</f>
        <v>タマシマシンブンシャ</v>
      </c>
      <c r="F3583" t="str">
        <f>"玉島"</f>
        <v>玉島</v>
      </c>
      <c r="G3583" t="str">
        <f>"その他"</f>
        <v>その他</v>
      </c>
      <c r="H3583" t="str">
        <f>"2002222300940"</f>
        <v>2002222300940</v>
      </c>
      <c r="I3583" t="str">
        <f>HYPERLINK("#", "https://opac.libnet.pref.okayama.jp/licsxp-opac/WOpacMsgNewListToTifTilDetailAction.do?tilcod=2002222300940")</f>
        <v>https://opac.libnet.pref.okayama.jp/licsxp-opac/WOpacMsgNewListToTifTilDetailAction.do?tilcod=2002222300940</v>
      </c>
    </row>
    <row r="3584" spans="1:9" x14ac:dyDescent="0.4">
      <c r="A3584" t="str">
        <f>"玉島文化協会ニュース"</f>
        <v>玉島文化協会ニュース</v>
      </c>
      <c r="B3584" s="1" t="str">
        <f t="shared" si="185"/>
        <v>玉島文化協会ニュース</v>
      </c>
      <c r="C3584" t="str">
        <f>"タマシマ ブンカ キョウカイ ニュース"</f>
        <v>タマシマ ブンカ キョウカイ ニュース</v>
      </c>
      <c r="D3584" t="str">
        <f>"玉島文化協会"</f>
        <v>玉島文化協会</v>
      </c>
      <c r="E3584" t="str">
        <f>"タマシマ ブンカ キョウカイ"</f>
        <v>タマシマ ブンカ キョウカイ</v>
      </c>
      <c r="F3584" t="str">
        <f>"倉敷"</f>
        <v>倉敷</v>
      </c>
      <c r="G3584" t="str">
        <f>"年刊"</f>
        <v>年刊</v>
      </c>
      <c r="H3584" t="str">
        <f>"2002222307426"</f>
        <v>2002222307426</v>
      </c>
      <c r="I3584" t="str">
        <f>HYPERLINK("#", "https://opac.libnet.pref.okayama.jp/licsxp-opac/WOpacMsgNewListToTifTilDetailAction.do?tilcod=2002222307426")</f>
        <v>https://opac.libnet.pref.okayama.jp/licsxp-opac/WOpacMsgNewListToTifTilDetailAction.do?tilcod=2002222307426</v>
      </c>
    </row>
    <row r="3585" spans="1:9" x14ac:dyDescent="0.4">
      <c r="A3585" t="str">
        <f>"玉島防犯"</f>
        <v>玉島防犯</v>
      </c>
      <c r="B3585" s="1" t="str">
        <f t="shared" si="185"/>
        <v>玉島防犯</v>
      </c>
      <c r="C3585" t="str">
        <f>"タマシマ　ボウハン"</f>
        <v>タマシマ　ボウハン</v>
      </c>
      <c r="D3585" t="str">
        <f>"玉島市防犯協力会"</f>
        <v>玉島市防犯協力会</v>
      </c>
      <c r="E3585" t="str">
        <f>"タマシマシボウハンキョウリョクカイ"</f>
        <v>タマシマシボウハンキョウリョクカイ</v>
      </c>
      <c r="F3585" t="str">
        <f>"玉島"</f>
        <v>玉島</v>
      </c>
      <c r="G3585" t="str">
        <f>"頻度不明"</f>
        <v>頻度不明</v>
      </c>
      <c r="H3585" t="str">
        <f>"2002222301555"</f>
        <v>2002222301555</v>
      </c>
      <c r="I3585" t="str">
        <f>HYPERLINK("#", "https://opac.libnet.pref.okayama.jp/licsxp-opac/WOpacMsgNewListToTifTilDetailAction.do?tilcod=2002222301555")</f>
        <v>https://opac.libnet.pref.okayama.jp/licsxp-opac/WOpacMsgNewListToTifTilDetailAction.do?tilcod=2002222301555</v>
      </c>
    </row>
    <row r="3586" spans="1:9" x14ac:dyDescent="0.4">
      <c r="A3586" t="str">
        <f>"〔玉島高等学校〕玉高図書館報"</f>
        <v>〔玉島高等学校〕玉高図書館報</v>
      </c>
      <c r="B3586" s="1" t="str">
        <f t="shared" si="185"/>
        <v>〔玉島高等学校〕玉高図書館報</v>
      </c>
      <c r="C3586" t="str">
        <f>"タマシマコウトウガッコウ＊タマコウトショカンポウ"</f>
        <v>タマシマコウトウガッコウ＊タマコウトショカンポウ</v>
      </c>
      <c r="D3586" t="str">
        <f>"玉島高等学校図書委員会"</f>
        <v>玉島高等学校図書委員会</v>
      </c>
      <c r="E3586" t="str">
        <f>"タマシマコウトウガッコウトショイインカイ"</f>
        <v>タマシマコウトウガッコウトショイインカイ</v>
      </c>
      <c r="F3586" t="str">
        <f>"倉敷"</f>
        <v>倉敷</v>
      </c>
      <c r="G3586" t="str">
        <f>"年３回刊"</f>
        <v>年３回刊</v>
      </c>
      <c r="H3586" t="str">
        <f>"2002222301958"</f>
        <v>2002222301958</v>
      </c>
      <c r="I3586" t="str">
        <f>HYPERLINK("#", "https://opac.libnet.pref.okayama.jp/licsxp-opac/WOpacMsgNewListToTifTilDetailAction.do?tilcod=2002222301958")</f>
        <v>https://opac.libnet.pref.okayama.jp/licsxp-opac/WOpacMsgNewListToTifTilDetailAction.do?tilcod=2002222301958</v>
      </c>
    </row>
    <row r="3587" spans="1:9" x14ac:dyDescent="0.4">
      <c r="A3587" t="str">
        <f>"[玉島市立玉島商業高等学校生徒会]蛍雪"</f>
        <v>[玉島市立玉島商業高等学校生徒会]蛍雪</v>
      </c>
      <c r="B3587" s="1" t="str">
        <f t="shared" si="185"/>
        <v>[玉島市立玉島商業高等学校生徒会]蛍雪</v>
      </c>
      <c r="C3587" t="str">
        <f>"タマシマシリツ タマシマ ショウギョウ コウトウ ガッコウ セイトカイ*ケイセツ"</f>
        <v>タマシマシリツ タマシマ ショウギョウ コウトウ ガッコウ セイトカイ*ケイセツ</v>
      </c>
      <c r="D3587" t="str">
        <f>"玉島市立玉島商業高等学校生徒会"</f>
        <v>玉島市立玉島商業高等学校生徒会</v>
      </c>
      <c r="E3587" t="str">
        <f>"タマシマシリツタマシマショウギョウコウトウガッコウセイトカイ"</f>
        <v>タマシマシリツタマシマショウギョウコウトウガッコウセイトカイ</v>
      </c>
      <c r="F3587" t="str">
        <f>"玉島"</f>
        <v>玉島</v>
      </c>
      <c r="G3587" t="str">
        <f>"頻度不明"</f>
        <v>頻度不明</v>
      </c>
      <c r="H3587" t="str">
        <f>"2002222301366"</f>
        <v>2002222301366</v>
      </c>
      <c r="I3587" t="str">
        <f>HYPERLINK("#", "https://opac.libnet.pref.okayama.jp/licsxp-opac/WOpacMsgNewListToTifTilDetailAction.do?tilcod=2002222301366")</f>
        <v>https://opac.libnet.pref.okayama.jp/licsxp-opac/WOpacMsgNewListToTifTilDetailAction.do?tilcod=2002222301366</v>
      </c>
    </row>
    <row r="3588" spans="1:9" x14ac:dyDescent="0.4">
      <c r="A3588" t="str">
        <f>"たまてばこ；つくぼ子どもセンター情報"</f>
        <v>たまてばこ；つくぼ子どもセンター情報</v>
      </c>
      <c r="B3588" s="1" t="str">
        <f t="shared" ref="B3588:B3651" si="188">HYPERLINK("#", A3588)</f>
        <v>たまてばこ；つくぼ子どもセンター情報</v>
      </c>
      <c r="C3588" t="str">
        <f>"タマテバコ　ツクボ　コドモ　センター　ジョウホウ"</f>
        <v>タマテバコ　ツクボ　コドモ　センター　ジョウホウ</v>
      </c>
      <c r="D3588" t="str">
        <f>"つくぼ子どもセンター"</f>
        <v>つくぼ子どもセンター</v>
      </c>
      <c r="E3588" t="str">
        <f>"ツクボコドモセンター"</f>
        <v>ツクボコドモセンター</v>
      </c>
      <c r="F3588" t="str">
        <f>"早島町（都窪郡）"</f>
        <v>早島町（都窪郡）</v>
      </c>
      <c r="G3588" t="str">
        <f>"不定期刊"</f>
        <v>不定期刊</v>
      </c>
      <c r="H3588" t="str">
        <f>"2002222284531"</f>
        <v>2002222284531</v>
      </c>
      <c r="I3588" t="str">
        <f>HYPERLINK("#", "https://opac.libnet.pref.okayama.jp/licsxp-opac/WOpacMsgNewListToTifTilDetailAction.do?tilcod=2002222284531")</f>
        <v>https://opac.libnet.pref.okayama.jp/licsxp-opac/WOpacMsgNewListToTifTilDetailAction.do?tilcod=2002222284531</v>
      </c>
    </row>
    <row r="3589" spans="1:9" x14ac:dyDescent="0.4">
      <c r="A3589" t="str">
        <f>"たまの"</f>
        <v>たまの</v>
      </c>
      <c r="B3589" s="1" t="str">
        <f t="shared" si="188"/>
        <v>たまの</v>
      </c>
      <c r="C3589" t="str">
        <f>"タマノ"</f>
        <v>タマノ</v>
      </c>
      <c r="D3589" t="str">
        <f>"玉野ゴルフ倶楽部"</f>
        <v>玉野ゴルフ倶楽部</v>
      </c>
      <c r="E3589" t="str">
        <f>"タマノ ゴルフ クラブ"</f>
        <v>タマノ ゴルフ クラブ</v>
      </c>
      <c r="F3589" t="str">
        <f t="shared" ref="F3589:F3594" si="189">"玉野"</f>
        <v>玉野</v>
      </c>
      <c r="G3589" t="str">
        <f>"頻度不明"</f>
        <v>頻度不明</v>
      </c>
      <c r="H3589" t="str">
        <f>"2002222330286"</f>
        <v>2002222330286</v>
      </c>
      <c r="I3589" t="str">
        <f>HYPERLINK("#", "https://opac.libnet.pref.okayama.jp/licsxp-opac/WOpacMsgNewListToTifTilDetailAction.do?tilcod=2002222330286")</f>
        <v>https://opac.libnet.pref.okayama.jp/licsxp-opac/WOpacMsgNewListToTifTilDetailAction.do?tilcod=2002222330286</v>
      </c>
    </row>
    <row r="3590" spans="1:9" x14ac:dyDescent="0.4">
      <c r="A3590" t="str">
        <f>"玉野高校新聞"</f>
        <v>玉野高校新聞</v>
      </c>
      <c r="B3590" s="1" t="str">
        <f t="shared" si="188"/>
        <v>玉野高校新聞</v>
      </c>
      <c r="C3590" t="str">
        <f>"タマノ　コウコウ　シンブン"</f>
        <v>タマノ　コウコウ　シンブン</v>
      </c>
      <c r="D3590" t="str">
        <f>"玉野高等学校生徒会"</f>
        <v>玉野高等学校生徒会</v>
      </c>
      <c r="E3590" t="str">
        <f>"タマノコウトウガッコウセイトカイ"</f>
        <v>タマノコウトウガッコウセイトカイ</v>
      </c>
      <c r="F3590" t="str">
        <f t="shared" si="189"/>
        <v>玉野</v>
      </c>
      <c r="G3590" t="str">
        <f>"頻度不明"</f>
        <v>頻度不明</v>
      </c>
      <c r="H3590" t="str">
        <f>"2002222301945"</f>
        <v>2002222301945</v>
      </c>
      <c r="I3590" t="str">
        <f>HYPERLINK("#", "https://opac.libnet.pref.okayama.jp/licsxp-opac/WOpacMsgNewListToTifTilDetailAction.do?tilcod=2002222301945")</f>
        <v>https://opac.libnet.pref.okayama.jp/licsxp-opac/WOpacMsgNewListToTifTilDetailAction.do?tilcod=2002222301945</v>
      </c>
    </row>
    <row r="3591" spans="1:9" x14ac:dyDescent="0.4">
      <c r="A3591" t="str">
        <f>"玉野高校図書館新聞"</f>
        <v>玉野高校図書館新聞</v>
      </c>
      <c r="B3591" s="1" t="str">
        <f t="shared" si="188"/>
        <v>玉野高校図書館新聞</v>
      </c>
      <c r="C3591" t="str">
        <f>"タマノ　コウコウ　トショカン　シンブン"</f>
        <v>タマノ　コウコウ　トショカン　シンブン</v>
      </c>
      <c r="D3591" t="str">
        <f>"玉野高等学校図書館新聞編集部"</f>
        <v>玉野高等学校図書館新聞編集部</v>
      </c>
      <c r="E3591" t="str">
        <f>"タマノコウトウガッコウトショカンシンブンヘンシュウブ"</f>
        <v>タマノコウトウガッコウトショカンシンブンヘンシュウブ</v>
      </c>
      <c r="F3591" t="str">
        <f t="shared" si="189"/>
        <v>玉野</v>
      </c>
      <c r="G3591" t="str">
        <f>"頻度不明"</f>
        <v>頻度不明</v>
      </c>
      <c r="H3591" t="str">
        <f>"2002222301965"</f>
        <v>2002222301965</v>
      </c>
      <c r="I3591" t="str">
        <f>HYPERLINK("#", "https://opac.libnet.pref.okayama.jp/licsxp-opac/WOpacMsgNewListToTifTilDetailAction.do?tilcod=2002222301965")</f>
        <v>https://opac.libnet.pref.okayama.jp/licsxp-opac/WOpacMsgNewListToTifTilDetailAction.do?tilcod=2002222301965</v>
      </c>
    </row>
    <row r="3592" spans="1:9" x14ac:dyDescent="0.4">
      <c r="A3592" t="str">
        <f>"玉野高等学校学校案内"</f>
        <v>玉野高等学校学校案内</v>
      </c>
      <c r="B3592" s="1" t="str">
        <f t="shared" si="188"/>
        <v>玉野高等学校学校案内</v>
      </c>
      <c r="C3592" t="str">
        <f>"タマノ　コウトウ　ガッコウ　ガッコウ　アンナイ"</f>
        <v>タマノ　コウトウ　ガッコウ　ガッコウ　アンナイ</v>
      </c>
      <c r="D3592" t="str">
        <f>"玉野高等学校"</f>
        <v>玉野高等学校</v>
      </c>
      <c r="E3592" t="str">
        <f>"タマノ コウトウ ガッコウ"</f>
        <v>タマノ コウトウ ガッコウ</v>
      </c>
      <c r="F3592" t="str">
        <f t="shared" si="189"/>
        <v>玉野</v>
      </c>
      <c r="G3592" t="str">
        <f>"年刊"</f>
        <v>年刊</v>
      </c>
      <c r="H3592" t="str">
        <f>"2002222301183"</f>
        <v>2002222301183</v>
      </c>
      <c r="I3592" t="str">
        <f>HYPERLINK("#", "https://opac.libnet.pref.okayama.jp/licsxp-opac/WOpacMsgNewListToTifTilDetailAction.do?tilcod=2002222301183")</f>
        <v>https://opac.libnet.pref.okayama.jp/licsxp-opac/WOpacMsgNewListToTifTilDetailAction.do?tilcod=2002222301183</v>
      </c>
    </row>
    <row r="3593" spans="1:9" x14ac:dyDescent="0.4">
      <c r="A3593" t="str">
        <f>"玉野高等学校学校要覧"</f>
        <v>玉野高等学校学校要覧</v>
      </c>
      <c r="B3593" s="1" t="str">
        <f t="shared" si="188"/>
        <v>玉野高等学校学校要覧</v>
      </c>
      <c r="C3593" t="str">
        <f>"タマノ　コウトウ　ガッコウ　ガッコウ　ヨウラン"</f>
        <v>タマノ　コウトウ　ガッコウ　ガッコウ　ヨウラン</v>
      </c>
      <c r="D3593" t="str">
        <f>"玉野高等学校"</f>
        <v>玉野高等学校</v>
      </c>
      <c r="E3593" t="str">
        <f>"タマノ コウトウ ガッコウ"</f>
        <v>タマノ コウトウ ガッコウ</v>
      </c>
      <c r="F3593" t="str">
        <f t="shared" si="189"/>
        <v>玉野</v>
      </c>
      <c r="G3593" t="str">
        <f>"年刊"</f>
        <v>年刊</v>
      </c>
      <c r="H3593" t="str">
        <f>"2002222300512"</f>
        <v>2002222300512</v>
      </c>
      <c r="I3593" t="str">
        <f>HYPERLINK("#", "https://opac.libnet.pref.okayama.jp/licsxp-opac/WOpacMsgNewListToTifTilDetailAction.do?tilcod=2002222300512")</f>
        <v>https://opac.libnet.pref.okayama.jp/licsxp-opac/WOpacMsgNewListToTifTilDetailAction.do?tilcod=2002222300512</v>
      </c>
    </row>
    <row r="3594" spans="1:9" x14ac:dyDescent="0.4">
      <c r="A3594" t="str">
        <f>"〔玉野高等学校〕ＳＹＬＬＡＢＵＳ（シラバス）"</f>
        <v>〔玉野高等学校〕ＳＹＬＬＡＢＵＳ（シラバス）</v>
      </c>
      <c r="B3594" s="1" t="str">
        <f t="shared" si="188"/>
        <v>〔玉野高等学校〕ＳＹＬＬＡＢＵＳ（シラバス）</v>
      </c>
      <c r="C3594" t="str">
        <f>"タマノ　コウトウ　ガッコウ　シラバス"</f>
        <v>タマノ　コウトウ　ガッコウ　シラバス</v>
      </c>
      <c r="D3594" t="str">
        <f>"玉野高等学校教務課"</f>
        <v>玉野高等学校教務課</v>
      </c>
      <c r="E3594" t="str">
        <f>"タマノコウトウガッコウキョウムカ"</f>
        <v>タマノコウトウガッコウキョウムカ</v>
      </c>
      <c r="F3594" t="str">
        <f t="shared" si="189"/>
        <v>玉野</v>
      </c>
      <c r="G3594" t="str">
        <f>"年刊"</f>
        <v>年刊</v>
      </c>
      <c r="H3594" t="str">
        <f>"2002222301472"</f>
        <v>2002222301472</v>
      </c>
      <c r="I3594" t="str">
        <f>HYPERLINK("#", "https://opac.libnet.pref.okayama.jp/licsxp-opac/WOpacMsgNewListToTifTilDetailAction.do?tilcod=2002222301472")</f>
        <v>https://opac.libnet.pref.okayama.jp/licsxp-opac/WOpacMsgNewListToTifTilDetailAction.do?tilcod=2002222301472</v>
      </c>
    </row>
    <row r="3595" spans="1:9" x14ac:dyDescent="0.4">
      <c r="A3595" t="str">
        <f>"〔玉野高等学校〕黒耀"</f>
        <v>〔玉野高等学校〕黒耀</v>
      </c>
      <c r="B3595" s="1" t="str">
        <f t="shared" si="188"/>
        <v>〔玉野高等学校〕黒耀</v>
      </c>
      <c r="C3595" t="str">
        <f>"タマノ　コウトウ　ガッコウ＊コクヨウ"</f>
        <v>タマノ　コウトウ　ガッコウ＊コクヨウ</v>
      </c>
      <c r="D3595" t="str">
        <f>"玉野高等学校文芸部"</f>
        <v>玉野高等学校文芸部</v>
      </c>
      <c r="E3595" t="str">
        <f>"タマノ コウトウ ガッコウ ブンゲイブ"</f>
        <v>タマノ コウトウ ガッコウ ブンゲイブ</v>
      </c>
      <c r="F3595" t="str">
        <f>"〔玉野〕"</f>
        <v>〔玉野〕</v>
      </c>
      <c r="G3595" t="str">
        <f>"頻度不明"</f>
        <v>頻度不明</v>
      </c>
      <c r="H3595" t="str">
        <f>"2002222301552"</f>
        <v>2002222301552</v>
      </c>
      <c r="I3595" t="str">
        <f>HYPERLINK("#", "https://opac.libnet.pref.okayama.jp/licsxp-opac/WOpacMsgNewListToTifTilDetailAction.do?tilcod=2002222301552")</f>
        <v>https://opac.libnet.pref.okayama.jp/licsxp-opac/WOpacMsgNewListToTifTilDetailAction.do?tilcod=2002222301552</v>
      </c>
    </row>
    <row r="3596" spans="1:9" x14ac:dyDescent="0.4">
      <c r="A3596" t="str">
        <f>"玉野光南高等学校学校案内"</f>
        <v>玉野光南高等学校学校案内</v>
      </c>
      <c r="B3596" s="1" t="str">
        <f t="shared" si="188"/>
        <v>玉野光南高等学校学校案内</v>
      </c>
      <c r="C3596" t="str">
        <f>"タマノ　コウナン　コウトウ　ガッコウ　ガッコウ　アンナイ"</f>
        <v>タマノ　コウナン　コウトウ　ガッコウ　ガッコウ　アンナイ</v>
      </c>
      <c r="D3596" t="str">
        <f>"玉野光南高等学校"</f>
        <v>玉野光南高等学校</v>
      </c>
      <c r="E3596" t="str">
        <f>"タマノコウナンコウトウガッコウ"</f>
        <v>タマノコウナンコウトウガッコウ</v>
      </c>
      <c r="F3596" t="str">
        <f t="shared" ref="F3596:F3602" si="190">"玉野"</f>
        <v>玉野</v>
      </c>
      <c r="G3596" t="str">
        <f>"年刊"</f>
        <v>年刊</v>
      </c>
      <c r="H3596" t="str">
        <f>"2002222301184"</f>
        <v>2002222301184</v>
      </c>
      <c r="I3596" t="str">
        <f>HYPERLINK("#", "https://opac.libnet.pref.okayama.jp/licsxp-opac/WOpacMsgNewListToTifTilDetailAction.do?tilcod=2002222301184")</f>
        <v>https://opac.libnet.pref.okayama.jp/licsxp-opac/WOpacMsgNewListToTifTilDetailAction.do?tilcod=2002222301184</v>
      </c>
    </row>
    <row r="3597" spans="1:9" x14ac:dyDescent="0.4">
      <c r="A3597" t="str">
        <f>"玉野光南高等学校学校要覧"</f>
        <v>玉野光南高等学校学校要覧</v>
      </c>
      <c r="B3597" s="1" t="str">
        <f t="shared" si="188"/>
        <v>玉野光南高等学校学校要覧</v>
      </c>
      <c r="C3597" t="str">
        <f>"タマノ　コウナン　コウトウ　ガッコウ　ガッコウ　ヨウラン"</f>
        <v>タマノ　コウナン　コウトウ　ガッコウ　ガッコウ　ヨウラン</v>
      </c>
      <c r="D3597" t="str">
        <f>"玉野光南高等学校"</f>
        <v>玉野光南高等学校</v>
      </c>
      <c r="E3597" t="str">
        <f>"タマノコウナンコウトウガッコウ"</f>
        <v>タマノコウナンコウトウガッコウ</v>
      </c>
      <c r="F3597" t="str">
        <f t="shared" si="190"/>
        <v>玉野</v>
      </c>
      <c r="G3597" t="str">
        <f>"年刊"</f>
        <v>年刊</v>
      </c>
      <c r="H3597" t="str">
        <f>"2002222300513"</f>
        <v>2002222300513</v>
      </c>
      <c r="I3597" t="str">
        <f>HYPERLINK("#", "https://opac.libnet.pref.okayama.jp/licsxp-opac/WOpacMsgNewListToTifTilDetailAction.do?tilcod=2002222300513")</f>
        <v>https://opac.libnet.pref.okayama.jp/licsxp-opac/WOpacMsgNewListToTifTilDetailAction.do?tilcod=2002222300513</v>
      </c>
    </row>
    <row r="3598" spans="1:9" x14ac:dyDescent="0.4">
      <c r="A3598" t="str">
        <f>"玉野光南高等学校図書館報"</f>
        <v>玉野光南高等学校図書館報</v>
      </c>
      <c r="B3598" s="1" t="str">
        <f t="shared" si="188"/>
        <v>玉野光南高等学校図書館報</v>
      </c>
      <c r="C3598" t="str">
        <f>"タマノ　コウナン　コウトウ　ガッコウ　トショカンポウ"</f>
        <v>タマノ　コウナン　コウトウ　ガッコウ　トショカンポウ</v>
      </c>
      <c r="D3598" t="str">
        <f>"玉野光南高等学校図書館"</f>
        <v>玉野光南高等学校図書館</v>
      </c>
      <c r="E3598" t="str">
        <f>"タマノコウナンコウトウガッコウトショカン"</f>
        <v>タマノコウナンコウトウガッコウトショカン</v>
      </c>
      <c r="F3598" t="str">
        <f t="shared" si="190"/>
        <v>玉野</v>
      </c>
      <c r="G3598" t="str">
        <f>"年刊"</f>
        <v>年刊</v>
      </c>
      <c r="H3598" t="str">
        <f>"2002222301784"</f>
        <v>2002222301784</v>
      </c>
      <c r="I3598" t="str">
        <f>HYPERLINK("#", "https://opac.libnet.pref.okayama.jp/licsxp-opac/WOpacMsgNewListToTifTilDetailAction.do?tilcod=2002222301784")</f>
        <v>https://opac.libnet.pref.okayama.jp/licsxp-opac/WOpacMsgNewListToTifTilDetailAction.do?tilcod=2002222301784</v>
      </c>
    </row>
    <row r="3599" spans="1:9" x14ac:dyDescent="0.4">
      <c r="A3599" t="str">
        <f>"〔玉野光南高等学校〕Ｏｎｌｙ　Ｏｎｅ（オンリーワン）"</f>
        <v>〔玉野光南高等学校〕Ｏｎｌｙ　Ｏｎｅ（オンリーワン）</v>
      </c>
      <c r="B3599" s="1" t="str">
        <f t="shared" si="188"/>
        <v>〔玉野光南高等学校〕Ｏｎｌｙ　Ｏｎｅ（オンリーワン）</v>
      </c>
      <c r="C3599" t="str">
        <f>"タマノ　コウナン　コウトウ　ガッコウ＊オンリー　ワン"</f>
        <v>タマノ　コウナン　コウトウ　ガッコウ＊オンリー　ワン</v>
      </c>
      <c r="D3599" t="str">
        <f>"玉野光南高等学校"</f>
        <v>玉野光南高等学校</v>
      </c>
      <c r="E3599" t="str">
        <f>"タマノコウナンコウトウガッコウ"</f>
        <v>タマノコウナンコウトウガッコウ</v>
      </c>
      <c r="F3599" t="str">
        <f t="shared" si="190"/>
        <v>玉野</v>
      </c>
      <c r="G3599" t="str">
        <f>"年刊"</f>
        <v>年刊</v>
      </c>
      <c r="H3599" t="str">
        <f>"2002222302040"</f>
        <v>2002222302040</v>
      </c>
      <c r="I3599" t="str">
        <f>HYPERLINK("#", "https://opac.libnet.pref.okayama.jp/licsxp-opac/WOpacMsgNewListToTifTilDetailAction.do?tilcod=2002222302040")</f>
        <v>https://opac.libnet.pref.okayama.jp/licsxp-opac/WOpacMsgNewListToTifTilDetailAction.do?tilcod=2002222302040</v>
      </c>
    </row>
    <row r="3600" spans="1:9" x14ac:dyDescent="0.4">
      <c r="A3600" t="str">
        <f>"〔玉野光南高等学校〕ＰＴＡ光南"</f>
        <v>〔玉野光南高等学校〕ＰＴＡ光南</v>
      </c>
      <c r="B3600" s="1" t="str">
        <f t="shared" si="188"/>
        <v>〔玉野光南高等学校〕ＰＴＡ光南</v>
      </c>
      <c r="C3600" t="str">
        <f>"タマノ　コウナン　コウトウ　ガッコウ＊ピーティーエー　コウナン"</f>
        <v>タマノ　コウナン　コウトウ　ガッコウ＊ピーティーエー　コウナン</v>
      </c>
      <c r="D3600" t="str">
        <f>"ＰＴＡ総務委員会"</f>
        <v>ＰＴＡ総務委員会</v>
      </c>
      <c r="E3600" t="str">
        <f>"ピーティーエー　ソウム　イイン　カイ"</f>
        <v>ピーティーエー　ソウム　イイン　カイ</v>
      </c>
      <c r="F3600" t="str">
        <f t="shared" si="190"/>
        <v>玉野</v>
      </c>
      <c r="G3600" t="str">
        <f>"年刊"</f>
        <v>年刊</v>
      </c>
      <c r="H3600" t="str">
        <f>"2002222301841"</f>
        <v>2002222301841</v>
      </c>
      <c r="I3600" t="str">
        <f>HYPERLINK("#", "https://opac.libnet.pref.okayama.jp/licsxp-opac/WOpacMsgNewListToTifTilDetailAction.do?tilcod=2002222301841")</f>
        <v>https://opac.libnet.pref.okayama.jp/licsxp-opac/WOpacMsgNewListToTifTilDetailAction.do?tilcod=2002222301841</v>
      </c>
    </row>
    <row r="3601" spans="1:9" x14ac:dyDescent="0.4">
      <c r="A3601" t="str">
        <f>"たまの市議会だより"</f>
        <v>たまの市議会だより</v>
      </c>
      <c r="B3601" s="1" t="str">
        <f t="shared" si="188"/>
        <v>たまの市議会だより</v>
      </c>
      <c r="C3601" t="str">
        <f>"タマノ　シギカイ　ダヨリ"</f>
        <v>タマノ　シギカイ　ダヨリ</v>
      </c>
      <c r="D3601" t="str">
        <f>"玉野市議会"</f>
        <v>玉野市議会</v>
      </c>
      <c r="E3601" t="str">
        <f>"タマノシギカイ"</f>
        <v>タマノシギカイ</v>
      </c>
      <c r="F3601" t="str">
        <f t="shared" si="190"/>
        <v>玉野</v>
      </c>
      <c r="G3601" t="str">
        <f>"季刊"</f>
        <v>季刊</v>
      </c>
      <c r="H3601" t="str">
        <f>"2002222293801"</f>
        <v>2002222293801</v>
      </c>
      <c r="I3601" t="str">
        <f>HYPERLINK("#", "https://opac.libnet.pref.okayama.jp/licsxp-opac/WOpacMsgNewListToTifTilDetailAction.do?tilcod=2002222293801")</f>
        <v>https://opac.libnet.pref.okayama.jp/licsxp-opac/WOpacMsgNewListToTifTilDetailAction.do?tilcod=2002222293801</v>
      </c>
    </row>
    <row r="3602" spans="1:9" x14ac:dyDescent="0.4">
      <c r="A3602" t="str">
        <f>"玉野市電保存会通信"</f>
        <v>玉野市電保存会通信</v>
      </c>
      <c r="B3602" s="1" t="str">
        <f t="shared" si="188"/>
        <v>玉野市電保存会通信</v>
      </c>
      <c r="C3602" t="str">
        <f>"タマノ　シデン　ホゾンカイ　ツウシン"</f>
        <v>タマノ　シデン　ホゾンカイ　ツウシン</v>
      </c>
      <c r="D3602" t="str">
        <f>"玉野市電保存会"</f>
        <v>玉野市電保存会</v>
      </c>
      <c r="E3602" t="str">
        <f>"タマノ シデン ホゾンカイ"</f>
        <v>タマノ シデン ホゾンカイ</v>
      </c>
      <c r="F3602" t="str">
        <f t="shared" si="190"/>
        <v>玉野</v>
      </c>
      <c r="G3602" t="str">
        <f>"月刊"</f>
        <v>月刊</v>
      </c>
      <c r="H3602" t="str">
        <f>"2002222301050"</f>
        <v>2002222301050</v>
      </c>
      <c r="I3602" t="str">
        <f>HYPERLINK("#", "https://opac.libnet.pref.okayama.jp/licsxp-opac/WOpacMsgNewListToTifTilDetailAction.do?tilcod=2002222301050")</f>
        <v>https://opac.libnet.pref.okayama.jp/licsxp-opac/WOpacMsgNewListToTifTilDetailAction.do?tilcod=2002222301050</v>
      </c>
    </row>
    <row r="3603" spans="1:9" x14ac:dyDescent="0.4">
      <c r="A3603" t="str">
        <f>"玉野時評"</f>
        <v>玉野時評</v>
      </c>
      <c r="B3603" s="1" t="str">
        <f t="shared" si="188"/>
        <v>玉野時評</v>
      </c>
      <c r="C3603" t="str">
        <f>"タマノ ジヒョウ"</f>
        <v>タマノ ジヒョウ</v>
      </c>
      <c r="D3603" t="str">
        <f>"玉野時評社"</f>
        <v>玉野時評社</v>
      </c>
      <c r="E3603" t="str">
        <f>"タマノ ジヒョウシャ"</f>
        <v>タマノ ジヒョウシャ</v>
      </c>
      <c r="F3603" t="str">
        <f>"岡山"</f>
        <v>岡山</v>
      </c>
      <c r="G3603" t="str">
        <f>"旬刊"</f>
        <v>旬刊</v>
      </c>
      <c r="H3603" t="str">
        <f>"2002222330307"</f>
        <v>2002222330307</v>
      </c>
      <c r="I3603" t="str">
        <f>HYPERLINK("#", "https://opac.libnet.pref.okayama.jp/licsxp-opac/WOpacMsgNewListToTifTilDetailAction.do?tilcod=2002222330307")</f>
        <v>https://opac.libnet.pref.okayama.jp/licsxp-opac/WOpacMsgNewListToTifTilDetailAction.do?tilcod=2002222330307</v>
      </c>
    </row>
    <row r="3604" spans="1:9" x14ac:dyDescent="0.4">
      <c r="A3604" t="str">
        <f>"玉野市民新聞"</f>
        <v>玉野市民新聞</v>
      </c>
      <c r="B3604" s="1" t="str">
        <f t="shared" si="188"/>
        <v>玉野市民新聞</v>
      </c>
      <c r="C3604" t="str">
        <f>"タマノ　シミン　シンブン"</f>
        <v>タマノ　シミン　シンブン</v>
      </c>
      <c r="D3604" t="str">
        <f>"玉野市民新聞社"</f>
        <v>玉野市民新聞社</v>
      </c>
      <c r="E3604" t="str">
        <f>"タマノシミンシンブンシャ"</f>
        <v>タマノシミンシンブンシャ</v>
      </c>
      <c r="F3604" t="str">
        <f t="shared" ref="F3604:F3609" si="191">"玉野"</f>
        <v>玉野</v>
      </c>
      <c r="G3604" t="str">
        <f>"その他"</f>
        <v>その他</v>
      </c>
      <c r="H3604" t="str">
        <f>"2002222300941"</f>
        <v>2002222300941</v>
      </c>
      <c r="I3604" t="str">
        <f>HYPERLINK("#", "https://opac.libnet.pref.okayama.jp/licsxp-opac/WOpacMsgNewListToTifTilDetailAction.do?tilcod=2002222300941")</f>
        <v>https://opac.libnet.pref.okayama.jp/licsxp-opac/WOpacMsgNewListToTifTilDetailAction.do?tilcod=2002222300941</v>
      </c>
    </row>
    <row r="3605" spans="1:9" x14ac:dyDescent="0.4">
      <c r="A3605" t="str">
        <f>"たまの社協だより"</f>
        <v>たまの社協だより</v>
      </c>
      <c r="B3605" s="1" t="str">
        <f t="shared" si="188"/>
        <v>たまの社協だより</v>
      </c>
      <c r="C3605" t="str">
        <f>"タマノ　シヤキヨウ　ダヨリ"</f>
        <v>タマノ　シヤキヨウ　ダヨリ</v>
      </c>
      <c r="D3605" t="str">
        <f>"玉野市福祉協議会"</f>
        <v>玉野市福祉協議会</v>
      </c>
      <c r="E3605" t="str">
        <f>"タマノシフクシキヨウギカイ"</f>
        <v>タマノシフクシキヨウギカイ</v>
      </c>
      <c r="F3605" t="str">
        <f t="shared" si="191"/>
        <v>玉野</v>
      </c>
      <c r="G3605" t="str">
        <f>"隔月刊"</f>
        <v>隔月刊</v>
      </c>
      <c r="H3605" t="str">
        <f>"2002222293831"</f>
        <v>2002222293831</v>
      </c>
      <c r="I3605" t="str">
        <f>HYPERLINK("#", "https://opac.libnet.pref.okayama.jp/licsxp-opac/WOpacMsgNewListToTifTilDetailAction.do?tilcod=2002222293831")</f>
        <v>https://opac.libnet.pref.okayama.jp/licsxp-opac/WOpacMsgNewListToTifTilDetailAction.do?tilcod=2002222293831</v>
      </c>
    </row>
    <row r="3606" spans="1:9" x14ac:dyDescent="0.4">
      <c r="A3606" t="str">
        <f>"[玉野市立玉野商工高等学校] 学校要覧"</f>
        <v>[玉野市立玉野商工高等学校] 学校要覧</v>
      </c>
      <c r="B3606" s="1" t="str">
        <f t="shared" si="188"/>
        <v>[玉野市立玉野商工高等学校] 学校要覧</v>
      </c>
      <c r="C3606" t="str">
        <f>"タマノ シリツ タマノ ショウコウ コウトウ ガッコウ ガッコウヨ ウラン"</f>
        <v>タマノ シリツ タマノ ショウコウ コウトウ ガッコウ ガッコウヨ ウラン</v>
      </c>
      <c r="D3606" t="str">
        <f>"玉野市立玉野商工高等学校"</f>
        <v>玉野市立玉野商工高等学校</v>
      </c>
      <c r="E3606" t="str">
        <f>"タマノ シリツ タマノ ショウコウ コウトウ ガッコウ"</f>
        <v>タマノ シリツ タマノ ショウコウ コウトウ ガッコウ</v>
      </c>
      <c r="F3606" t="str">
        <f t="shared" si="191"/>
        <v>玉野</v>
      </c>
      <c r="G3606" t="str">
        <f>"年刊"</f>
        <v>年刊</v>
      </c>
      <c r="H3606" t="str">
        <f>"2002222339290"</f>
        <v>2002222339290</v>
      </c>
      <c r="I3606" t="str">
        <f>HYPERLINK("#", "https://opac.libnet.pref.okayama.jp/licsxp-opac/WOpacMsgNewListToTifTilDetailAction.do?tilcod=2002222339290")</f>
        <v>https://opac.libnet.pref.okayama.jp/licsxp-opac/WOpacMsgNewListToTifTilDetailAction.do?tilcod=2002222339290</v>
      </c>
    </row>
    <row r="3607" spans="1:9" x14ac:dyDescent="0.4">
      <c r="A3607" t="str">
        <f>"玉野青少年スポーツセンターニュース"</f>
        <v>玉野青少年スポーツセンターニュース</v>
      </c>
      <c r="B3607" s="1" t="str">
        <f t="shared" si="188"/>
        <v>玉野青少年スポーツセンターニュース</v>
      </c>
      <c r="C3607" t="str">
        <f>"タマノ　セイショウネン　スポーツ　センター　ニュース"</f>
        <v>タマノ　セイショウネン　スポーツ　センター　ニュース</v>
      </c>
      <c r="D3607" t="str">
        <f>"玉野青少年スポーツセンター"</f>
        <v>玉野青少年スポーツセンター</v>
      </c>
      <c r="E3607" t="str">
        <f>"タマノセイショウネンスポーツセンター"</f>
        <v>タマノセイショウネンスポーツセンター</v>
      </c>
      <c r="F3607" t="str">
        <f t="shared" si="191"/>
        <v>玉野</v>
      </c>
      <c r="G3607" t="str">
        <f>"頻度不明"</f>
        <v>頻度不明</v>
      </c>
      <c r="H3607" t="str">
        <f>"2002222284113"</f>
        <v>2002222284113</v>
      </c>
      <c r="I3607" t="str">
        <f>HYPERLINK("#", "https://opac.libnet.pref.okayama.jp/licsxp-opac/WOpacMsgNewListToTifTilDetailAction.do?tilcod=2002222284113")</f>
        <v>https://opac.libnet.pref.okayama.jp/licsxp-opac/WOpacMsgNewListToTifTilDetailAction.do?tilcod=2002222284113</v>
      </c>
    </row>
    <row r="3608" spans="1:9" x14ac:dyDescent="0.4">
      <c r="A3608" t="str">
        <f>"たまのＴＥＧＯキッズ"</f>
        <v>たまのＴＥＧＯキッズ</v>
      </c>
      <c r="B3608" s="1" t="str">
        <f t="shared" si="188"/>
        <v>たまのＴＥＧＯキッズ</v>
      </c>
      <c r="C3608" t="str">
        <f>"タマノ　テゴ　キッズ"</f>
        <v>タマノ　テゴ　キッズ</v>
      </c>
      <c r="D3608" t="str">
        <f>"玉野市子どもセンター"</f>
        <v>玉野市子どもセンター</v>
      </c>
      <c r="E3608" t="str">
        <f>"タマノシコドモセンター"</f>
        <v>タマノシコドモセンター</v>
      </c>
      <c r="F3608" t="str">
        <f t="shared" si="191"/>
        <v>玉野</v>
      </c>
      <c r="G3608" t="str">
        <f>"頻度不明"</f>
        <v>頻度不明</v>
      </c>
      <c r="H3608" t="str">
        <f>"2002222285851"</f>
        <v>2002222285851</v>
      </c>
      <c r="I3608" t="str">
        <f>HYPERLINK("#", "https://opac.libnet.pref.okayama.jp/licsxp-opac/WOpacMsgNewListToTifTilDetailAction.do?tilcod=2002222285851")</f>
        <v>https://opac.libnet.pref.okayama.jp/licsxp-opac/WOpacMsgNewListToTifTilDetailAction.do?tilcod=2002222285851</v>
      </c>
    </row>
    <row r="3609" spans="1:9" x14ac:dyDescent="0.4">
      <c r="A3609" t="str">
        <f>"玉野の詩人達"</f>
        <v>玉野の詩人達</v>
      </c>
      <c r="B3609" s="1" t="str">
        <f t="shared" si="188"/>
        <v>玉野の詩人達</v>
      </c>
      <c r="C3609" t="str">
        <f>"タマノ ノ シジンタチ"</f>
        <v>タマノ ノ シジンタチ</v>
      </c>
      <c r="D3609" t="str">
        <f>"立花幸子"</f>
        <v>立花幸子</v>
      </c>
      <c r="E3609" t="str">
        <f>"タチバナサチコ"</f>
        <v>タチバナサチコ</v>
      </c>
      <c r="F3609" t="str">
        <f t="shared" si="191"/>
        <v>玉野</v>
      </c>
      <c r="G3609" t="str">
        <f>"年２回刊"</f>
        <v>年２回刊</v>
      </c>
      <c r="H3609" t="str">
        <f>"2002222319608"</f>
        <v>2002222319608</v>
      </c>
      <c r="I3609" t="str">
        <f>HYPERLINK("#", "https://opac.libnet.pref.okayama.jp/licsxp-opac/WOpacMsgNewListToTifTilDetailAction.do?tilcod=2002222319608")</f>
        <v>https://opac.libnet.pref.okayama.jp/licsxp-opac/WOpacMsgNewListToTifTilDetailAction.do?tilcod=2002222319608</v>
      </c>
    </row>
    <row r="3610" spans="1:9" x14ac:dyDescent="0.4">
      <c r="A3610" t="str">
        <f>"玉野文学"</f>
        <v>玉野文学</v>
      </c>
      <c r="B3610" s="1" t="str">
        <f t="shared" si="188"/>
        <v>玉野文学</v>
      </c>
      <c r="C3610" t="str">
        <f>"タマノ　ブンガク"</f>
        <v>タマノ　ブンガク</v>
      </c>
      <c r="D3610" t="str">
        <f>"玉野文学事務局"</f>
        <v>玉野文学事務局</v>
      </c>
      <c r="E3610" t="str">
        <f>"タマノブンガクジムキョク"</f>
        <v>タマノブンガクジムキョク</v>
      </c>
      <c r="F3610" t="str">
        <f>""</f>
        <v/>
      </c>
      <c r="G3610" t="str">
        <f>"頻度不明"</f>
        <v>頻度不明</v>
      </c>
      <c r="H3610" t="str">
        <f>"2002222284133"</f>
        <v>2002222284133</v>
      </c>
      <c r="I3610" t="str">
        <f>HYPERLINK("#", "https://opac.libnet.pref.okayama.jp/licsxp-opac/WOpacMsgNewListToTifTilDetailAction.do?tilcod=2002222284133")</f>
        <v>https://opac.libnet.pref.okayama.jp/licsxp-opac/WOpacMsgNewListToTifTilDetailAction.do?tilcod=2002222284133</v>
      </c>
    </row>
    <row r="3611" spans="1:9" x14ac:dyDescent="0.4">
      <c r="A3611" t="str">
        <f>"玉野民報"</f>
        <v>玉野民報</v>
      </c>
      <c r="B3611" s="1" t="str">
        <f t="shared" si="188"/>
        <v>玉野民報</v>
      </c>
      <c r="C3611" t="str">
        <f>"タマノ ミンポウ"</f>
        <v>タマノ ミンポウ</v>
      </c>
      <c r="D3611" t="str">
        <f>"玉野民報社"</f>
        <v>玉野民報社</v>
      </c>
      <c r="E3611" t="str">
        <f>"タマノ ミンポウシャ"</f>
        <v>タマノ ミンポウシャ</v>
      </c>
      <c r="F3611" t="str">
        <f t="shared" ref="F3611:F3618" si="192">"玉野"</f>
        <v>玉野</v>
      </c>
      <c r="G3611" t="str">
        <f>"日刊"</f>
        <v>日刊</v>
      </c>
      <c r="H3611" t="str">
        <f>"2002222330308"</f>
        <v>2002222330308</v>
      </c>
      <c r="I3611" t="str">
        <f>HYPERLINK("#", "https://opac.libnet.pref.okayama.jp/licsxp-opac/WOpacMsgNewListToTifTilDetailAction.do?tilcod=2002222330308")</f>
        <v>https://opac.libnet.pref.okayama.jp/licsxp-opac/WOpacMsgNewListToTifTilDetailAction.do?tilcod=2002222330308</v>
      </c>
    </row>
    <row r="3612" spans="1:9" x14ac:dyDescent="0.4">
      <c r="A3612" t="str">
        <f>"玉野市立玉野商業高等学校学校案内"</f>
        <v>玉野市立玉野商業高等学校学校案内</v>
      </c>
      <c r="B3612" s="1" t="str">
        <f t="shared" si="188"/>
        <v>玉野市立玉野商業高等学校学校案内</v>
      </c>
      <c r="C3612" t="str">
        <f>"タマノシリツ　タマノ　ショウギョウ　コウトウ　ガッコウ　ガッコウ　アンナイ"</f>
        <v>タマノシリツ　タマノ　ショウギョウ　コウトウ　ガッコウ　ガッコウ　アンナイ</v>
      </c>
      <c r="D3612" t="str">
        <f>"玉野市立玉野商業高等学校"</f>
        <v>玉野市立玉野商業高等学校</v>
      </c>
      <c r="E3612" t="str">
        <f>"タマノシリツ タマノ ショウギョウ コウトウ ガッコウ"</f>
        <v>タマノシリツ タマノ ショウギョウ コウトウ ガッコウ</v>
      </c>
      <c r="F3612" t="str">
        <f t="shared" si="192"/>
        <v>玉野</v>
      </c>
      <c r="G3612" t="str">
        <f>"年刊"</f>
        <v>年刊</v>
      </c>
      <c r="H3612" t="str">
        <f>"2002222301202"</f>
        <v>2002222301202</v>
      </c>
      <c r="I3612" t="str">
        <f>HYPERLINK("#", "https://opac.libnet.pref.okayama.jp/licsxp-opac/WOpacMsgNewListToTifTilDetailAction.do?tilcod=2002222301202")</f>
        <v>https://opac.libnet.pref.okayama.jp/licsxp-opac/WOpacMsgNewListToTifTilDetailAction.do?tilcod=2002222301202</v>
      </c>
    </row>
    <row r="3613" spans="1:9" x14ac:dyDescent="0.4">
      <c r="A3613" t="str">
        <f>"[玉野市立玉野商業高等学校] 学校要覧"</f>
        <v>[玉野市立玉野商業高等学校] 学校要覧</v>
      </c>
      <c r="B3613" s="1" t="str">
        <f t="shared" si="188"/>
        <v>[玉野市立玉野商業高等学校] 学校要覧</v>
      </c>
      <c r="C3613" t="str">
        <f>"タマノシリツ　タマノ　ショウギョウ　コウトウ　ガッコウ　ガッコウ　ヨウラン"</f>
        <v>タマノシリツ　タマノ　ショウギョウ　コウトウ　ガッコウ　ガッコウ　ヨウラン</v>
      </c>
      <c r="D3613" t="str">
        <f>"玉野市立玉野商業高等学校"</f>
        <v>玉野市立玉野商業高等学校</v>
      </c>
      <c r="E3613" t="str">
        <f>"タマノシリツ タマノ ショウギョウ コウトウ ガッコウ"</f>
        <v>タマノシリツ タマノ ショウギョウ コウトウ ガッコウ</v>
      </c>
      <c r="F3613" t="str">
        <f t="shared" si="192"/>
        <v>玉野</v>
      </c>
      <c r="G3613" t="str">
        <f>"年刊"</f>
        <v>年刊</v>
      </c>
      <c r="H3613" t="str">
        <f>"2002222300554"</f>
        <v>2002222300554</v>
      </c>
      <c r="I3613" t="str">
        <f>HYPERLINK("#", "https://opac.libnet.pref.okayama.jp/licsxp-opac/WOpacMsgNewListToTifTilDetailAction.do?tilcod=2002222300554")</f>
        <v>https://opac.libnet.pref.okayama.jp/licsxp-opac/WOpacMsgNewListToTifTilDetailAction.do?tilcod=2002222300554</v>
      </c>
    </row>
    <row r="3614" spans="1:9" x14ac:dyDescent="0.4">
      <c r="A3614" t="str">
        <f>"〔玉野市立玉野商業高等学校〕あゆみ"</f>
        <v>〔玉野市立玉野商業高等学校〕あゆみ</v>
      </c>
      <c r="B3614" s="1" t="str">
        <f t="shared" si="188"/>
        <v>〔玉野市立玉野商業高等学校〕あゆみ</v>
      </c>
      <c r="C3614" t="str">
        <f>"タマノシリツ　タマノ　ショウギョウ　コウトウ　ガッコウ＊アユミ"</f>
        <v>タマノシリツ　タマノ　ショウギョウ　コウトウ　ガッコウ＊アユミ</v>
      </c>
      <c r="D3614" t="str">
        <f>"玉野市立玉野商業高等学校"</f>
        <v>玉野市立玉野商業高等学校</v>
      </c>
      <c r="E3614" t="str">
        <f>"タマノシリツ タマノ ショウギョウ コウトウ ガッコウ"</f>
        <v>タマノシリツ タマノ ショウギョウ コウトウ ガッコウ</v>
      </c>
      <c r="F3614" t="str">
        <f t="shared" si="192"/>
        <v>玉野</v>
      </c>
      <c r="G3614" t="str">
        <f>"年刊"</f>
        <v>年刊</v>
      </c>
      <c r="H3614" t="str">
        <f>"2002222284103"</f>
        <v>2002222284103</v>
      </c>
      <c r="I3614" t="str">
        <f>HYPERLINK("#", "https://opac.libnet.pref.okayama.jp/licsxp-opac/WOpacMsgNewListToTifTilDetailAction.do?tilcod=2002222284103")</f>
        <v>https://opac.libnet.pref.okayama.jp/licsxp-opac/WOpacMsgNewListToTifTilDetailAction.do?tilcod=2002222284103</v>
      </c>
    </row>
    <row r="3615" spans="1:9" x14ac:dyDescent="0.4">
      <c r="A3615" t="str">
        <f>"〔玉野市立玉野商業高等学校〕玉野商高新聞"</f>
        <v>〔玉野市立玉野商業高等学校〕玉野商高新聞</v>
      </c>
      <c r="B3615" s="1" t="str">
        <f t="shared" si="188"/>
        <v>〔玉野市立玉野商業高等学校〕玉野商高新聞</v>
      </c>
      <c r="C3615" t="str">
        <f>"タマノシリツ　タマノ　ショウギョウ　コウトウ　ガッコウ＊タマノ　ショウコウ　シンブン"</f>
        <v>タマノシリツ　タマノ　ショウギョウ　コウトウ　ガッコウ＊タマノ　ショウコウ　シンブン</v>
      </c>
      <c r="D3615" t="str">
        <f>"玉野市立玉野商業高等学校"</f>
        <v>玉野市立玉野商業高等学校</v>
      </c>
      <c r="E3615" t="str">
        <f>"タマノシリツ タマノ ショウギョウ コウトウ ガッコウ"</f>
        <v>タマノシリツ タマノ ショウギョウ コウトウ ガッコウ</v>
      </c>
      <c r="F3615" t="str">
        <f t="shared" si="192"/>
        <v>玉野</v>
      </c>
      <c r="G3615" t="str">
        <f>"頻度不明"</f>
        <v>頻度不明</v>
      </c>
      <c r="H3615" t="str">
        <f>"2002222301919"</f>
        <v>2002222301919</v>
      </c>
      <c r="I3615" t="str">
        <f>HYPERLINK("#", "https://opac.libnet.pref.okayama.jp/licsxp-opac/WOpacMsgNewListToTifTilDetailAction.do?tilcod=2002222301919")</f>
        <v>https://opac.libnet.pref.okayama.jp/licsxp-opac/WOpacMsgNewListToTifTilDetailAction.do?tilcod=2002222301919</v>
      </c>
    </row>
    <row r="3616" spans="1:9" x14ac:dyDescent="0.4">
      <c r="A3616" t="str">
        <f>"[玉野市立玉野商工高等学校] 学校案内"</f>
        <v>[玉野市立玉野商工高等学校] 学校案内</v>
      </c>
      <c r="B3616" s="1" t="str">
        <f t="shared" si="188"/>
        <v>[玉野市立玉野商工高等学校] 学校案内</v>
      </c>
      <c r="C3616" t="str">
        <f>"タマノシリツ　タマノ　ショウコウ　コウトウ　ガッコウ　ガッコウ　アンナイ"</f>
        <v>タマノシリツ　タマノ　ショウコウ　コウトウ　ガッコウ　ガッコウ　アンナイ</v>
      </c>
      <c r="D3616" t="str">
        <f>"玉野市立玉野商工高等学校"</f>
        <v>玉野市立玉野商工高等学校</v>
      </c>
      <c r="E3616" t="str">
        <f>"タマノ シリツ タマノ ショウコウ コウトウ ガッコウ"</f>
        <v>タマノ シリツ タマノ ショウコウ コウトウ ガッコウ</v>
      </c>
      <c r="F3616" t="str">
        <f t="shared" si="192"/>
        <v>玉野</v>
      </c>
      <c r="G3616" t="str">
        <f>"年刊"</f>
        <v>年刊</v>
      </c>
      <c r="H3616" t="str">
        <f>"2002222329927"</f>
        <v>2002222329927</v>
      </c>
      <c r="I3616" t="str">
        <f>HYPERLINK("#", "https://opac.libnet.pref.okayama.jp/licsxp-opac/WOpacMsgNewListToTifTilDetailAction.do?tilcod=2002222329927")</f>
        <v>https://opac.libnet.pref.okayama.jp/licsxp-opac/WOpacMsgNewListToTifTilDetailAction.do?tilcod=2002222329927</v>
      </c>
    </row>
    <row r="3617" spans="1:9" x14ac:dyDescent="0.4">
      <c r="A3617" t="str">
        <f>"[玉野市立玉野備南高等学校] 学校案内"</f>
        <v>[玉野市立玉野備南高等学校] 学校案内</v>
      </c>
      <c r="B3617" s="1" t="str">
        <f t="shared" si="188"/>
        <v>[玉野市立玉野備南高等学校] 学校案内</v>
      </c>
      <c r="C3617" t="str">
        <f>"タマノシリツ　タマノ　ビナン　コウトウ　ガッコウ　ガッコウ　アンナイ"</f>
        <v>タマノシリツ　タマノ　ビナン　コウトウ　ガッコウ　ガッコウ　アンナイ</v>
      </c>
      <c r="D3617" t="str">
        <f>"玉野市立玉野備南高等学校"</f>
        <v>玉野市立玉野備南高等学校</v>
      </c>
      <c r="E3617" t="str">
        <f>"タマノシリツタマノビナンコウトウガッコウ"</f>
        <v>タマノシリツタマノビナンコウトウガッコウ</v>
      </c>
      <c r="F3617" t="str">
        <f t="shared" si="192"/>
        <v>玉野</v>
      </c>
      <c r="G3617" t="str">
        <f>"年刊"</f>
        <v>年刊</v>
      </c>
      <c r="H3617" t="str">
        <f>"2002222301203"</f>
        <v>2002222301203</v>
      </c>
      <c r="I3617" t="str">
        <f>HYPERLINK("#", "https://opac.libnet.pref.okayama.jp/licsxp-opac/WOpacMsgNewListToTifTilDetailAction.do?tilcod=2002222301203")</f>
        <v>https://opac.libnet.pref.okayama.jp/licsxp-opac/WOpacMsgNewListToTifTilDetailAction.do?tilcod=2002222301203</v>
      </c>
    </row>
    <row r="3618" spans="1:9" x14ac:dyDescent="0.4">
      <c r="A3618" t="str">
        <f>"玉野市立玉野備南高等学校学校要覧"</f>
        <v>玉野市立玉野備南高等学校学校要覧</v>
      </c>
      <c r="B3618" s="1" t="str">
        <f t="shared" si="188"/>
        <v>玉野市立玉野備南高等学校学校要覧</v>
      </c>
      <c r="C3618" t="str">
        <f>"タマノシリツ　タマノ　ビナン　コウトウ　ガッコウ　ガッコウ　ヨウラン"</f>
        <v>タマノシリツ　タマノ　ビナン　コウトウ　ガッコウ　ガッコウ　ヨウラン</v>
      </c>
      <c r="D3618" t="str">
        <f>"玉野市立玉野備南高等学校"</f>
        <v>玉野市立玉野備南高等学校</v>
      </c>
      <c r="E3618" t="str">
        <f>"タマノシリツタマノビナンコウトウガッコウ"</f>
        <v>タマノシリツタマノビナンコウトウガッコウ</v>
      </c>
      <c r="F3618" t="str">
        <f t="shared" si="192"/>
        <v>玉野</v>
      </c>
      <c r="G3618" t="str">
        <f>"年刊"</f>
        <v>年刊</v>
      </c>
      <c r="H3618" t="str">
        <f>"2002222300555"</f>
        <v>2002222300555</v>
      </c>
      <c r="I3618" t="str">
        <f>HYPERLINK("#", "https://opac.libnet.pref.okayama.jp/licsxp-opac/WOpacMsgNewListToTifTilDetailAction.do?tilcod=2002222300555")</f>
        <v>https://opac.libnet.pref.okayama.jp/licsxp-opac/WOpacMsgNewListToTifTilDetailAction.do?tilcod=2002222300555</v>
      </c>
    </row>
    <row r="3619" spans="1:9" x14ac:dyDescent="0.4">
      <c r="A3619" t="str">
        <f>"玉松"</f>
        <v>玉松</v>
      </c>
      <c r="B3619" s="1" t="str">
        <f t="shared" si="188"/>
        <v>玉松</v>
      </c>
      <c r="C3619" t="str">
        <f>"タママツ"</f>
        <v>タママツ</v>
      </c>
      <c r="D3619" t="str">
        <f>"金川高等学校歴史研究部"</f>
        <v>金川高等学校歴史研究部</v>
      </c>
      <c r="E3619" t="str">
        <f>"カナガワコウトウガッコウレキシケンキュウブ"</f>
        <v>カナガワコウトウガッコウレキシケンキュウブ</v>
      </c>
      <c r="F3619" t="str">
        <f>""</f>
        <v/>
      </c>
      <c r="G3619" t="str">
        <f>"頻度不明"</f>
        <v>頻度不明</v>
      </c>
      <c r="H3619" t="str">
        <f>"2002222284143"</f>
        <v>2002222284143</v>
      </c>
      <c r="I3619" t="str">
        <f>HYPERLINK("#", "https://opac.libnet.pref.okayama.jp/licsxp-opac/WOpacMsgNewListToTifTilDetailAction.do?tilcod=2002222284143")</f>
        <v>https://opac.libnet.pref.okayama.jp/licsxp-opac/WOpacMsgNewListToTifTilDetailAction.do?tilcod=2002222284143</v>
      </c>
    </row>
    <row r="3620" spans="1:9" x14ac:dyDescent="0.4">
      <c r="A3620" t="str">
        <f>"玉友"</f>
        <v>玉友</v>
      </c>
      <c r="B3620" s="1" t="str">
        <f t="shared" si="188"/>
        <v>玉友</v>
      </c>
      <c r="C3620" t="str">
        <f>"タマユウ"</f>
        <v>タマユウ</v>
      </c>
      <c r="D3620" t="str">
        <f>"玉友会"</f>
        <v>玉友会</v>
      </c>
      <c r="E3620" t="str">
        <f>"タマユウカイ"</f>
        <v>タマユウカイ</v>
      </c>
      <c r="F3620" t="str">
        <f>"玉島"</f>
        <v>玉島</v>
      </c>
      <c r="G3620" t="str">
        <f>"月刊"</f>
        <v>月刊</v>
      </c>
      <c r="H3620" t="str">
        <f>"2002222301553"</f>
        <v>2002222301553</v>
      </c>
      <c r="I3620" t="str">
        <f>HYPERLINK("#", "https://opac.libnet.pref.okayama.jp/licsxp-opac/WOpacMsgNewListToTifTilDetailAction.do?tilcod=2002222301553")</f>
        <v>https://opac.libnet.pref.okayama.jp/licsxp-opac/WOpacMsgNewListToTifTilDetailAction.do?tilcod=2002222301553</v>
      </c>
    </row>
    <row r="3621" spans="1:9" x14ac:dyDescent="0.4">
      <c r="A3621" t="str">
        <f>"玉ゆら"</f>
        <v>玉ゆら</v>
      </c>
      <c r="B3621" s="1" t="str">
        <f t="shared" si="188"/>
        <v>玉ゆら</v>
      </c>
      <c r="C3621" t="str">
        <f>"タマユラ"</f>
        <v>タマユラ</v>
      </c>
      <c r="D3621" t="str">
        <f>"玉野高等学校文芸部"</f>
        <v>玉野高等学校文芸部</v>
      </c>
      <c r="E3621" t="str">
        <f>"タマノ コウトウ ガッコウ ブンゲイブ"</f>
        <v>タマノ コウトウ ガッコウ ブンゲイブ</v>
      </c>
      <c r="F3621" t="str">
        <f>""</f>
        <v/>
      </c>
      <c r="G3621" t="str">
        <f>"頻度不明"</f>
        <v>頻度不明</v>
      </c>
      <c r="H3621" t="str">
        <f>"2002222331940"</f>
        <v>2002222331940</v>
      </c>
      <c r="I3621" t="str">
        <f>HYPERLINK("#", "https://opac.libnet.pref.okayama.jp/licsxp-opac/WOpacMsgNewListToTifTilDetailAction.do?tilcod=2002222331940")</f>
        <v>https://opac.libnet.pref.okayama.jp/licsxp-opac/WOpacMsgNewListToTifTilDetailAction.do?tilcod=2002222331940</v>
      </c>
    </row>
    <row r="3622" spans="1:9" x14ac:dyDescent="0.4">
      <c r="A3622" t="str">
        <f>"たるみ251；落合病院ハツラツ健康情報誌"</f>
        <v>たるみ251；落合病院ハツラツ健康情報誌</v>
      </c>
      <c r="B3622" s="1" t="str">
        <f t="shared" si="188"/>
        <v>たるみ251；落合病院ハツラツ健康情報誌</v>
      </c>
      <c r="C3622" t="str">
        <f>"タルミ ニゴイチ＊オチアイ ビョウイン ハツラツ ケンコウ ジョウホウシ"</f>
        <v>タルミ ニゴイチ＊オチアイ ビョウイン ハツラツ ケンコウ ジョウホウシ</v>
      </c>
      <c r="D3622" t="str">
        <f>"落合病院広報委員会"</f>
        <v>落合病院広報委員会</v>
      </c>
      <c r="E3622" t="str">
        <f>"オチアイ ビョウイン コウホウ イインカイ"</f>
        <v>オチアイ ビョウイン コウホウ イインカイ</v>
      </c>
      <c r="F3622" t="str">
        <f>"真庭"</f>
        <v>真庭</v>
      </c>
      <c r="G3622" t="str">
        <f>"季刊"</f>
        <v>季刊</v>
      </c>
      <c r="H3622" t="str">
        <f>"2002222312327"</f>
        <v>2002222312327</v>
      </c>
      <c r="I3622" t="str">
        <f>HYPERLINK("#", "https://opac.libnet.pref.okayama.jp/licsxp-opac/WOpacMsgNewListToTifTilDetailAction.do?tilcod=2002222312327")</f>
        <v>https://opac.libnet.pref.okayama.jp/licsxp-opac/WOpacMsgNewListToTifTilDetailAction.do?tilcod=2002222312327</v>
      </c>
    </row>
    <row r="3623" spans="1:9" x14ac:dyDescent="0.4">
      <c r="A3623" t="str">
        <f>"団の友"</f>
        <v>団の友</v>
      </c>
      <c r="B3623" s="1" t="str">
        <f t="shared" si="188"/>
        <v>団の友</v>
      </c>
      <c r="C3623" t="str">
        <f>"ダン　ノ　トモ"</f>
        <v>ダン　ノ　トモ</v>
      </c>
      <c r="D3623" t="str">
        <f>"篠坂青年団"</f>
        <v>篠坂青年団</v>
      </c>
      <c r="E3623" t="str">
        <f>"シノサカセイネンダン"</f>
        <v>シノサカセイネンダン</v>
      </c>
      <c r="F3623" t="str">
        <f>"岡山"</f>
        <v>岡山</v>
      </c>
      <c r="G3623" t="str">
        <f>"頻度不明"</f>
        <v>頻度不明</v>
      </c>
      <c r="H3623" t="str">
        <f>"2002222285221"</f>
        <v>2002222285221</v>
      </c>
      <c r="I3623" t="str">
        <f>HYPERLINK("#", "https://opac.libnet.pref.okayama.jp/licsxp-opac/WOpacMsgNewListToTifTilDetailAction.do?tilcod=2002222285221")</f>
        <v>https://opac.libnet.pref.okayama.jp/licsxp-opac/WOpacMsgNewListToTifTilDetailAction.do?tilcod=2002222285221</v>
      </c>
    </row>
    <row r="3624" spans="1:9" x14ac:dyDescent="0.4">
      <c r="A3624" t="str">
        <f>"短歌かがみの"</f>
        <v>短歌かがみの</v>
      </c>
      <c r="B3624" s="1" t="str">
        <f t="shared" si="188"/>
        <v>短歌かがみの</v>
      </c>
      <c r="C3624" t="str">
        <f>"タンカ　カガミノ"</f>
        <v>タンカ　カガミノ</v>
      </c>
      <c r="D3624" t="str">
        <f>"鏡野短歌会"</f>
        <v>鏡野短歌会</v>
      </c>
      <c r="E3624" t="str">
        <f>"カガミノタンカカイ"</f>
        <v>カガミノタンカカイ</v>
      </c>
      <c r="F3624" t="str">
        <f>"鏡野町（苫田郡）"</f>
        <v>鏡野町（苫田郡）</v>
      </c>
      <c r="G3624" t="str">
        <f>"月刊"</f>
        <v>月刊</v>
      </c>
      <c r="H3624" t="str">
        <f>"2002222292911"</f>
        <v>2002222292911</v>
      </c>
      <c r="I3624" t="str">
        <f>HYPERLINK("#", "https://opac.libnet.pref.okayama.jp/licsxp-opac/WOpacMsgNewListToTifTilDetailAction.do?tilcod=2002222292911")</f>
        <v>https://opac.libnet.pref.okayama.jp/licsxp-opac/WOpacMsgNewListToTifTilDetailAction.do?tilcod=2002222292911</v>
      </c>
    </row>
    <row r="3625" spans="1:9" x14ac:dyDescent="0.4">
      <c r="A3625" t="str">
        <f>"短歌詩人"</f>
        <v>短歌詩人</v>
      </c>
      <c r="B3625" s="1" t="str">
        <f t="shared" si="188"/>
        <v>短歌詩人</v>
      </c>
      <c r="C3625" t="str">
        <f>"タンカ　シジン"</f>
        <v>タンカ　シジン</v>
      </c>
      <c r="D3625" t="str">
        <f>"短歌詩人社"</f>
        <v>短歌詩人社</v>
      </c>
      <c r="E3625" t="str">
        <f>"タンカシジンシャ"</f>
        <v>タンカシジンシャ</v>
      </c>
      <c r="F3625" t="str">
        <f>""</f>
        <v/>
      </c>
      <c r="G3625" t="str">
        <f>"頻度不明"</f>
        <v>頻度不明</v>
      </c>
      <c r="H3625" t="str">
        <f>"2002222284173"</f>
        <v>2002222284173</v>
      </c>
      <c r="I3625" t="str">
        <f>HYPERLINK("#", "https://opac.libnet.pref.okayama.jp/licsxp-opac/WOpacMsgNewListToTifTilDetailAction.do?tilcod=2002222284173")</f>
        <v>https://opac.libnet.pref.okayama.jp/licsxp-opac/WOpacMsgNewListToTifTilDetailAction.do?tilcod=2002222284173</v>
      </c>
    </row>
    <row r="3626" spans="1:9" x14ac:dyDescent="0.4">
      <c r="A3626" t="str">
        <f>"短歌みまさか"</f>
        <v>短歌みまさか</v>
      </c>
      <c r="B3626" s="1" t="str">
        <f t="shared" si="188"/>
        <v>短歌みまさか</v>
      </c>
      <c r="C3626" t="str">
        <f>"タンカ　ミマサカ"</f>
        <v>タンカ　ミマサカ</v>
      </c>
      <c r="D3626" t="str">
        <f>"美作歌話会"</f>
        <v>美作歌話会</v>
      </c>
      <c r="E3626" t="str">
        <f>"ミマサカ カワカイ"</f>
        <v>ミマサカ カワカイ</v>
      </c>
      <c r="F3626" t="str">
        <f>"久米南町（久米郡）"</f>
        <v>久米南町（久米郡）</v>
      </c>
      <c r="G3626" t="str">
        <f>"年２回刊"</f>
        <v>年２回刊</v>
      </c>
      <c r="H3626" t="str">
        <f>"2002222280591"</f>
        <v>2002222280591</v>
      </c>
      <c r="I3626" t="str">
        <f>HYPERLINK("#", "https://opac.libnet.pref.okayama.jp/licsxp-opac/WOpacMsgNewListToTifTilDetailAction.do?tilcod=2002222280591")</f>
        <v>https://opac.libnet.pref.okayama.jp/licsxp-opac/WOpacMsgNewListToTifTilDetailAction.do?tilcod=2002222280591</v>
      </c>
    </row>
    <row r="3627" spans="1:9" x14ac:dyDescent="0.4">
      <c r="A3627" t="str">
        <f>"短歌流域"</f>
        <v>短歌流域</v>
      </c>
      <c r="B3627" s="1" t="str">
        <f t="shared" si="188"/>
        <v>短歌流域</v>
      </c>
      <c r="C3627" t="str">
        <f>"タンカ　リュウイキ"</f>
        <v>タンカ　リュウイキ</v>
      </c>
      <c r="D3627" t="str">
        <f>"短歌流域発行所"</f>
        <v>短歌流域発行所</v>
      </c>
      <c r="E3627" t="str">
        <f>"タンカリュウイキハッコウジョ"</f>
        <v>タンカリュウイキハッコウジョ</v>
      </c>
      <c r="F3627" t="str">
        <f>""</f>
        <v/>
      </c>
      <c r="G3627" t="str">
        <f>"頻度不明"</f>
        <v>頻度不明</v>
      </c>
      <c r="H3627" t="str">
        <f>"2002222284183"</f>
        <v>2002222284183</v>
      </c>
      <c r="I3627" t="str">
        <f>HYPERLINK("#", "https://opac.libnet.pref.okayama.jp/licsxp-opac/WOpacMsgNewListToTifTilDetailAction.do?tilcod=2002222284183")</f>
        <v>https://opac.libnet.pref.okayama.jp/licsxp-opac/WOpacMsgNewListToTifTilDetailAction.do?tilcod=2002222284183</v>
      </c>
    </row>
    <row r="3628" spans="1:9" x14ac:dyDescent="0.4">
      <c r="A3628" t="str">
        <f>"探古"</f>
        <v>探古</v>
      </c>
      <c r="B3628" s="1" t="str">
        <f t="shared" si="188"/>
        <v>探古</v>
      </c>
      <c r="C3628" t="str">
        <f>"タンコ"</f>
        <v>タンコ</v>
      </c>
      <c r="D3628" t="str">
        <f>"倉敷地方史研究会"</f>
        <v>倉敷地方史研究会</v>
      </c>
      <c r="E3628" t="str">
        <f>"クラシキチホウシケンキュウカイ"</f>
        <v>クラシキチホウシケンキュウカイ</v>
      </c>
      <c r="F3628" t="str">
        <f>"倉敷"</f>
        <v>倉敷</v>
      </c>
      <c r="G3628" t="str">
        <f>"不定期刊"</f>
        <v>不定期刊</v>
      </c>
      <c r="H3628" t="str">
        <f>"2002222284193"</f>
        <v>2002222284193</v>
      </c>
      <c r="I3628" t="str">
        <f>HYPERLINK("#", "https://opac.libnet.pref.okayama.jp/licsxp-opac/WOpacMsgNewListToTifTilDetailAction.do?tilcod=2002222284193")</f>
        <v>https://opac.libnet.pref.okayama.jp/licsxp-opac/WOpacMsgNewListToTifTilDetailAction.do?tilcod=2002222284193</v>
      </c>
    </row>
    <row r="3629" spans="1:9" x14ac:dyDescent="0.4">
      <c r="A3629" t="str">
        <f>"短詩型児童文学教育研究集団同人誌"</f>
        <v>短詩型児童文学教育研究集団同人誌</v>
      </c>
      <c r="B3629" s="1" t="str">
        <f t="shared" si="188"/>
        <v>短詩型児童文学教育研究集団同人誌</v>
      </c>
      <c r="C3629" t="str">
        <f>"タンシケイ　ジドウ　ブンガク　キョウイク　ケンキュウ　シュウダン　ドウジンシ"</f>
        <v>タンシケイ　ジドウ　ブンガク　キョウイク　ケンキュウ　シュウダン　ドウジンシ</v>
      </c>
      <c r="D3629" t="str">
        <f>"玉野市文化協会現代詩部児童詩研究会"</f>
        <v>玉野市文化協会現代詩部児童詩研究会</v>
      </c>
      <c r="E3629" t="str">
        <f>"タマノシブンカキョウカイゲンダイシブジドウシケンキュウカイ"</f>
        <v>タマノシブンカキョウカイゲンダイシブジドウシケンキュウカイ</v>
      </c>
      <c r="F3629" t="str">
        <f>"玉野"</f>
        <v>玉野</v>
      </c>
      <c r="G3629" t="str">
        <f>"年３回刊"</f>
        <v>年３回刊</v>
      </c>
      <c r="H3629" t="str">
        <f>"2002222301306"</f>
        <v>2002222301306</v>
      </c>
      <c r="I3629" t="str">
        <f>HYPERLINK("#", "https://opac.libnet.pref.okayama.jp/licsxp-opac/WOpacMsgNewListToTifTilDetailAction.do?tilcod=2002222301306")</f>
        <v>https://opac.libnet.pref.okayama.jp/licsxp-opac/WOpacMsgNewListToTifTilDetailAction.do?tilcod=2002222301306</v>
      </c>
    </row>
    <row r="3630" spans="1:9" x14ac:dyDescent="0.4">
      <c r="A3630" t="str">
        <f>"誕生寺"</f>
        <v>誕生寺</v>
      </c>
      <c r="B3630" s="1" t="str">
        <f t="shared" si="188"/>
        <v>誕生寺</v>
      </c>
      <c r="C3630" t="str">
        <f>"タンジョウジ"</f>
        <v>タンジョウジ</v>
      </c>
      <c r="D3630" t="str">
        <f>"誕生寺養護学校"</f>
        <v>誕生寺養護学校</v>
      </c>
      <c r="E3630" t="str">
        <f>"タンジョウジヨウゴガッコウ"</f>
        <v>タンジョウジヨウゴガッコウ</v>
      </c>
      <c r="F3630" t="str">
        <f>""</f>
        <v/>
      </c>
      <c r="G3630" t="str">
        <f>"頻度不明"</f>
        <v>頻度不明</v>
      </c>
      <c r="H3630" t="str">
        <f>"2002222280684"</f>
        <v>2002222280684</v>
      </c>
      <c r="I3630" t="str">
        <f>HYPERLINK("#", "https://opac.libnet.pref.okayama.jp/licsxp-opac/WOpacMsgNewListToTifTilDetailAction.do?tilcod=2002222280684")</f>
        <v>https://opac.libnet.pref.okayama.jp/licsxp-opac/WOpacMsgNewListToTifTilDetailAction.do?tilcod=2002222280684</v>
      </c>
    </row>
    <row r="3631" spans="1:9" x14ac:dyDescent="0.4">
      <c r="A3631" t="str">
        <f>"[誕生寺支援学校]学校要覧"</f>
        <v>[誕生寺支援学校]学校要覧</v>
      </c>
      <c r="B3631" s="1" t="str">
        <f t="shared" si="188"/>
        <v>[誕生寺支援学校]学校要覧</v>
      </c>
      <c r="C3631" t="str">
        <f>"タンジョウジ シエン ガッコウ ＊ガッコウ ヨウラン"</f>
        <v>タンジョウジ シエン ガッコウ ＊ガッコウ ヨウラン</v>
      </c>
      <c r="D3631" t="str">
        <f>"誕生寺支援学校"</f>
        <v>誕生寺支援学校</v>
      </c>
      <c r="E3631" t="str">
        <f>"タンジョウジ シエン ガッコウ"</f>
        <v>タンジョウジ シエン ガッコウ</v>
      </c>
      <c r="F3631" t="str">
        <f>"久米郡"</f>
        <v>久米郡</v>
      </c>
      <c r="G3631" t="str">
        <f>"年刊"</f>
        <v>年刊</v>
      </c>
      <c r="H3631" t="str">
        <f>"2002222307387"</f>
        <v>2002222307387</v>
      </c>
      <c r="I3631" t="str">
        <f>HYPERLINK("#", "https://opac.libnet.pref.okayama.jp/licsxp-opac/WOpacMsgNewListToTifTilDetailAction.do?tilcod=2002222307387")</f>
        <v>https://opac.libnet.pref.okayama.jp/licsxp-opac/WOpacMsgNewListToTifTilDetailAction.do?tilcod=2002222307387</v>
      </c>
    </row>
    <row r="3632" spans="1:9" x14ac:dyDescent="0.4">
      <c r="A3632" t="str">
        <f>"〔誕生寺支援学校〕研究紀要"</f>
        <v>〔誕生寺支援学校〕研究紀要</v>
      </c>
      <c r="B3632" s="1" t="str">
        <f t="shared" si="188"/>
        <v>〔誕生寺支援学校〕研究紀要</v>
      </c>
      <c r="C3632" t="str">
        <f>"タンジョウジ　シエン　ガッコウ　ケンキュウ　キヨウ"</f>
        <v>タンジョウジ　シエン　ガッコウ　ケンキュウ　キヨウ</v>
      </c>
      <c r="D3632" t="str">
        <f>"誕生寺支援学校"</f>
        <v>誕生寺支援学校</v>
      </c>
      <c r="E3632" t="str">
        <f>"タンジョウジ シエン ガッコウ"</f>
        <v>タンジョウジ シエン ガッコウ</v>
      </c>
      <c r="F3632" t="str">
        <f>"久米南町"</f>
        <v>久米南町</v>
      </c>
      <c r="G3632" t="str">
        <f>"年刊"</f>
        <v>年刊</v>
      </c>
      <c r="H3632" t="str">
        <f>"2002222327086"</f>
        <v>2002222327086</v>
      </c>
      <c r="I3632" t="str">
        <f>HYPERLINK("#", "https://opac.libnet.pref.okayama.jp/licsxp-opac/WOpacMsgNewListToTifTilDetailAction.do?tilcod=2002222327086")</f>
        <v>https://opac.libnet.pref.okayama.jp/licsxp-opac/WOpacMsgNewListToTifTilDetailAction.do?tilcod=2002222327086</v>
      </c>
    </row>
    <row r="3633" spans="1:9" x14ac:dyDescent="0.4">
      <c r="A3633" t="str">
        <f>"誕生寺ヨウゴ"</f>
        <v>誕生寺ヨウゴ</v>
      </c>
      <c r="B3633" s="1" t="str">
        <f t="shared" si="188"/>
        <v>誕生寺ヨウゴ</v>
      </c>
      <c r="C3633" t="str">
        <f>"タンジョウジ　ヨウゴ"</f>
        <v>タンジョウジ　ヨウゴ</v>
      </c>
      <c r="D3633" t="str">
        <f>"誕生寺養護学校"</f>
        <v>誕生寺養護学校</v>
      </c>
      <c r="E3633" t="str">
        <f>"タンジョウジヨウゴガッコウ"</f>
        <v>タンジョウジヨウゴガッコウ</v>
      </c>
      <c r="F3633" t="str">
        <f>""</f>
        <v/>
      </c>
      <c r="G3633" t="str">
        <f>"頻度不明"</f>
        <v>頻度不明</v>
      </c>
      <c r="H3633" t="str">
        <f>"2002222280674"</f>
        <v>2002222280674</v>
      </c>
      <c r="I3633" t="str">
        <f>HYPERLINK("#", "https://opac.libnet.pref.okayama.jp/licsxp-opac/WOpacMsgNewListToTifTilDetailAction.do?tilcod=2002222280674")</f>
        <v>https://opac.libnet.pref.okayama.jp/licsxp-opac/WOpacMsgNewListToTifTilDetailAction.do?tilcod=2002222280674</v>
      </c>
    </row>
    <row r="3634" spans="1:9" x14ac:dyDescent="0.4">
      <c r="A3634" t="str">
        <f>"[誕生寺養護学校]学校案内"</f>
        <v>[誕生寺養護学校]学校案内</v>
      </c>
      <c r="B3634" s="1" t="str">
        <f t="shared" si="188"/>
        <v>[誕生寺養護学校]学校案内</v>
      </c>
      <c r="C3634" t="str">
        <f>"タンジョウジ　ヨウゴ　ガッコウ　ガッコウ　アンナイ"</f>
        <v>タンジョウジ　ヨウゴ　ガッコウ　ガッコウ　アンナイ</v>
      </c>
      <c r="D3634" t="str">
        <f>"誕生寺養護学校"</f>
        <v>誕生寺養護学校</v>
      </c>
      <c r="E3634" t="str">
        <f>"タンジョウジヨウゴガッコウ"</f>
        <v>タンジョウジヨウゴガッコウ</v>
      </c>
      <c r="F3634" t="str">
        <f>"久米南町（久米郡）"</f>
        <v>久米南町（久米郡）</v>
      </c>
      <c r="G3634" t="str">
        <f>"年刊"</f>
        <v>年刊</v>
      </c>
      <c r="H3634" t="str">
        <f>"2002222301293"</f>
        <v>2002222301293</v>
      </c>
      <c r="I3634" t="str">
        <f>HYPERLINK("#", "https://opac.libnet.pref.okayama.jp/licsxp-opac/WOpacMsgNewListToTifTilDetailAction.do?tilcod=2002222301293")</f>
        <v>https://opac.libnet.pref.okayama.jp/licsxp-opac/WOpacMsgNewListToTifTilDetailAction.do?tilcod=2002222301293</v>
      </c>
    </row>
    <row r="3635" spans="1:9" x14ac:dyDescent="0.4">
      <c r="A3635" t="str">
        <f>"誕生寺養護学校学校要覧"</f>
        <v>誕生寺養護学校学校要覧</v>
      </c>
      <c r="B3635" s="1" t="str">
        <f t="shared" si="188"/>
        <v>誕生寺養護学校学校要覧</v>
      </c>
      <c r="C3635" t="str">
        <f>"タンジョウジ　ヨウゴ　ガッコウ　ガッコウ　ヨウラン"</f>
        <v>タンジョウジ　ヨウゴ　ガッコウ　ガッコウ　ヨウラン</v>
      </c>
      <c r="D3635" t="str">
        <f>"誕生寺養護学校"</f>
        <v>誕生寺養護学校</v>
      </c>
      <c r="E3635" t="str">
        <f>"タンジョウジヨウゴガッコウ"</f>
        <v>タンジョウジヨウゴガッコウ</v>
      </c>
      <c r="F3635" t="str">
        <f>"久米南町（久米郡）"</f>
        <v>久米南町（久米郡）</v>
      </c>
      <c r="G3635" t="str">
        <f>"年刊"</f>
        <v>年刊</v>
      </c>
      <c r="H3635" t="str">
        <f>"2002222300601"</f>
        <v>2002222300601</v>
      </c>
      <c r="I3635" t="str">
        <f>HYPERLINK("#", "https://opac.libnet.pref.okayama.jp/licsxp-opac/WOpacMsgNewListToTifTilDetailAction.do?tilcod=2002222300601")</f>
        <v>https://opac.libnet.pref.okayama.jp/licsxp-opac/WOpacMsgNewListToTifTilDetailAction.do?tilcod=2002222300601</v>
      </c>
    </row>
    <row r="3636" spans="1:9" x14ac:dyDescent="0.4">
      <c r="A3636" t="str">
        <f>"淡成社吟集"</f>
        <v>淡成社吟集</v>
      </c>
      <c r="B3636" s="1" t="str">
        <f t="shared" si="188"/>
        <v>淡成社吟集</v>
      </c>
      <c r="C3636" t="str">
        <f>"タンセイシャ ギンシュウ"</f>
        <v>タンセイシャ ギンシュウ</v>
      </c>
      <c r="D3636" t="str">
        <f>"淡成社"</f>
        <v>淡成社</v>
      </c>
      <c r="E3636" t="str">
        <f>"タンセイシャ"</f>
        <v>タンセイシャ</v>
      </c>
      <c r="F3636" t="str">
        <f>"牛窓町(邑久郡)"</f>
        <v>牛窓町(邑久郡)</v>
      </c>
      <c r="G3636" t="str">
        <f>"月刊"</f>
        <v>月刊</v>
      </c>
      <c r="H3636" t="str">
        <f>"2002222301832"</f>
        <v>2002222301832</v>
      </c>
      <c r="I3636" t="str">
        <f>HYPERLINK("#", "https://opac.libnet.pref.okayama.jp/licsxp-opac/WOpacMsgNewListToTifTilDetailAction.do?tilcod=2002222301832")</f>
        <v>https://opac.libnet.pref.okayama.jp/licsxp-opac/WOpacMsgNewListToTifTilDetailAction.do?tilcod=2002222301832</v>
      </c>
    </row>
    <row r="3637" spans="1:9" x14ac:dyDescent="0.4">
      <c r="A3637" t="str">
        <f>"断層"</f>
        <v>断層</v>
      </c>
      <c r="B3637" s="1" t="str">
        <f t="shared" si="188"/>
        <v>断層</v>
      </c>
      <c r="C3637" t="str">
        <f>"ダンソウ"</f>
        <v>ダンソウ</v>
      </c>
      <c r="D3637" t="str">
        <f>"岡山県警察本部刑事部防犯課"</f>
        <v>岡山県警察本部刑事部防犯課</v>
      </c>
      <c r="E3637" t="str">
        <f>"オカヤマケン ケイサツ ホンブ ケイジブ ボウハンカ"</f>
        <v>オカヤマケン ケイサツ ホンブ ケイジブ ボウハンカ</v>
      </c>
      <c r="F3637" t="str">
        <f>"岡山"</f>
        <v>岡山</v>
      </c>
      <c r="G3637" t="str">
        <f>"頻度不明"</f>
        <v>頻度不明</v>
      </c>
      <c r="H3637" t="str">
        <f>"2002222284203"</f>
        <v>2002222284203</v>
      </c>
      <c r="I3637" t="str">
        <f>HYPERLINK("#", "https://opac.libnet.pref.okayama.jp/licsxp-opac/WOpacMsgNewListToTifTilDetailAction.do?tilcod=2002222284203")</f>
        <v>https://opac.libnet.pref.okayama.jp/licsxp-opac/WOpacMsgNewListToTifTilDetailAction.do?tilcod=2002222284203</v>
      </c>
    </row>
    <row r="3638" spans="1:9" x14ac:dyDescent="0.4">
      <c r="A3638" t="str">
        <f>"団地技術情報 ; DANCHI ENGINEERING INFORMATION"</f>
        <v>団地技術情報 ; DANCHI ENGINEERING INFORMATION</v>
      </c>
      <c r="B3638" s="1" t="str">
        <f t="shared" si="188"/>
        <v>団地技術情報 ; DANCHI ENGINEERING INFORMATION</v>
      </c>
      <c r="C3638" t="str">
        <f>"ダンチ ギジュツ ジョウホウ"</f>
        <v>ダンチ ギジュツ ジョウホウ</v>
      </c>
      <c r="D3638" t="str">
        <f>"水島機械金属工業団地技術交流委員会"</f>
        <v>水島機械金属工業団地技術交流委員会</v>
      </c>
      <c r="E3638" t="str">
        <f>"ミズシマ キカイ キンゾク コウギョウ ダンチ ギジュツ カイハツ ジギョウブ"</f>
        <v>ミズシマ キカイ キンゾク コウギョウ ダンチ ギジュツ カイハツ ジギョウブ</v>
      </c>
      <c r="F3638" t="str">
        <f>"総社"</f>
        <v>総社</v>
      </c>
      <c r="G3638" t="str">
        <f>"頻度不明"</f>
        <v>頻度不明</v>
      </c>
      <c r="H3638" t="str">
        <f>"2002222336647"</f>
        <v>2002222336647</v>
      </c>
      <c r="I3638" t="str">
        <f>HYPERLINK("#", "https://opac.libnet.pref.okayama.jp/licsxp-opac/WOpacMsgNewListToTifTilDetailAction.do?tilcod=2002222336647")</f>
        <v>https://opac.libnet.pref.okayama.jp/licsxp-opac/WOpacMsgNewListToTifTilDetailAction.do?tilcod=2002222336647</v>
      </c>
    </row>
    <row r="3639" spans="1:9" x14ac:dyDescent="0.4">
      <c r="A3639" t="str">
        <f>"探偵随想"</f>
        <v>探偵随想</v>
      </c>
      <c r="B3639" s="1" t="str">
        <f t="shared" si="188"/>
        <v>探偵随想</v>
      </c>
      <c r="C3639" t="str">
        <f>"タンテイ　ズイソウ"</f>
        <v>タンテイ　ズイソウ</v>
      </c>
      <c r="D3639" t="str">
        <f>"秋田稔"</f>
        <v>秋田稔</v>
      </c>
      <c r="E3639" t="str">
        <f>"アキタミノル"</f>
        <v>アキタミノル</v>
      </c>
      <c r="F3639" t="str">
        <f>""</f>
        <v/>
      </c>
      <c r="G3639" t="str">
        <f>"不定期刊"</f>
        <v>不定期刊</v>
      </c>
      <c r="H3639" t="str">
        <f>"2002222292921"</f>
        <v>2002222292921</v>
      </c>
      <c r="I3639" t="str">
        <f>HYPERLINK("#", "https://opac.libnet.pref.okayama.jp/licsxp-opac/WOpacMsgNewListToTifTilDetailAction.do?tilcod=2002222292921")</f>
        <v>https://opac.libnet.pref.okayama.jp/licsxp-opac/WOpacMsgNewListToTifTilDetailAction.do?tilcod=2002222292921</v>
      </c>
    </row>
    <row r="3640" spans="1:9" x14ac:dyDescent="0.4">
      <c r="A3640" t="str">
        <f>"暖流 "</f>
        <v xml:space="preserve">暖流 </v>
      </c>
      <c r="B3640" s="1" t="str">
        <f t="shared" si="188"/>
        <v xml:space="preserve">暖流 </v>
      </c>
      <c r="C3640" t="str">
        <f>"ダンリュウ"</f>
        <v>ダンリュウ</v>
      </c>
      <c r="D3640" t="str">
        <f>"岡山青年会議所"</f>
        <v>岡山青年会議所</v>
      </c>
      <c r="E3640" t="str">
        <f>"オカヤマ セイネン カイギショ"</f>
        <v>オカヤマ セイネン カイギショ</v>
      </c>
      <c r="F3640" t="str">
        <f>""</f>
        <v/>
      </c>
      <c r="G3640" t="str">
        <f>"季刊"</f>
        <v>季刊</v>
      </c>
      <c r="H3640" t="str">
        <f>"2002222284233"</f>
        <v>2002222284233</v>
      </c>
      <c r="I3640" t="str">
        <f>HYPERLINK("#", "https://opac.libnet.pref.okayama.jp/licsxp-opac/WOpacMsgNewListToTifTilDetailAction.do?tilcod=2002222284233")</f>
        <v>https://opac.libnet.pref.okayama.jp/licsxp-opac/WOpacMsgNewListToTifTilDetailAction.do?tilcod=2002222284233</v>
      </c>
    </row>
    <row r="3641" spans="1:9" x14ac:dyDescent="0.4">
      <c r="A3641" t="str">
        <f>"Ｃｈｅｅｒｓ！Ｋｉｄｓ（チアーズ　キッズ）"</f>
        <v>Ｃｈｅｅｒｓ！Ｋｉｄｓ（チアーズ　キッズ）</v>
      </c>
      <c r="B3641" s="1" t="str">
        <f t="shared" si="188"/>
        <v>Ｃｈｅｅｒｓ！Ｋｉｄｓ（チアーズ　キッズ）</v>
      </c>
      <c r="C3641" t="str">
        <f>"チアーズ　キッズ"</f>
        <v>チアーズ　キッズ</v>
      </c>
      <c r="D3641" t="str">
        <f>"ちぁ?ずキッズ岡山編集室"</f>
        <v>ちぁ?ずキッズ岡山編集室</v>
      </c>
      <c r="E3641" t="str">
        <f>""</f>
        <v/>
      </c>
      <c r="F3641" t="str">
        <f>"岡山"</f>
        <v>岡山</v>
      </c>
      <c r="G3641" t="str">
        <f>"季刊"</f>
        <v>季刊</v>
      </c>
      <c r="H3641" t="str">
        <f>"2002222300024"</f>
        <v>2002222300024</v>
      </c>
      <c r="I3641" t="str">
        <f>HYPERLINK("#", "https://opac.libnet.pref.okayama.jp/licsxp-opac/WOpacMsgNewListToTifTilDetailAction.do?tilcod=2002222300024")</f>
        <v>https://opac.libnet.pref.okayama.jp/licsxp-opac/WOpacMsgNewListToTifTilDetailAction.do?tilcod=2002222300024</v>
      </c>
    </row>
    <row r="3642" spans="1:9" x14ac:dyDescent="0.4">
      <c r="A3642" t="str">
        <f>"チアフルきび"</f>
        <v>チアフルきび</v>
      </c>
      <c r="B3642" s="1" t="str">
        <f t="shared" si="188"/>
        <v>チアフルきび</v>
      </c>
      <c r="C3642" t="str">
        <f>"チアフル　キビ"</f>
        <v>チアフル　キビ</v>
      </c>
      <c r="D3642" t="str">
        <f>"国立吉備少年自然の家"</f>
        <v>国立吉備少年自然の家</v>
      </c>
      <c r="E3642" t="str">
        <f>"コクリツキビショウネンシゼンノイエ"</f>
        <v>コクリツキビショウネンシゼンノイエ</v>
      </c>
      <c r="F3642" t="str">
        <f>"吉備中央町（加賀郡）"</f>
        <v>吉備中央町（加賀郡）</v>
      </c>
      <c r="G3642" t="str">
        <f>"年３回刊"</f>
        <v>年３回刊</v>
      </c>
      <c r="H3642" t="str">
        <f>"2002222291531"</f>
        <v>2002222291531</v>
      </c>
      <c r="I3642" t="str">
        <f>HYPERLINK("#", "https://opac.libnet.pref.okayama.jp/licsxp-opac/WOpacMsgNewListToTifTilDetailAction.do?tilcod=2002222291531")</f>
        <v>https://opac.libnet.pref.okayama.jp/licsxp-opac/WOpacMsgNewListToTifTilDetailAction.do?tilcod=2002222291531</v>
      </c>
    </row>
    <row r="3643" spans="1:9" x14ac:dyDescent="0.4">
      <c r="A3643" t="str">
        <f>"地域共同テクノセンター報"</f>
        <v>地域共同テクノセンター報</v>
      </c>
      <c r="B3643" s="1" t="str">
        <f t="shared" si="188"/>
        <v>地域共同テクノセンター報</v>
      </c>
      <c r="C3643" t="str">
        <f>"チイキ　キョウドウ　テクノ　センター　ホウ"</f>
        <v>チイキ　キョウドウ　テクノ　センター　ホウ</v>
      </c>
      <c r="D3643" t="str">
        <f>"津山工業高等専門学校地域共同テクノセンター"</f>
        <v>津山工業高等専門学校地域共同テクノセンター</v>
      </c>
      <c r="E3643" t="str">
        <f>"ツヤマコウギョウコウトウセンモンガッコウチイキキョウドウテクノセンター"</f>
        <v>ツヤマコウギョウコウトウセンモンガッコウチイキキョウドウテクノセンター</v>
      </c>
      <c r="F3643" t="str">
        <f>"津山"</f>
        <v>津山</v>
      </c>
      <c r="G3643" t="str">
        <f>"年刊"</f>
        <v>年刊</v>
      </c>
      <c r="H3643" t="str">
        <f>"2002222300441"</f>
        <v>2002222300441</v>
      </c>
      <c r="I3643" t="str">
        <f>HYPERLINK("#", "https://opac.libnet.pref.okayama.jp/licsxp-opac/WOpacMsgNewListToTifTilDetailAction.do?tilcod=2002222300441")</f>
        <v>https://opac.libnet.pref.okayama.jp/licsxp-opac/WOpacMsgNewListToTifTilDetailAction.do?tilcod=2002222300441</v>
      </c>
    </row>
    <row r="3644" spans="1:9" x14ac:dyDescent="0.4">
      <c r="A3644" t="str">
        <f>"地域放送番組月間予定表"</f>
        <v>地域放送番組月間予定表</v>
      </c>
      <c r="B3644" s="1" t="str">
        <f t="shared" si="188"/>
        <v>地域放送番組月間予定表</v>
      </c>
      <c r="C3644" t="str">
        <f>"チイキ　ホウソウ　バングミ　ゲッカン　ヨテイヒョウ"</f>
        <v>チイキ　ホウソウ　バングミ　ゲッカン　ヨテイヒョウ</v>
      </c>
      <c r="D3644" t="str">
        <f>"ＮＨＫ岡山放送局"</f>
        <v>ＮＨＫ岡山放送局</v>
      </c>
      <c r="E3644" t="str">
        <f>"エヌエイチケー オカヤマ ホウソウキョク"</f>
        <v>エヌエイチケー オカヤマ ホウソウキョク</v>
      </c>
      <c r="F3644" t="str">
        <f>""</f>
        <v/>
      </c>
      <c r="G3644" t="str">
        <f>"頻度不明"</f>
        <v>頻度不明</v>
      </c>
      <c r="H3644" t="str">
        <f>"2002222284243"</f>
        <v>2002222284243</v>
      </c>
      <c r="I3644" t="str">
        <f>HYPERLINK("#", "https://opac.libnet.pref.okayama.jp/licsxp-opac/WOpacMsgNewListToTifTilDetailAction.do?tilcod=2002222284243")</f>
        <v>https://opac.libnet.pref.okayama.jp/licsxp-opac/WOpacMsgNewListToTifTilDetailAction.do?tilcod=2002222284243</v>
      </c>
    </row>
    <row r="3645" spans="1:9" x14ac:dyDescent="0.4">
      <c r="A3645" t="str">
        <f>"地域づくりネットワーク；倉敷地区地域づくり交流センターだより"</f>
        <v>地域づくりネットワーク；倉敷地区地域づくり交流センターだより</v>
      </c>
      <c r="B3645" s="1" t="str">
        <f t="shared" si="188"/>
        <v>地域づくりネットワーク；倉敷地区地域づくり交流センターだより</v>
      </c>
      <c r="C3645" t="str">
        <f>"チイキズクリ　ネットワーク＊クラシキチク　チイキズクリ　コウリュウ　センター　ダヨリ"</f>
        <v>チイキズクリ　ネットワーク＊クラシキチク　チイキズクリ　コウリュウ　センター　ダヨリ</v>
      </c>
      <c r="D3645" t="str">
        <f>"倉敷地区地域づくり交流センター"</f>
        <v>倉敷地区地域づくり交流センター</v>
      </c>
      <c r="E3645" t="str">
        <f>"クラシキチクチイキズクリコウリュウセンター"</f>
        <v>クラシキチクチイキズクリコウリュウセンター</v>
      </c>
      <c r="F3645" t="str">
        <f>"倉敷"</f>
        <v>倉敷</v>
      </c>
      <c r="G3645" t="str">
        <f>"季刊"</f>
        <v>季刊</v>
      </c>
      <c r="H3645" t="str">
        <f>"2002222285751"</f>
        <v>2002222285751</v>
      </c>
      <c r="I3645" t="str">
        <f>HYPERLINK("#", "https://opac.libnet.pref.okayama.jp/licsxp-opac/WOpacMsgNewListToTifTilDetailAction.do?tilcod=2002222285751")</f>
        <v>https://opac.libnet.pref.okayama.jp/licsxp-opac/WOpacMsgNewListToTifTilDetailAction.do?tilcod=2002222285751</v>
      </c>
    </row>
    <row r="3646" spans="1:9" x14ac:dyDescent="0.4">
      <c r="A3646" t="str">
        <f>"ちいさい童話"</f>
        <v>ちいさい童話</v>
      </c>
      <c r="B3646" s="1" t="str">
        <f t="shared" si="188"/>
        <v>ちいさい童話</v>
      </c>
      <c r="C3646" t="str">
        <f>"チイサイ　ドウワ"</f>
        <v>チイサイ　ドウワ</v>
      </c>
      <c r="D3646" t="str">
        <f>"あべくまお"</f>
        <v>あべくまお</v>
      </c>
      <c r="E3646" t="str">
        <f>"アベクマオ"</f>
        <v>アベクマオ</v>
      </c>
      <c r="F3646" t="str">
        <f>""</f>
        <v/>
      </c>
      <c r="G3646" t="str">
        <f>"頻度不明"</f>
        <v>頻度不明</v>
      </c>
      <c r="H3646" t="str">
        <f>"2002222284253"</f>
        <v>2002222284253</v>
      </c>
      <c r="I3646" t="str">
        <f>HYPERLINK("#", "https://opac.libnet.pref.okayama.jp/licsxp-opac/WOpacMsgNewListToTifTilDetailAction.do?tilcod=2002222284253")</f>
        <v>https://opac.libnet.pref.okayama.jp/licsxp-opac/WOpacMsgNewListToTifTilDetailAction.do?tilcod=2002222284253</v>
      </c>
    </row>
    <row r="3647" spans="1:9" x14ac:dyDescent="0.4">
      <c r="A3647" t="str">
        <f>"「小さな親切」運動支部だより"</f>
        <v>「小さな親切」運動支部だより</v>
      </c>
      <c r="B3647" s="1" t="str">
        <f t="shared" si="188"/>
        <v>「小さな親切」運動支部だより</v>
      </c>
      <c r="C3647" t="str">
        <f>"チイサナ　シンセツ　ウンドウ　シブ　ダヨリ"</f>
        <v>チイサナ　シンセツ　ウンドウ　シブ　ダヨリ</v>
      </c>
      <c r="D3647" t="str">
        <f>"「小さな親切」運動建部町支部事務局"</f>
        <v>「小さな親切」運動建部町支部事務局</v>
      </c>
      <c r="E3647" t="str">
        <f>"チイサナシンセツウンドウタケベチョウシブジムキョク"</f>
        <v>チイサナシンセツウンドウタケベチョウシブジムキョク</v>
      </c>
      <c r="F3647" t="str">
        <f>"御津郡建部町"</f>
        <v>御津郡建部町</v>
      </c>
      <c r="G3647" t="str">
        <f>"頻度不明"</f>
        <v>頻度不明</v>
      </c>
      <c r="H3647" t="str">
        <f>"2002222294000"</f>
        <v>2002222294000</v>
      </c>
      <c r="I3647" t="str">
        <f>HYPERLINK("#", "https://opac.libnet.pref.okayama.jp/licsxp-opac/WOpacMsgNewListToTifTilDetailAction.do?tilcod=2002222294000")</f>
        <v>https://opac.libnet.pref.okayama.jp/licsxp-opac/WOpacMsgNewListToTifTilDetailAction.do?tilcod=2002222294000</v>
      </c>
    </row>
    <row r="3648" spans="1:9" x14ac:dyDescent="0.4">
      <c r="A3648" t="str">
        <f>"力の泉"</f>
        <v>力の泉</v>
      </c>
      <c r="B3648" s="1" t="str">
        <f t="shared" si="188"/>
        <v>力の泉</v>
      </c>
      <c r="C3648" t="str">
        <f>"チカラ　ノ　イズミ"</f>
        <v>チカラ　ノ　イズミ</v>
      </c>
      <c r="D3648" t="str">
        <f>"岡山県勝英地区保健所"</f>
        <v>岡山県勝英地区保健所</v>
      </c>
      <c r="E3648" t="str">
        <f>"オカヤマケンショウエイチクホケンジョ"</f>
        <v>オカヤマケンショウエイチクホケンジョ</v>
      </c>
      <c r="F3648" t="str">
        <f>""</f>
        <v/>
      </c>
      <c r="G3648" t="str">
        <f>"頻度不明"</f>
        <v>頻度不明</v>
      </c>
      <c r="H3648" t="str">
        <f>"2002222284263"</f>
        <v>2002222284263</v>
      </c>
      <c r="I3648" t="str">
        <f>HYPERLINK("#", "https://opac.libnet.pref.okayama.jp/licsxp-opac/WOpacMsgNewListToTifTilDetailAction.do?tilcod=2002222284263")</f>
        <v>https://opac.libnet.pref.okayama.jp/licsxp-opac/WOpacMsgNewListToTifTilDetailAction.do?tilcod=2002222284263</v>
      </c>
    </row>
    <row r="3649" spans="1:9" x14ac:dyDescent="0.4">
      <c r="A3649" t="str">
        <f>"築１０年から"</f>
        <v>築１０年から</v>
      </c>
      <c r="B3649" s="1" t="str">
        <f t="shared" si="188"/>
        <v>築１０年から</v>
      </c>
      <c r="C3649" t="str">
        <f>"チク ジュー ネン カラ"</f>
        <v>チク ジュー ネン カラ</v>
      </c>
      <c r="D3649" t="str">
        <f>"ビズ・クリエイション"</f>
        <v>ビズ・クリエイション</v>
      </c>
      <c r="E3649" t="str">
        <f>"ビズクリエイション"</f>
        <v>ビズクリエイション</v>
      </c>
      <c r="F3649" t="str">
        <f>"岡山"</f>
        <v>岡山</v>
      </c>
      <c r="G3649" t="str">
        <f>"季刊"</f>
        <v>季刊</v>
      </c>
      <c r="H3649" t="str">
        <f>"2002222314867"</f>
        <v>2002222314867</v>
      </c>
      <c r="I3649" t="str">
        <f>HYPERLINK("#", "https://opac.libnet.pref.okayama.jp/licsxp-opac/WOpacMsgNewListToTifTilDetailAction.do?tilcod=2002222314867")</f>
        <v>https://opac.libnet.pref.okayama.jp/licsxp-opac/WOpacMsgNewListToTifTilDetailAction.do?tilcod=2002222314867</v>
      </c>
    </row>
    <row r="3650" spans="1:9" x14ac:dyDescent="0.4">
      <c r="A3650" t="str">
        <f>"ちぐさ"</f>
        <v>ちぐさ</v>
      </c>
      <c r="B3650" s="1" t="str">
        <f t="shared" si="188"/>
        <v>ちぐさ</v>
      </c>
      <c r="C3650" t="str">
        <f>"チグサ"</f>
        <v>チグサ</v>
      </c>
      <c r="D3650" t="str">
        <f>"ちぐさの会"</f>
        <v>ちぐさの会</v>
      </c>
      <c r="E3650" t="str">
        <f>"チグサノカイ"</f>
        <v>チグサノカイ</v>
      </c>
      <c r="F3650" t="str">
        <f>"美作"</f>
        <v>美作</v>
      </c>
      <c r="G3650" t="str">
        <f>"月刊"</f>
        <v>月刊</v>
      </c>
      <c r="H3650" t="str">
        <f>"2002222292931"</f>
        <v>2002222292931</v>
      </c>
      <c r="I3650" t="str">
        <f>HYPERLINK("#", "https://opac.libnet.pref.okayama.jp/licsxp-opac/WOpacMsgNewListToTifTilDetailAction.do?tilcod=2002222292931")</f>
        <v>https://opac.libnet.pref.okayama.jp/licsxp-opac/WOpacMsgNewListToTifTilDetailAction.do?tilcod=2002222292931</v>
      </c>
    </row>
    <row r="3651" spans="1:9" x14ac:dyDescent="0.4">
      <c r="A3651" t="str">
        <f>"畜産技術情報"</f>
        <v>畜産技術情報</v>
      </c>
      <c r="B3651" s="1" t="str">
        <f t="shared" si="188"/>
        <v>畜産技術情報</v>
      </c>
      <c r="C3651" t="str">
        <f>"チクサン　ギジュツ　ジョウホウ"</f>
        <v>チクサン　ギジュツ　ジョウホウ</v>
      </c>
      <c r="D3651" t="str">
        <f>"岡山県農業総合センター総合調整部技術普及課旭分室"</f>
        <v>岡山県農業総合センター総合調整部技術普及課旭分室</v>
      </c>
      <c r="E3651" t="str">
        <f>"オカヤマケンノウギョウソウゴウセンターソウゴウチョウセイブギジュツフキュウカアサヒブンシツ"</f>
        <v>オカヤマケンノウギョウソウゴウセンターソウゴウチョウセイブギジュツフキュウカアサヒブンシツ</v>
      </c>
      <c r="F3651" t="str">
        <f>"旭町（久米郡）"</f>
        <v>旭町（久米郡）</v>
      </c>
      <c r="G3651" t="str">
        <f>"年刊"</f>
        <v>年刊</v>
      </c>
      <c r="H3651" t="str">
        <f>"2002222301097"</f>
        <v>2002222301097</v>
      </c>
      <c r="I3651" t="str">
        <f>HYPERLINK("#", "https://opac.libnet.pref.okayama.jp/licsxp-opac/WOpacMsgNewListToTifTilDetailAction.do?tilcod=2002222301097")</f>
        <v>https://opac.libnet.pref.okayama.jp/licsxp-opac/WOpacMsgNewListToTifTilDetailAction.do?tilcod=2002222301097</v>
      </c>
    </row>
    <row r="3652" spans="1:9" x14ac:dyDescent="0.4">
      <c r="A3652" t="str">
        <f>"ちくたく；岡輝学区地域情報誌"</f>
        <v>ちくたく；岡輝学区地域情報誌</v>
      </c>
      <c r="B3652" s="1" t="str">
        <f t="shared" ref="B3652:B3715" si="193">HYPERLINK("#", A3652)</f>
        <v>ちくたく；岡輝学区地域情報誌</v>
      </c>
      <c r="C3652" t="str">
        <f>"チクタク＊コウキ　ガック　チイキ　ジョウホウシ"</f>
        <v>チクタク＊コウキ　ガック　チイキ　ジョウホウシ</v>
      </c>
      <c r="D3652" t="str">
        <f>"岡輝中学校区学校運営協議会"</f>
        <v>岡輝中学校区学校運営協議会</v>
      </c>
      <c r="E3652" t="str">
        <f>"コウキチュウガッコウクガッコウウンエイキョウギカイ"</f>
        <v>コウキチュウガッコウクガッコウウンエイキョウギカイ</v>
      </c>
      <c r="F3652" t="str">
        <f>"岡山"</f>
        <v>岡山</v>
      </c>
      <c r="G3652" t="str">
        <f>"年２回刊"</f>
        <v>年２回刊</v>
      </c>
      <c r="H3652" t="str">
        <f>"2002222302312"</f>
        <v>2002222302312</v>
      </c>
      <c r="I3652" t="str">
        <f>HYPERLINK("#", "https://opac.libnet.pref.okayama.jp/licsxp-opac/WOpacMsgNewListToTifTilDetailAction.do?tilcod=2002222302312")</f>
        <v>https://opac.libnet.pref.okayama.jp/licsxp-opac/WOpacMsgNewListToTifTilDetailAction.do?tilcod=2002222302312</v>
      </c>
    </row>
    <row r="3653" spans="1:9" x14ac:dyDescent="0.4">
      <c r="A3653" t="str">
        <f>"竹汀"</f>
        <v>竹汀</v>
      </c>
      <c r="B3653" s="1" t="str">
        <f t="shared" si="193"/>
        <v>竹汀</v>
      </c>
      <c r="C3653" t="str">
        <f>"チクテイ"</f>
        <v>チクテイ</v>
      </c>
      <c r="D3653" t="str">
        <f>"藤原啓記念館"</f>
        <v>藤原啓記念館</v>
      </c>
      <c r="E3653" t="str">
        <f>"フジワラケイキネンカン"</f>
        <v>フジワラケイキネンカン</v>
      </c>
      <c r="F3653" t="str">
        <f>""</f>
        <v/>
      </c>
      <c r="G3653" t="str">
        <f>"頻度不明"</f>
        <v>頻度不明</v>
      </c>
      <c r="H3653" t="str">
        <f>"2002222284273"</f>
        <v>2002222284273</v>
      </c>
      <c r="I3653" t="str">
        <f>HYPERLINK("#", "https://opac.libnet.pref.okayama.jp/licsxp-opac/WOpacMsgNewListToTifTilDetailAction.do?tilcod=2002222284273")</f>
        <v>https://opac.libnet.pref.okayama.jp/licsxp-opac/WOpacMsgNewListToTifTilDetailAction.do?tilcod=2002222284273</v>
      </c>
    </row>
    <row r="3654" spans="1:9" x14ac:dyDescent="0.4">
      <c r="A3654" t="str">
        <f>"チクバ外科便り；チクバ外科・胃腸科・肛門科病院広報誌"</f>
        <v>チクバ外科便り；チクバ外科・胃腸科・肛門科病院広報誌</v>
      </c>
      <c r="B3654" s="1" t="str">
        <f t="shared" si="193"/>
        <v>チクバ外科便り；チクバ外科・胃腸科・肛門科病院広報誌</v>
      </c>
      <c r="C3654" t="str">
        <f>"チクバ ゲカ ダヨリ＊チクバ ゲカ イチョウカ コウモンカ ビョウイン コウホウシ"</f>
        <v>チクバ ゲカ ダヨリ＊チクバ ゲカ イチョウカ コウモンカ ビョウイン コウホウシ</v>
      </c>
      <c r="D3654" t="str">
        <f>"チクバ外科・胃腸科・肛門科病院"</f>
        <v>チクバ外科・胃腸科・肛門科病院</v>
      </c>
      <c r="E3654" t="str">
        <f>"チクバ ゲカ イチョウカ コウモンカ ビョウイン"</f>
        <v>チクバ ゲカ イチョウカ コウモンカ ビョウイン</v>
      </c>
      <c r="F3654" t="str">
        <f>"倉敷"</f>
        <v>倉敷</v>
      </c>
      <c r="G3654" t="str">
        <f>"年２回刊"</f>
        <v>年２回刊</v>
      </c>
      <c r="H3654" t="str">
        <f>"2002222343812"</f>
        <v>2002222343812</v>
      </c>
      <c r="I3654" t="str">
        <f>HYPERLINK("#", "https://opac.libnet.pref.okayama.jp/licsxp-opac/WOpacMsgNewListToTifTilDetailAction.do?tilcod=2002222343812")</f>
        <v>https://opac.libnet.pref.okayama.jp/licsxp-opac/WOpacMsgNewListToTifTilDetailAction.do?tilcod=2002222343812</v>
      </c>
    </row>
    <row r="3655" spans="1:9" x14ac:dyDescent="0.4">
      <c r="A3655" t="str">
        <f>"ちさの木"</f>
        <v>ちさの木</v>
      </c>
      <c r="B3655" s="1" t="str">
        <f t="shared" si="193"/>
        <v>ちさの木</v>
      </c>
      <c r="C3655" t="str">
        <f>"チサ ノ キ"</f>
        <v>チサ ノ キ</v>
      </c>
      <c r="D3655" t="str">
        <f>"亀山宝年坊"</f>
        <v>亀山宝年坊</v>
      </c>
      <c r="E3655" t="str">
        <f>"カメヤマ ホウネンボウ"</f>
        <v>カメヤマ ホウネンボウ</v>
      </c>
      <c r="F3655" t="str">
        <f>"岡山"</f>
        <v>岡山</v>
      </c>
      <c r="G3655" t="str">
        <f>"頻度不明"</f>
        <v>頻度不明</v>
      </c>
      <c r="H3655" t="str">
        <f>"2002222328206"</f>
        <v>2002222328206</v>
      </c>
      <c r="I3655" t="str">
        <f>HYPERLINK("#", "https://opac.libnet.pref.okayama.jp/licsxp-opac/WOpacMsgNewListToTifTilDetailAction.do?tilcod=2002222328206")</f>
        <v>https://opac.libnet.pref.okayama.jp/licsxp-opac/WOpacMsgNewListToTifTilDetailAction.do?tilcod=2002222328206</v>
      </c>
    </row>
    <row r="3656" spans="1:9" x14ac:dyDescent="0.4">
      <c r="A3656" t="str">
        <f>"血汐（複製）"</f>
        <v>血汐（複製）</v>
      </c>
      <c r="B3656" s="1" t="str">
        <f t="shared" si="193"/>
        <v>血汐（複製）</v>
      </c>
      <c r="C3656" t="str">
        <f>"チシオ＊フクセイ"</f>
        <v>チシオ＊フクセイ</v>
      </c>
      <c r="D3656" t="str">
        <f>"血汐会"</f>
        <v>血汐会</v>
      </c>
      <c r="E3656" t="str">
        <f>"チシオカイ"</f>
        <v>チシオカイ</v>
      </c>
      <c r="F3656" t="str">
        <f>""</f>
        <v/>
      </c>
      <c r="G3656" t="str">
        <f>"頻度不明"</f>
        <v>頻度不明</v>
      </c>
      <c r="H3656" t="str">
        <f>"2002222287703"</f>
        <v>2002222287703</v>
      </c>
      <c r="I3656" t="str">
        <f>HYPERLINK("#", "https://opac.libnet.pref.okayama.jp/licsxp-opac/WOpacMsgNewListToTifTilDetailAction.do?tilcod=2002222287703")</f>
        <v>https://opac.libnet.pref.okayama.jp/licsxp-opac/WOpacMsgNewListToTifTilDetailAction.do?tilcod=2002222287703</v>
      </c>
    </row>
    <row r="3657" spans="1:9" x14ac:dyDescent="0.4">
      <c r="A3657" t="str">
        <f>"地塩（ちのしお）"</f>
        <v>地塩（ちのしお）</v>
      </c>
      <c r="B3657" s="1" t="str">
        <f t="shared" si="193"/>
        <v>地塩（ちのしお）</v>
      </c>
      <c r="C3657" t="str">
        <f>"チノシオ"</f>
        <v>チノシオ</v>
      </c>
      <c r="D3657" t="str">
        <f>"日本基督教団蕃山町教会"</f>
        <v>日本基督教団蕃山町教会</v>
      </c>
      <c r="E3657" t="str">
        <f>"ニホンキリストキョウダンバンザンチョウキョウカイ"</f>
        <v>ニホンキリストキョウダンバンザンチョウキョウカイ</v>
      </c>
      <c r="F3657" t="str">
        <f>"岡山"</f>
        <v>岡山</v>
      </c>
      <c r="G3657" t="str">
        <f>"季刊"</f>
        <v>季刊</v>
      </c>
      <c r="H3657" t="str">
        <f>"2002222281474"</f>
        <v>2002222281474</v>
      </c>
      <c r="I3657" t="str">
        <f>HYPERLINK("#", "https://opac.libnet.pref.okayama.jp/licsxp-opac/WOpacMsgNewListToTifTilDetailAction.do?tilcod=2002222281474")</f>
        <v>https://opac.libnet.pref.okayama.jp/licsxp-opac/WOpacMsgNewListToTifTilDetailAction.do?tilcod=2002222281474</v>
      </c>
    </row>
    <row r="3658" spans="1:9" x14ac:dyDescent="0.4">
      <c r="A3658" t="str">
        <f>"チボリ新聞"</f>
        <v>チボリ新聞</v>
      </c>
      <c r="B3658" s="1" t="str">
        <f t="shared" si="193"/>
        <v>チボリ新聞</v>
      </c>
      <c r="C3658" t="str">
        <f>"チボリ　シンブン"</f>
        <v>チボリ　シンブン</v>
      </c>
      <c r="D3658" t="str">
        <f>"チボリ・ジャパン株式会社"</f>
        <v>チボリ・ジャパン株式会社</v>
      </c>
      <c r="E3658" t="str">
        <f>""</f>
        <v/>
      </c>
      <c r="F3658" t="str">
        <f>"岡山"</f>
        <v>岡山</v>
      </c>
      <c r="G3658" t="str">
        <f>"頻度不明"</f>
        <v>頻度不明</v>
      </c>
      <c r="H3658" t="str">
        <f>"2002222300053"</f>
        <v>2002222300053</v>
      </c>
      <c r="I3658" t="str">
        <f>HYPERLINK("#", "https://opac.libnet.pref.okayama.jp/licsxp-opac/WOpacMsgNewListToTifTilDetailAction.do?tilcod=2002222300053")</f>
        <v>https://opac.libnet.pref.okayama.jp/licsxp-opac/WOpacMsgNewListToTifTilDetailAction.do?tilcod=2002222300053</v>
      </c>
    </row>
    <row r="3659" spans="1:9" x14ac:dyDescent="0.4">
      <c r="A3659" t="str">
        <f>"チボリ通信"</f>
        <v>チボリ通信</v>
      </c>
      <c r="B3659" s="1" t="str">
        <f t="shared" si="193"/>
        <v>チボリ通信</v>
      </c>
      <c r="C3659" t="str">
        <f>"チボリ　ツウシン"</f>
        <v>チボリ　ツウシン</v>
      </c>
      <c r="D3659" t="str">
        <f>"倉敷チボリ公園の利用を促進する会"</f>
        <v>倉敷チボリ公園の利用を促進する会</v>
      </c>
      <c r="E3659" t="str">
        <f>"クラシキ チボリ コウエン ノ リヨウ オ ソクシンスル カイ"</f>
        <v>クラシキ チボリ コウエン ノ リヨウ オ ソクシンスル カイ</v>
      </c>
      <c r="F3659" t="str">
        <f>"岡山"</f>
        <v>岡山</v>
      </c>
      <c r="G3659" t="str">
        <f>"頻度不明"</f>
        <v>頻度不明</v>
      </c>
      <c r="H3659" t="str">
        <f>"2002222282034"</f>
        <v>2002222282034</v>
      </c>
      <c r="I3659" t="str">
        <f>HYPERLINK("#", "https://opac.libnet.pref.okayama.jp/licsxp-opac/WOpacMsgNewListToTifTilDetailAction.do?tilcod=2002222282034")</f>
        <v>https://opac.libnet.pref.okayama.jp/licsxp-opac/WOpacMsgNewListToTifTilDetailAction.do?tilcod=2002222282034</v>
      </c>
    </row>
    <row r="3660" spans="1:9" x14ac:dyDescent="0.4">
      <c r="A3660" t="str">
        <f>"ちまち；岡山県立邑久高等学校誌"</f>
        <v>ちまち；岡山県立邑久高等学校誌</v>
      </c>
      <c r="B3660" s="1" t="str">
        <f t="shared" si="193"/>
        <v>ちまち；岡山県立邑久高等学校誌</v>
      </c>
      <c r="C3660" t="str">
        <f>"チマチ*オカヤマケンリツ　オク　コウトウ　ガッコウシ"</f>
        <v>チマチ*オカヤマケンリツ　オク　コウトウ　ガッコウシ</v>
      </c>
      <c r="D3660" t="str">
        <f>"邑久高等学校"</f>
        <v>邑久高等学校</v>
      </c>
      <c r="E3660" t="str">
        <f>"オカヤマケンリツ オク コウトウ ガッコウ"</f>
        <v>オカヤマケンリツ オク コウトウ ガッコウ</v>
      </c>
      <c r="F3660" t="str">
        <f>"瀬戸内"</f>
        <v>瀬戸内</v>
      </c>
      <c r="G3660" t="str">
        <f>"年刊"</f>
        <v>年刊</v>
      </c>
      <c r="H3660" t="str">
        <f>"2002222326366"</f>
        <v>2002222326366</v>
      </c>
      <c r="I3660" t="str">
        <f>HYPERLINK("#", "https://opac.libnet.pref.okayama.jp/licsxp-opac/WOpacMsgNewListToTifTilDetailAction.do?tilcod=2002222326366")</f>
        <v>https://opac.libnet.pref.okayama.jp/licsxp-opac/WOpacMsgNewListToTifTilDetailAction.do?tilcod=2002222326366</v>
      </c>
    </row>
    <row r="3661" spans="1:9" x14ac:dyDescent="0.4">
      <c r="A3661" t="str">
        <f>"地脈；[岡山大学]地理学研究室会報"</f>
        <v>地脈；[岡山大学]地理学研究室会報</v>
      </c>
      <c r="B3661" s="1" t="str">
        <f t="shared" si="193"/>
        <v>地脈；[岡山大学]地理学研究室会報</v>
      </c>
      <c r="C3661" t="str">
        <f>"チミャク＊オカヤマ ダイガク チリガク ケンキュウシツ カイホウ"</f>
        <v>チミャク＊オカヤマ ダイガク チリガク ケンキュウシツ カイホウ</v>
      </c>
      <c r="D3661" t="str">
        <f>"岡山大学法文学部地理学教室"</f>
        <v>岡山大学法文学部地理学教室</v>
      </c>
      <c r="E3661" t="str">
        <f>"オカヤマ ダイガク ホウブンガクブ チリガク キョウシツ"</f>
        <v>オカヤマ ダイガク ホウブンガクブ チリガク キョウシツ</v>
      </c>
      <c r="F3661" t="str">
        <f>"岡山"</f>
        <v>岡山</v>
      </c>
      <c r="G3661" t="str">
        <f>"頻度不明"</f>
        <v>頻度不明</v>
      </c>
      <c r="H3661" t="str">
        <f>"2002222335688"</f>
        <v>2002222335688</v>
      </c>
      <c r="I3661" t="str">
        <f>HYPERLINK("#", "https://opac.libnet.pref.okayama.jp/licsxp-opac/WOpacMsgNewListToTifTilDetailAction.do?tilcod=2002222335688")</f>
        <v>https://opac.libnet.pref.okayama.jp/licsxp-opac/WOpacMsgNewListToTifTilDetailAction.do?tilcod=2002222335688</v>
      </c>
    </row>
    <row r="3662" spans="1:9" x14ac:dyDescent="0.4">
      <c r="A3662" t="str">
        <f>"茶といけ花"</f>
        <v>茶といけ花</v>
      </c>
      <c r="B3662" s="1" t="str">
        <f t="shared" si="193"/>
        <v>茶といけ花</v>
      </c>
      <c r="C3662" t="str">
        <f>"チャ　ト　イケバナ"</f>
        <v>チャ　ト　イケバナ</v>
      </c>
      <c r="D3662" t="str">
        <f>"山陽茶華道社"</f>
        <v>山陽茶華道社</v>
      </c>
      <c r="E3662" t="str">
        <f>"サンヨウサカドウシャ"</f>
        <v>サンヨウサカドウシャ</v>
      </c>
      <c r="F3662" t="str">
        <f>""</f>
        <v/>
      </c>
      <c r="G3662" t="str">
        <f>"頻度不明"</f>
        <v>頻度不明</v>
      </c>
      <c r="H3662" t="str">
        <f>"2002222284283"</f>
        <v>2002222284283</v>
      </c>
      <c r="I3662" t="str">
        <f>HYPERLINK("#", "https://opac.libnet.pref.okayama.jp/licsxp-opac/WOpacMsgNewListToTifTilDetailAction.do?tilcod=2002222284283")</f>
        <v>https://opac.libnet.pref.okayama.jp/licsxp-opac/WOpacMsgNewListToTifTilDetailAction.do?tilcod=2002222284283</v>
      </c>
    </row>
    <row r="3663" spans="1:9" x14ac:dyDescent="0.4">
      <c r="A3663" t="str">
        <f>"茶花の栞"</f>
        <v>茶花の栞</v>
      </c>
      <c r="B3663" s="1" t="str">
        <f t="shared" si="193"/>
        <v>茶花の栞</v>
      </c>
      <c r="C3663" t="str">
        <f>"チャバナ　ノ　シオリ"</f>
        <v>チャバナ　ノ　シオリ</v>
      </c>
      <c r="D3663" t="str">
        <f>"茶花ともの会"</f>
        <v>茶花ともの会</v>
      </c>
      <c r="E3663" t="str">
        <f>"チャバナトモノカイ"</f>
        <v>チャバナトモノカイ</v>
      </c>
      <c r="F3663" t="str">
        <f>""</f>
        <v/>
      </c>
      <c r="G3663" t="str">
        <f>"頻度不明"</f>
        <v>頻度不明</v>
      </c>
      <c r="H3663" t="str">
        <f>"2002222284293"</f>
        <v>2002222284293</v>
      </c>
      <c r="I3663" t="str">
        <f>HYPERLINK("#", "https://opac.libnet.pref.okayama.jp/licsxp-opac/WOpacMsgNewListToTifTilDetailAction.do?tilcod=2002222284293")</f>
        <v>https://opac.libnet.pref.okayama.jp/licsxp-opac/WOpacMsgNewListToTifTilDetailAction.do?tilcod=2002222284293</v>
      </c>
    </row>
    <row r="3664" spans="1:9" x14ac:dyDescent="0.4">
      <c r="A3664" t="str">
        <f>"ちゅうおう生涯学習　あゆみ"</f>
        <v>ちゅうおう生涯学習　あゆみ</v>
      </c>
      <c r="B3664" s="1" t="str">
        <f t="shared" si="193"/>
        <v>ちゅうおう生涯学習　あゆみ</v>
      </c>
      <c r="C3664" t="str">
        <f>"チュウオウ　ショウガイ　ガクシュウ　アユミ"</f>
        <v>チュウオウ　ショウガイ　ガクシュウ　アユミ</v>
      </c>
      <c r="D3664" t="str">
        <f>"中央町生涯学習推進委員会"</f>
        <v>中央町生涯学習推進委員会</v>
      </c>
      <c r="E3664" t="str">
        <f>"チュウオウチョウショウガイガクシュウスイシンイインカイ"</f>
        <v>チュウオウチョウショウガイガクシュウスイシンイインカイ</v>
      </c>
      <c r="F3664" t="str">
        <f>"中央町"</f>
        <v>中央町</v>
      </c>
      <c r="G3664" t="str">
        <f>"月刊"</f>
        <v>月刊</v>
      </c>
      <c r="H3664" t="str">
        <f>"2002222293691"</f>
        <v>2002222293691</v>
      </c>
      <c r="I3664" t="str">
        <f>HYPERLINK("#", "https://opac.libnet.pref.okayama.jp/licsxp-opac/WOpacMsgNewListToTifTilDetailAction.do?tilcod=2002222293691")</f>
        <v>https://opac.libnet.pref.okayama.jp/licsxp-opac/WOpacMsgNewListToTifTilDetailAction.do?tilcod=2002222293691</v>
      </c>
    </row>
    <row r="3665" spans="1:9" x14ac:dyDescent="0.4">
      <c r="A3665" t="str">
        <f>"中央新報"</f>
        <v>中央新報</v>
      </c>
      <c r="B3665" s="1" t="str">
        <f t="shared" si="193"/>
        <v>中央新報</v>
      </c>
      <c r="C3665" t="str">
        <f>"チュウオウ シンポウ"</f>
        <v>チュウオウ シンポウ</v>
      </c>
      <c r="D3665" t="str">
        <f>"中央新報社"</f>
        <v>中央新報社</v>
      </c>
      <c r="E3665" t="str">
        <f>"チュウオウ シンポウシャ"</f>
        <v>チュウオウ シンポウシャ</v>
      </c>
      <c r="F3665" t="str">
        <f>"笠岡"</f>
        <v>笠岡</v>
      </c>
      <c r="G3665" t="str">
        <f>"頻度不明"</f>
        <v>頻度不明</v>
      </c>
      <c r="H3665" t="str">
        <f>"2002222337046"</f>
        <v>2002222337046</v>
      </c>
      <c r="I3665" t="str">
        <f>HYPERLINK("#", "https://opac.libnet.pref.okayama.jp/licsxp-opac/WOpacMsgNewListToTifTilDetailAction.do?tilcod=2002222337046")</f>
        <v>https://opac.libnet.pref.okayama.jp/licsxp-opac/WOpacMsgNewListToTifTilDetailAction.do?tilcod=2002222337046</v>
      </c>
    </row>
    <row r="3666" spans="1:9" x14ac:dyDescent="0.4">
      <c r="A3666" t="str">
        <f>"中央政経新聞"</f>
        <v>中央政経新聞</v>
      </c>
      <c r="B3666" s="1" t="str">
        <f t="shared" si="193"/>
        <v>中央政経新聞</v>
      </c>
      <c r="C3666" t="str">
        <f>"チュウオウ　セイケイ　シンブン"</f>
        <v>チュウオウ　セイケイ　シンブン</v>
      </c>
      <c r="D3666" t="str">
        <f>"岡山サンケイ新聞社"</f>
        <v>岡山サンケイ新聞社</v>
      </c>
      <c r="E3666" t="str">
        <f>"オカヤマサンケイシンブンシャ"</f>
        <v>オカヤマサンケイシンブンシャ</v>
      </c>
      <c r="F3666" t="str">
        <f>"岡山"</f>
        <v>岡山</v>
      </c>
      <c r="G3666" t="str">
        <f>"週刊"</f>
        <v>週刊</v>
      </c>
      <c r="H3666" t="str">
        <f>"2002222300942"</f>
        <v>2002222300942</v>
      </c>
      <c r="I3666" t="str">
        <f>HYPERLINK("#", "https://opac.libnet.pref.okayama.jp/licsxp-opac/WOpacMsgNewListToTifTilDetailAction.do?tilcod=2002222300942")</f>
        <v>https://opac.libnet.pref.okayama.jp/licsxp-opac/WOpacMsgNewListToTifTilDetailAction.do?tilcod=2002222300942</v>
      </c>
    </row>
    <row r="3667" spans="1:9" x14ac:dyDescent="0.4">
      <c r="A3667" t="str">
        <f>"中央 ; 岡山中央中学校PTA新聞"</f>
        <v>中央 ; 岡山中央中学校PTA新聞</v>
      </c>
      <c r="B3667" s="1" t="str">
        <f t="shared" si="193"/>
        <v>中央 ; 岡山中央中学校PTA新聞</v>
      </c>
      <c r="C3667" t="str">
        <f>"チュウオウ＊オカヤマ チュウオウ チュウガッコウ ピーティーエー シンブン"</f>
        <v>チュウオウ＊オカヤマ チュウオウ チュウガッコウ ピーティーエー シンブン</v>
      </c>
      <c r="D3667" t="str">
        <f>"岡山市立岡山中央中学校"</f>
        <v>岡山市立岡山中央中学校</v>
      </c>
      <c r="E3667" t="str">
        <f>"オカヤマ シリツ オカヤマ チュウオウ チュウガッコウ"</f>
        <v>オカヤマ シリツ オカヤマ チュウオウ チュウガッコウ</v>
      </c>
      <c r="F3667" t="str">
        <f>"岡山"</f>
        <v>岡山</v>
      </c>
      <c r="G3667" t="str">
        <f>"頻度不明"</f>
        <v>頻度不明</v>
      </c>
      <c r="H3667" t="str">
        <f>"2002222335294"</f>
        <v>2002222335294</v>
      </c>
      <c r="I3667" t="str">
        <f>HYPERLINK("#", "https://opac.libnet.pref.okayama.jp/licsxp-opac/WOpacMsgNewListToTifTilDetailAction.do?tilcod=2002222335294")</f>
        <v>https://opac.libnet.pref.okayama.jp/licsxp-opac/WOpacMsgNewListToTifTilDetailAction.do?tilcod=2002222335294</v>
      </c>
    </row>
    <row r="3668" spans="1:9" x14ac:dyDescent="0.4">
      <c r="A3668" t="str">
        <f>"中央会おかやま"</f>
        <v>中央会おかやま</v>
      </c>
      <c r="B3668" s="1" t="str">
        <f t="shared" si="193"/>
        <v>中央会おかやま</v>
      </c>
      <c r="C3668" t="str">
        <f>"チュウオウカイ　オカヤマ"</f>
        <v>チュウオウカイ　オカヤマ</v>
      </c>
      <c r="D3668" t="str">
        <f>"岡山県中小企業団体中央会"</f>
        <v>岡山県中小企業団体中央会</v>
      </c>
      <c r="E3668" t="str">
        <f>"オカヤマケン チュウショウ キギョウ ダンタイ チュウオウカイ"</f>
        <v>オカヤマケン チュウショウ キギョウ ダンタイ チュウオウカイ</v>
      </c>
      <c r="F3668" t="str">
        <f>"岡山"</f>
        <v>岡山</v>
      </c>
      <c r="G3668" t="str">
        <f>"月刊"</f>
        <v>月刊</v>
      </c>
      <c r="H3668" t="str">
        <f>"2002222302154"</f>
        <v>2002222302154</v>
      </c>
      <c r="I3668" t="str">
        <f>HYPERLINK("#", "https://opac.libnet.pref.okayama.jp/licsxp-opac/WOpacMsgNewListToTifTilDetailAction.do?tilcod=2002222302154")</f>
        <v>https://opac.libnet.pref.okayama.jp/licsxp-opac/WOpacMsgNewListToTifTilDetailAction.do?tilcod=2002222302154</v>
      </c>
    </row>
    <row r="3669" spans="1:9" x14ac:dyDescent="0.4">
      <c r="A3669" t="str">
        <f>"中央町議会だより"</f>
        <v>中央町議会だより</v>
      </c>
      <c r="B3669" s="1" t="str">
        <f t="shared" si="193"/>
        <v>中央町議会だより</v>
      </c>
      <c r="C3669" t="str">
        <f>"チユウオウチヨウ　ギカイ　ダヨリ"</f>
        <v>チユウオウチヨウ　ギカイ　ダヨリ</v>
      </c>
      <c r="D3669" t="str">
        <f>"岡山県久米郡中央町議会"</f>
        <v>岡山県久米郡中央町議会</v>
      </c>
      <c r="E3669" t="str">
        <f>"オカヤマケンクメグンチユウオウチヨウギカイ"</f>
        <v>オカヤマケンクメグンチユウオウチヨウギカイ</v>
      </c>
      <c r="F3669" t="str">
        <f>"久米郡中央町"</f>
        <v>久米郡中央町</v>
      </c>
      <c r="G3669" t="str">
        <f>"その他"</f>
        <v>その他</v>
      </c>
      <c r="H3669" t="str">
        <f>"2002222293711"</f>
        <v>2002222293711</v>
      </c>
      <c r="I3669" t="str">
        <f>HYPERLINK("#", "https://opac.libnet.pref.okayama.jp/licsxp-opac/WOpacMsgNewListToTifTilDetailAction.do?tilcod=2002222293711")</f>
        <v>https://opac.libnet.pref.okayama.jp/licsxp-opac/WOpacMsgNewListToTifTilDetailAction.do?tilcod=2002222293711</v>
      </c>
    </row>
    <row r="3670" spans="1:9" x14ac:dyDescent="0.4">
      <c r="A3670" t="str">
        <f>"中央町婦人会だより"</f>
        <v>中央町婦人会だより</v>
      </c>
      <c r="B3670" s="1" t="str">
        <f t="shared" si="193"/>
        <v>中央町婦人会だより</v>
      </c>
      <c r="C3670" t="str">
        <f>"チュウオウチョウ　フジンカイ　ダヨリ"</f>
        <v>チュウオウチョウ　フジンカイ　ダヨリ</v>
      </c>
      <c r="D3670" t="str">
        <f>"中央町婦人協議会"</f>
        <v>中央町婦人協議会</v>
      </c>
      <c r="E3670" t="str">
        <f>"チュウオウチョウフジンキョウギカイ"</f>
        <v>チュウオウチョウフジンキョウギカイ</v>
      </c>
      <c r="F3670" t="str">
        <f>"中央町（久米郡）"</f>
        <v>中央町（久米郡）</v>
      </c>
      <c r="G3670" t="str">
        <f>"頻度不明"</f>
        <v>頻度不明</v>
      </c>
      <c r="H3670" t="str">
        <f>"2002222284313"</f>
        <v>2002222284313</v>
      </c>
      <c r="I3670" t="str">
        <f>HYPERLINK("#", "https://opac.libnet.pref.okayama.jp/licsxp-opac/WOpacMsgNewListToTifTilDetailAction.do?tilcod=2002222284313")</f>
        <v>https://opac.libnet.pref.okayama.jp/licsxp-opac/WOpacMsgNewListToTifTilDetailAction.do?tilcod=2002222284313</v>
      </c>
    </row>
    <row r="3671" spans="1:9" x14ac:dyDescent="0.4">
      <c r="A3671" t="str">
        <f>"中学生新聞"</f>
        <v>中学生新聞</v>
      </c>
      <c r="B3671" s="1" t="str">
        <f t="shared" si="193"/>
        <v>中学生新聞</v>
      </c>
      <c r="C3671" t="str">
        <f>"チュウガクセイ　シンブン"</f>
        <v>チュウガクセイ　シンブン</v>
      </c>
      <c r="D3671" t="str">
        <f>"山陽新聞社"</f>
        <v>山陽新聞社</v>
      </c>
      <c r="E3671" t="str">
        <f>"サンヨウ シンブンシャ"</f>
        <v>サンヨウ シンブンシャ</v>
      </c>
      <c r="F3671" t="str">
        <f>"岡山"</f>
        <v>岡山</v>
      </c>
      <c r="G3671" t="str">
        <f>"日刊"</f>
        <v>日刊</v>
      </c>
      <c r="H3671" t="str">
        <f>"2002222309587"</f>
        <v>2002222309587</v>
      </c>
      <c r="I3671" t="str">
        <f>HYPERLINK("#", "https://opac.libnet.pref.okayama.jp/licsxp-opac/WOpacMsgNewListToTifTilDetailAction.do?tilcod=2002222309587")</f>
        <v>https://opac.libnet.pref.okayama.jp/licsxp-opac/WOpacMsgNewListToTifTilDetailAction.do?tilcod=2002222309587</v>
      </c>
    </row>
    <row r="3672" spans="1:9" x14ac:dyDescent="0.4">
      <c r="A3672" t="str">
        <f>"忠義桜；忠桜会々誌"</f>
        <v>忠義桜；忠桜会々誌</v>
      </c>
      <c r="B3672" s="1" t="str">
        <f t="shared" si="193"/>
        <v>忠義桜；忠桜会々誌</v>
      </c>
      <c r="C3672" t="str">
        <f>"チュウギ ザクラ＊チュウオウカイ カイシ"</f>
        <v>チュウギ ザクラ＊チュウオウカイ カイシ</v>
      </c>
      <c r="D3672" t="str">
        <f>"岡山忠桜会"</f>
        <v>岡山忠桜会</v>
      </c>
      <c r="E3672" t="str">
        <f>"オカヤマチュウオウカイ"</f>
        <v>オカヤマチュウオウカイ</v>
      </c>
      <c r="F3672" t="str">
        <f>""</f>
        <v/>
      </c>
      <c r="G3672" t="str">
        <f>"頻度不明"</f>
        <v>頻度不明</v>
      </c>
      <c r="H3672" t="str">
        <f>"2002222284303"</f>
        <v>2002222284303</v>
      </c>
      <c r="I3672" t="str">
        <f>HYPERLINK("#", "https://opac.libnet.pref.okayama.jp/licsxp-opac/WOpacMsgNewListToTifTilDetailAction.do?tilcod=2002222284303")</f>
        <v>https://opac.libnet.pref.okayama.jp/licsxp-opac/WOpacMsgNewListToTifTilDetailAction.do?tilcod=2002222284303</v>
      </c>
    </row>
    <row r="3673" spans="1:9" x14ac:dyDescent="0.4">
      <c r="A3673" t="str">
        <f>"中国愛欄会報"</f>
        <v>中国愛欄会報</v>
      </c>
      <c r="B3673" s="1" t="str">
        <f t="shared" si="193"/>
        <v>中国愛欄会報</v>
      </c>
      <c r="C3673" t="str">
        <f>"チュウゴク　アイランカイホウ"</f>
        <v>チュウゴク　アイランカイホウ</v>
      </c>
      <c r="D3673" t="str">
        <f>"中国愛蘭会"</f>
        <v>中国愛蘭会</v>
      </c>
      <c r="E3673" t="str">
        <f>"チュウゴクアイランカイ"</f>
        <v>チュウゴクアイランカイ</v>
      </c>
      <c r="F3673" t="str">
        <f>""</f>
        <v/>
      </c>
      <c r="G3673" t="str">
        <f>"頻度不明"</f>
        <v>頻度不明</v>
      </c>
      <c r="H3673" t="str">
        <f>"2002222284323"</f>
        <v>2002222284323</v>
      </c>
      <c r="I3673" t="str">
        <f>HYPERLINK("#", "https://opac.libnet.pref.okayama.jp/licsxp-opac/WOpacMsgNewListToTifTilDetailAction.do?tilcod=2002222284323")</f>
        <v>https://opac.libnet.pref.okayama.jp/licsxp-opac/WOpacMsgNewListToTifTilDetailAction.do?tilcod=2002222284323</v>
      </c>
    </row>
    <row r="3674" spans="1:9" x14ac:dyDescent="0.4">
      <c r="A3674" t="str">
        <f>"中国学園紀要"</f>
        <v>中国学園紀要</v>
      </c>
      <c r="B3674" s="1" t="str">
        <f t="shared" si="193"/>
        <v>中国学園紀要</v>
      </c>
      <c r="C3674" t="str">
        <f>"チュウゴク　ガクエン　キヨウ"</f>
        <v>チュウゴク　ガクエン　キヨウ</v>
      </c>
      <c r="D3674" t="str">
        <f>"中国学園大学・中国短期大学"</f>
        <v>中国学園大学・中国短期大学</v>
      </c>
      <c r="E3674" t="str">
        <f>"チュウゴク ガクエン ダイガク チュウゴク タンキ ダイガク"</f>
        <v>チュウゴク ガクエン ダイガク チュウゴク タンキ ダイガク</v>
      </c>
      <c r="F3674" t="str">
        <f>"岡山"</f>
        <v>岡山</v>
      </c>
      <c r="G3674" t="str">
        <f>"年刊"</f>
        <v>年刊</v>
      </c>
      <c r="H3674" t="str">
        <f>"2002222285951"</f>
        <v>2002222285951</v>
      </c>
      <c r="I3674" t="str">
        <f>HYPERLINK("#", "https://opac.libnet.pref.okayama.jp/licsxp-opac/WOpacMsgNewListToTifTilDetailAction.do?tilcod=2002222285951")</f>
        <v>https://opac.libnet.pref.okayama.jp/licsxp-opac/WOpacMsgNewListToTifTilDetailAction.do?tilcod=2002222285951</v>
      </c>
    </row>
    <row r="3675" spans="1:9" x14ac:dyDescent="0.4">
      <c r="A3675" t="str">
        <f>"ＣＨＵＧＯＫＵＧＡＫＵＥＮ　Ｊｏｕｒｎａｌ"</f>
        <v>ＣＨＵＧＯＫＵＧＡＫＵＥＮ　Ｊｏｕｒｎａｌ</v>
      </c>
      <c r="B3675" s="1" t="str">
        <f t="shared" si="193"/>
        <v>ＣＨＵＧＯＫＵＧＡＫＵＥＮ　Ｊｏｕｒｎａｌ</v>
      </c>
      <c r="C3675" t="str">
        <f>"チュウゴク ガクエン ジャーナル"</f>
        <v>チュウゴク ガクエン ジャーナル</v>
      </c>
      <c r="D3675" t="str">
        <f>"中国学園大学・中国短期大学"</f>
        <v>中国学園大学・中国短期大学</v>
      </c>
      <c r="E3675" t="str">
        <f>"チュウゴク ガクエン ダイガク チュウゴク タンキ ダイガク"</f>
        <v>チュウゴク ガクエン ダイガク チュウゴク タンキ ダイガク</v>
      </c>
      <c r="F3675" t="str">
        <f>"岡山"</f>
        <v>岡山</v>
      </c>
      <c r="G3675" t="str">
        <f>"年刊"</f>
        <v>年刊</v>
      </c>
      <c r="H3675" t="str">
        <f>"2002222285961"</f>
        <v>2002222285961</v>
      </c>
      <c r="I3675" t="str">
        <f>HYPERLINK("#", "https://opac.libnet.pref.okayama.jp/licsxp-opac/WOpacMsgNewListToTifTilDetailAction.do?tilcod=2002222285961")</f>
        <v>https://opac.libnet.pref.okayama.jp/licsxp-opac/WOpacMsgNewListToTifTilDetailAction.do?tilcod=2002222285961</v>
      </c>
    </row>
    <row r="3676" spans="1:9" x14ac:dyDescent="0.4">
      <c r="A3676" t="str">
        <f>"中国教育"</f>
        <v>中国教育</v>
      </c>
      <c r="B3676" s="1" t="str">
        <f t="shared" si="193"/>
        <v>中国教育</v>
      </c>
      <c r="C3676" t="str">
        <f>"チュウゴク　キョウイク"</f>
        <v>チュウゴク　キョウイク</v>
      </c>
      <c r="D3676" t="str">
        <f>"中国教育編集部"</f>
        <v>中国教育編集部</v>
      </c>
      <c r="E3676" t="str">
        <f>"チュウゴクキョウイクヘンシュウブ"</f>
        <v>チュウゴクキョウイクヘンシュウブ</v>
      </c>
      <c r="F3676" t="str">
        <f>""</f>
        <v/>
      </c>
      <c r="G3676" t="str">
        <f>"頻度不明"</f>
        <v>頻度不明</v>
      </c>
      <c r="H3676" t="str">
        <f>"2002222284333"</f>
        <v>2002222284333</v>
      </c>
      <c r="I3676" t="str">
        <f>HYPERLINK("#", "https://opac.libnet.pref.okayama.jp/licsxp-opac/WOpacMsgNewListToTifTilDetailAction.do?tilcod=2002222284333")</f>
        <v>https://opac.libnet.pref.okayama.jp/licsxp-opac/WOpacMsgNewListToTifTilDetailAction.do?tilcod=2002222284333</v>
      </c>
    </row>
    <row r="3677" spans="1:9" x14ac:dyDescent="0.4">
      <c r="A3677" t="str">
        <f>"中国古書通報"</f>
        <v>中国古書通報</v>
      </c>
      <c r="B3677" s="1" t="str">
        <f t="shared" si="193"/>
        <v>中国古書通報</v>
      </c>
      <c r="C3677" t="str">
        <f>"チュウゴク　コショ　ツウホウ"</f>
        <v>チュウゴク　コショ　ツウホウ</v>
      </c>
      <c r="D3677" t="str">
        <f>"岡山県古書籍商組合事務所"</f>
        <v>岡山県古書籍商組合事務所</v>
      </c>
      <c r="E3677" t="str">
        <f>"オカヤマケンコショセキショウクミアイジムショ"</f>
        <v>オカヤマケンコショセキショウクミアイジムショ</v>
      </c>
      <c r="F3677" t="str">
        <f>""</f>
        <v/>
      </c>
      <c r="G3677" t="str">
        <f>"頻度不明"</f>
        <v>頻度不明</v>
      </c>
      <c r="H3677" t="str">
        <f>"2002222284343"</f>
        <v>2002222284343</v>
      </c>
      <c r="I3677" t="str">
        <f>HYPERLINK("#", "https://opac.libnet.pref.okayama.jp/licsxp-opac/WOpacMsgNewListToTifTilDetailAction.do?tilcod=2002222284343")</f>
        <v>https://opac.libnet.pref.okayama.jp/licsxp-opac/WOpacMsgNewListToTifTilDetailAction.do?tilcod=2002222284343</v>
      </c>
    </row>
    <row r="3678" spans="1:9" x14ac:dyDescent="0.4">
      <c r="A3678" t="str">
        <f>"中国こども新聞；中国民報付録"</f>
        <v>中国こども新聞；中国民報付録</v>
      </c>
      <c r="B3678" s="1" t="str">
        <f t="shared" si="193"/>
        <v>中国こども新聞；中国民報付録</v>
      </c>
      <c r="C3678" t="str">
        <f>"チュウゴク　コドモ　シンブン＊チュウゴク　ミンポウ　フロク"</f>
        <v>チュウゴク　コドモ　シンブン＊チュウゴク　ミンポウ　フロク</v>
      </c>
      <c r="D3678" t="str">
        <f>"中国民報社"</f>
        <v>中国民報社</v>
      </c>
      <c r="E3678" t="str">
        <f>"チュウゴク ミンポウシャ"</f>
        <v>チュウゴク ミンポウシャ</v>
      </c>
      <c r="F3678" t="str">
        <f>"岡山"</f>
        <v>岡山</v>
      </c>
      <c r="G3678" t="str">
        <f>"頻度不明"</f>
        <v>頻度不明</v>
      </c>
      <c r="H3678" t="str">
        <f>"2002222301006"</f>
        <v>2002222301006</v>
      </c>
      <c r="I3678" t="str">
        <f>HYPERLINK("#", "https://opac.libnet.pref.okayama.jp/licsxp-opac/WOpacMsgNewListToTifTilDetailAction.do?tilcod=2002222301006")</f>
        <v>https://opac.libnet.pref.okayama.jp/licsxp-opac/WOpacMsgNewListToTifTilDetailAction.do?tilcod=2002222301006</v>
      </c>
    </row>
    <row r="3679" spans="1:9" x14ac:dyDescent="0.4">
      <c r="A3679" t="str">
        <f>"中国・四国空中花粉研究会誌"</f>
        <v>中国・四国空中花粉研究会誌</v>
      </c>
      <c r="B3679" s="1" t="str">
        <f t="shared" si="193"/>
        <v>中国・四国空中花粉研究会誌</v>
      </c>
      <c r="C3679" t="str">
        <f>"チュウゴク　シコク　クウチュウ　カフン　ケンキュウカイシ"</f>
        <v>チュウゴク　シコク　クウチュウ　カフン　ケンキュウカイシ</v>
      </c>
      <c r="D3679" t="str">
        <f>"中国四国空中花粉研究会"</f>
        <v>中国四国空中花粉研究会</v>
      </c>
      <c r="E3679" t="str">
        <f>"チュウゴクシコククウチュウカフンケンキュウカイ"</f>
        <v>チュウゴクシコククウチュウカフンケンキュウカイ</v>
      </c>
      <c r="F3679" t="str">
        <f>"三木町（木田郡）"</f>
        <v>三木町（木田郡）</v>
      </c>
      <c r="G3679" t="str">
        <f>"年刊"</f>
        <v>年刊</v>
      </c>
      <c r="H3679" t="str">
        <f>"2002222302113"</f>
        <v>2002222302113</v>
      </c>
      <c r="I3679" t="str">
        <f>HYPERLINK("#", "https://opac.libnet.pref.okayama.jp/licsxp-opac/WOpacMsgNewListToTifTilDetailAction.do?tilcod=2002222302113")</f>
        <v>https://opac.libnet.pref.okayama.jp/licsxp-opac/WOpacMsgNewListToTifTilDetailAction.do?tilcod=2002222302113</v>
      </c>
    </row>
    <row r="3680" spans="1:9" x14ac:dyDescent="0.4">
      <c r="A3680" t="str">
        <f>"中国四国社会福祉史研究"</f>
        <v>中国四国社会福祉史研究</v>
      </c>
      <c r="B3680" s="1" t="str">
        <f t="shared" si="193"/>
        <v>中国四国社会福祉史研究</v>
      </c>
      <c r="C3680" t="str">
        <f>"チュウゴク　シコク　シャカイ　フクシ　シ　ケンキュウ"</f>
        <v>チュウゴク　シコク　シャカイ　フクシ　シ　ケンキュウ</v>
      </c>
      <c r="D3680" t="str">
        <f>"中国四国社会福祉史学会"</f>
        <v>中国四国社会福祉史学会</v>
      </c>
      <c r="E3680" t="str">
        <f>"チュウゴクシコクシャカイフクシシガッカイ"</f>
        <v>チュウゴクシコクシャカイフクシシガッカイ</v>
      </c>
      <c r="F3680" t="str">
        <f>"総社"</f>
        <v>総社</v>
      </c>
      <c r="G3680" t="str">
        <f>"年刊"</f>
        <v>年刊</v>
      </c>
      <c r="H3680" t="str">
        <f>"2002222281284"</f>
        <v>2002222281284</v>
      </c>
      <c r="I3680" t="str">
        <f>HYPERLINK("#", "https://opac.libnet.pref.okayama.jp/licsxp-opac/WOpacMsgNewListToTifTilDetailAction.do?tilcod=2002222281284")</f>
        <v>https://opac.libnet.pref.okayama.jp/licsxp-opac/WOpacMsgNewListToTifTilDetailAction.do?tilcod=2002222281284</v>
      </c>
    </row>
    <row r="3681" spans="1:9" x14ac:dyDescent="0.4">
      <c r="A3681" t="str">
        <f>"中国四国社会福祉史研究会会報"</f>
        <v>中国四国社会福祉史研究会会報</v>
      </c>
      <c r="B3681" s="1" t="str">
        <f t="shared" si="193"/>
        <v>中国四国社会福祉史研究会会報</v>
      </c>
      <c r="C3681" t="str">
        <f>"チュウゴク　シコク　シャカイ　フクシシ　ケンキュウカイ　カイホウ"</f>
        <v>チュウゴク　シコク　シャカイ　フクシシ　ケンキュウカイ　カイホウ</v>
      </c>
      <c r="D3681" t="str">
        <f>"岡山県立大学短期大学部井村圭壮研究室"</f>
        <v>岡山県立大学短期大学部井村圭壮研究室</v>
      </c>
      <c r="E3681" t="str">
        <f>"オカヤマケンリツダイガクタンキダイガクブイムラケイソウケンキュウシツ"</f>
        <v>オカヤマケンリツダイガクタンキダイガクブイムラケイソウケンキュウシツ</v>
      </c>
      <c r="F3681" t="str">
        <f>"総社"</f>
        <v>総社</v>
      </c>
      <c r="G3681" t="str">
        <f>"頻度不明"</f>
        <v>頻度不明</v>
      </c>
      <c r="H3681" t="str">
        <f>"2002222281814"</f>
        <v>2002222281814</v>
      </c>
      <c r="I3681" t="str">
        <f>HYPERLINK("#", "https://opac.libnet.pref.okayama.jp/licsxp-opac/WOpacMsgNewListToTifTilDetailAction.do?tilcod=2002222281814")</f>
        <v>https://opac.libnet.pref.okayama.jp/licsxp-opac/WOpacMsgNewListToTifTilDetailAction.do?tilcod=2002222281814</v>
      </c>
    </row>
    <row r="3682" spans="1:9" x14ac:dyDescent="0.4">
      <c r="A3682" t="str">
        <f>"中国四国の農政"</f>
        <v>中国四国の農政</v>
      </c>
      <c r="B3682" s="1" t="str">
        <f t="shared" si="193"/>
        <v>中国四国の農政</v>
      </c>
      <c r="C3682" t="str">
        <f>"チュウゴク　シコク　ノ　ノウセイ"</f>
        <v>チュウゴク　シコク　ノ　ノウセイ</v>
      </c>
      <c r="D3682" t="str">
        <f>"中国四国農政局"</f>
        <v>中国四国農政局</v>
      </c>
      <c r="E3682" t="str">
        <f>"チュウゴクシコクノウセイキョク"</f>
        <v>チュウゴクシコクノウセイキョク</v>
      </c>
      <c r="F3682" t="str">
        <f>"岡山"</f>
        <v>岡山</v>
      </c>
      <c r="G3682" t="str">
        <f>"頻度不明"</f>
        <v>頻度不明</v>
      </c>
      <c r="H3682" t="str">
        <f>"2002222284363"</f>
        <v>2002222284363</v>
      </c>
      <c r="I3682" t="str">
        <f>HYPERLINK("#", "https://opac.libnet.pref.okayama.jp/licsxp-opac/WOpacMsgNewListToTifTilDetailAction.do?tilcod=2002222284363")</f>
        <v>https://opac.libnet.pref.okayama.jp/licsxp-opac/WOpacMsgNewListToTifTilDetailAction.do?tilcod=2002222284363</v>
      </c>
    </row>
    <row r="3683" spans="1:9" x14ac:dyDescent="0.4">
      <c r="A3683" t="str">
        <f>"中国四国農政広報"</f>
        <v>中国四国農政広報</v>
      </c>
      <c r="B3683" s="1" t="str">
        <f t="shared" si="193"/>
        <v>中国四国農政広報</v>
      </c>
      <c r="C3683" t="str">
        <f>"チュウゴク　シコク　ノウセイ　コウホウ"</f>
        <v>チュウゴク　シコク　ノウセイ　コウホウ</v>
      </c>
      <c r="D3683" t="str">
        <f>"中国四国農政局"</f>
        <v>中国四国農政局</v>
      </c>
      <c r="E3683" t="str">
        <f>"チュウゴクシコクノウセイキョク"</f>
        <v>チュウゴクシコクノウセイキョク</v>
      </c>
      <c r="F3683" t="str">
        <f>""</f>
        <v/>
      </c>
      <c r="G3683" t="str">
        <f>"頻度不明"</f>
        <v>頻度不明</v>
      </c>
      <c r="H3683" t="str">
        <f>"2002222284353"</f>
        <v>2002222284353</v>
      </c>
      <c r="I3683" t="str">
        <f>HYPERLINK("#", "https://opac.libnet.pref.okayama.jp/licsxp-opac/WOpacMsgNewListToTifTilDetailAction.do?tilcod=2002222284353")</f>
        <v>https://opac.libnet.pref.okayama.jp/licsxp-opac/WOpacMsgNewListToTifTilDetailAction.do?tilcod=2002222284353</v>
      </c>
    </row>
    <row r="3684" spans="1:9" x14ac:dyDescent="0.4">
      <c r="A3684" t="str">
        <f>"中国時事新聞"</f>
        <v>中国時事新聞</v>
      </c>
      <c r="B3684" s="1" t="str">
        <f t="shared" si="193"/>
        <v>中国時事新聞</v>
      </c>
      <c r="C3684" t="str">
        <f>"チュウゴク ジジ シンブン"</f>
        <v>チュウゴク ジジ シンブン</v>
      </c>
      <c r="D3684" t="str">
        <f>"中国時事新聞社"</f>
        <v>中国時事新聞社</v>
      </c>
      <c r="E3684" t="str">
        <f>"チュウゴク ジジ シンブンシャ"</f>
        <v>チュウゴク ジジ シンブンシャ</v>
      </c>
      <c r="F3684" t="str">
        <f>"岡山"</f>
        <v>岡山</v>
      </c>
      <c r="G3684" t="str">
        <f>"旬刊"</f>
        <v>旬刊</v>
      </c>
      <c r="H3684" t="str">
        <f>"2002222300943"</f>
        <v>2002222300943</v>
      </c>
      <c r="I3684" t="str">
        <f>HYPERLINK("#", "https://opac.libnet.pref.okayama.jp/licsxp-opac/WOpacMsgNewListToTifTilDetailAction.do?tilcod=2002222300943")</f>
        <v>https://opac.libnet.pref.okayama.jp/licsxp-opac/WOpacMsgNewListToTifTilDetailAction.do?tilcod=2002222300943</v>
      </c>
    </row>
    <row r="3685" spans="1:9" x14ac:dyDescent="0.4">
      <c r="A3685" t="str">
        <f>"中国時事新聞　政経内報版"</f>
        <v>中国時事新聞　政経内報版</v>
      </c>
      <c r="B3685" s="1" t="str">
        <f t="shared" si="193"/>
        <v>中国時事新聞　政経内報版</v>
      </c>
      <c r="C3685" t="str">
        <f>"チュウゴク　ジジ　シンブン　セイケイ　ナイホウバン"</f>
        <v>チュウゴク　ジジ　シンブン　セイケイ　ナイホウバン</v>
      </c>
      <c r="D3685" t="str">
        <f>"中国時事新聞"</f>
        <v>中国時事新聞</v>
      </c>
      <c r="E3685" t="str">
        <f>"チュウゴクジジシンブン"</f>
        <v>チュウゴクジジシンブン</v>
      </c>
      <c r="F3685" t="str">
        <f>"岡山"</f>
        <v>岡山</v>
      </c>
      <c r="G3685" t="str">
        <f>"旬刊"</f>
        <v>旬刊</v>
      </c>
      <c r="H3685" t="str">
        <f>"2002222300944"</f>
        <v>2002222300944</v>
      </c>
      <c r="I3685" t="str">
        <f>HYPERLINK("#", "https://opac.libnet.pref.okayama.jp/licsxp-opac/WOpacMsgNewListToTifTilDetailAction.do?tilcod=2002222300944")</f>
        <v>https://opac.libnet.pref.okayama.jp/licsxp-opac/WOpacMsgNewListToTifTilDetailAction.do?tilcod=2002222300944</v>
      </c>
    </row>
    <row r="3686" spans="1:9" x14ac:dyDescent="0.4">
      <c r="A3686" t="str">
        <f>"中国信託時報"</f>
        <v>中国信託時報</v>
      </c>
      <c r="B3686" s="1" t="str">
        <f t="shared" si="193"/>
        <v>中国信託時報</v>
      </c>
      <c r="C3686" t="str">
        <f>"チュウゴク　シンタク　ジホウ"</f>
        <v>チュウゴク　シンタク　ジホウ</v>
      </c>
      <c r="D3686" t="str">
        <f>"中国信託時報発行所"</f>
        <v>中国信託時報発行所</v>
      </c>
      <c r="E3686" t="str">
        <f>"チュウゴクシンタクジホウハッコウジョ"</f>
        <v>チュウゴクシンタクジホウハッコウジョ</v>
      </c>
      <c r="F3686" t="str">
        <f>"岡山"</f>
        <v>岡山</v>
      </c>
      <c r="G3686" t="str">
        <f>"月刊"</f>
        <v>月刊</v>
      </c>
      <c r="H3686" t="str">
        <f>"2002222302008"</f>
        <v>2002222302008</v>
      </c>
      <c r="I3686" t="str">
        <f>HYPERLINK("#", "https://opac.libnet.pref.okayama.jp/licsxp-opac/WOpacMsgNewListToTifTilDetailAction.do?tilcod=2002222302008")</f>
        <v>https://opac.libnet.pref.okayama.jp/licsxp-opac/WOpacMsgNewListToTifTilDetailAction.do?tilcod=2002222302008</v>
      </c>
    </row>
    <row r="3687" spans="1:9" x14ac:dyDescent="0.4">
      <c r="A3687" t="str">
        <f>"中国短期大学紀要"</f>
        <v>中国短期大学紀要</v>
      </c>
      <c r="B3687" s="1" t="str">
        <f t="shared" si="193"/>
        <v>中国短期大学紀要</v>
      </c>
      <c r="C3687" t="str">
        <f>"チュウゴク　タンキ　ダイガク　キヨウ"</f>
        <v>チュウゴク　タンキ　ダイガク　キヨウ</v>
      </c>
      <c r="D3687" t="str">
        <f>"中国短期大学"</f>
        <v>中国短期大学</v>
      </c>
      <c r="E3687" t="str">
        <f>"チュウゴク タンキ ダイガク"</f>
        <v>チュウゴク タンキ ダイガク</v>
      </c>
      <c r="F3687" t="str">
        <f>"岡山"</f>
        <v>岡山</v>
      </c>
      <c r="G3687" t="str">
        <f>"年刊"</f>
        <v>年刊</v>
      </c>
      <c r="H3687" t="str">
        <f>"2002222294461"</f>
        <v>2002222294461</v>
      </c>
      <c r="I3687" t="str">
        <f>HYPERLINK("#", "https://opac.libnet.pref.okayama.jp/licsxp-opac/WOpacMsgNewListToTifTilDetailAction.do?tilcod=2002222294461")</f>
        <v>https://opac.libnet.pref.okayama.jp/licsxp-opac/WOpacMsgNewListToTifTilDetailAction.do?tilcod=2002222294461</v>
      </c>
    </row>
    <row r="3688" spans="1:9" x14ac:dyDescent="0.4">
      <c r="A3688" t="str">
        <f>"中国之養蜂"</f>
        <v>中国之養蜂</v>
      </c>
      <c r="B3688" s="1" t="str">
        <f t="shared" si="193"/>
        <v>中国之養蜂</v>
      </c>
      <c r="C3688" t="str">
        <f>"チュウゴク　ノ　ヨウホウ"</f>
        <v>チュウゴク　ノ　ヨウホウ</v>
      </c>
      <c r="D3688" t="str">
        <f>"中国養蜂協会岡山支部"</f>
        <v>中国養蜂協会岡山支部</v>
      </c>
      <c r="E3688" t="str">
        <f>"チュウゴクヨウホウキョウカイオカヤマシブ"</f>
        <v>チュウゴクヨウホウキョウカイオカヤマシブ</v>
      </c>
      <c r="F3688" t="str">
        <f>"岡山"</f>
        <v>岡山</v>
      </c>
      <c r="G3688" t="str">
        <f t="shared" ref="G3688:G3693" si="194">"頻度不明"</f>
        <v>頻度不明</v>
      </c>
      <c r="H3688" t="str">
        <f>"2002222276722"</f>
        <v>2002222276722</v>
      </c>
      <c r="I3688" t="str">
        <f>HYPERLINK("#", "https://opac.libnet.pref.okayama.jp/licsxp-opac/WOpacMsgNewListToTifTilDetailAction.do?tilcod=2002222276722")</f>
        <v>https://opac.libnet.pref.okayama.jp/licsxp-opac/WOpacMsgNewListToTifTilDetailAction.do?tilcod=2002222276722</v>
      </c>
    </row>
    <row r="3689" spans="1:9" x14ac:dyDescent="0.4">
      <c r="A3689" t="str">
        <f>"中国農業研究"</f>
        <v>中国農業研究</v>
      </c>
      <c r="B3689" s="1" t="str">
        <f t="shared" si="193"/>
        <v>中国農業研究</v>
      </c>
      <c r="C3689" t="str">
        <f>"チュウゴク　ノウギョウ　ケンキュウ"</f>
        <v>チュウゴク　ノウギョウ　ケンキュウ</v>
      </c>
      <c r="D3689" t="str">
        <f>"中国農業研究協議会"</f>
        <v>中国農業研究協議会</v>
      </c>
      <c r="E3689" t="str">
        <f>"チュウゴクノウギョウケンキュウキョウギカイ"</f>
        <v>チュウゴクノウギョウケンキュウキョウギカイ</v>
      </c>
      <c r="F3689" t="str">
        <f>"福山"</f>
        <v>福山</v>
      </c>
      <c r="G3689" t="str">
        <f t="shared" si="194"/>
        <v>頻度不明</v>
      </c>
      <c r="H3689" t="str">
        <f>"2002222301517"</f>
        <v>2002222301517</v>
      </c>
      <c r="I3689" t="str">
        <f>HYPERLINK("#", "https://opac.libnet.pref.okayama.jp/licsxp-opac/WOpacMsgNewListToTifTilDetailAction.do?tilcod=2002222301517")</f>
        <v>https://opac.libnet.pref.okayama.jp/licsxp-opac/WOpacMsgNewListToTifTilDetailAction.do?tilcod=2002222301517</v>
      </c>
    </row>
    <row r="3690" spans="1:9" x14ac:dyDescent="0.4">
      <c r="A3690" t="str">
        <f>"中国評論"</f>
        <v>中国評論</v>
      </c>
      <c r="B3690" s="1" t="str">
        <f t="shared" si="193"/>
        <v>中国評論</v>
      </c>
      <c r="C3690" t="str">
        <f>"チュウゴク　ヒョウロン"</f>
        <v>チュウゴク　ヒョウロン</v>
      </c>
      <c r="D3690" t="str">
        <f>"中国評論社"</f>
        <v>中国評論社</v>
      </c>
      <c r="E3690" t="str">
        <f>"チュウゴクヒョウロンシャ"</f>
        <v>チュウゴクヒョウロンシャ</v>
      </c>
      <c r="F3690" t="str">
        <f>""</f>
        <v/>
      </c>
      <c r="G3690" t="str">
        <f t="shared" si="194"/>
        <v>頻度不明</v>
      </c>
      <c r="H3690" t="str">
        <f>"2002222284373"</f>
        <v>2002222284373</v>
      </c>
      <c r="I3690" t="str">
        <f>HYPERLINK("#", "https://opac.libnet.pref.okayama.jp/licsxp-opac/WOpacMsgNewListToTifTilDetailAction.do?tilcod=2002222284373")</f>
        <v>https://opac.libnet.pref.okayama.jp/licsxp-opac/WOpacMsgNewListToTifTilDetailAction.do?tilcod=2002222284373</v>
      </c>
    </row>
    <row r="3691" spans="1:9" x14ac:dyDescent="0.4">
      <c r="A3691" t="str">
        <f>"中国婦人新聞；中国民報付録"</f>
        <v>中国婦人新聞；中国民報付録</v>
      </c>
      <c r="B3691" s="1" t="str">
        <f t="shared" si="193"/>
        <v>中国婦人新聞；中国民報付録</v>
      </c>
      <c r="C3691" t="str">
        <f>"チュウゴク　フジン　シンブン＊チュウゴク　ミンポウ　フロク"</f>
        <v>チュウゴク　フジン　シンブン＊チュウゴク　ミンポウ　フロク</v>
      </c>
      <c r="D3691" t="str">
        <f>"中国民報社"</f>
        <v>中国民報社</v>
      </c>
      <c r="E3691" t="str">
        <f>"チュウゴク ミンポウシャ"</f>
        <v>チュウゴク ミンポウシャ</v>
      </c>
      <c r="F3691" t="str">
        <f>"岡山"</f>
        <v>岡山</v>
      </c>
      <c r="G3691" t="str">
        <f t="shared" si="194"/>
        <v>頻度不明</v>
      </c>
      <c r="H3691" t="str">
        <f>"2002222301007"</f>
        <v>2002222301007</v>
      </c>
      <c r="I3691" t="str">
        <f>HYPERLINK("#", "https://opac.libnet.pref.okayama.jp/licsxp-opac/WOpacMsgNewListToTifTilDetailAction.do?tilcod=2002222301007")</f>
        <v>https://opac.libnet.pref.okayama.jp/licsxp-opac/WOpacMsgNewListToTifTilDetailAction.do?tilcod=2002222301007</v>
      </c>
    </row>
    <row r="3692" spans="1:9" x14ac:dyDescent="0.4">
      <c r="A3692" t="str">
        <f>"中国文芸"</f>
        <v>中国文芸</v>
      </c>
      <c r="B3692" s="1" t="str">
        <f t="shared" si="193"/>
        <v>中国文芸</v>
      </c>
      <c r="C3692" t="str">
        <f>"チュウゴク　ブンゲイ"</f>
        <v>チュウゴク　ブンゲイ</v>
      </c>
      <c r="D3692" t="str">
        <f>"中国冠句会"</f>
        <v>中国冠句会</v>
      </c>
      <c r="E3692" t="str">
        <f>"チュウゴクカンクカイ"</f>
        <v>チュウゴクカンクカイ</v>
      </c>
      <c r="F3692" t="str">
        <f>""</f>
        <v/>
      </c>
      <c r="G3692" t="str">
        <f t="shared" si="194"/>
        <v>頻度不明</v>
      </c>
      <c r="H3692" t="str">
        <f>"2002222284383"</f>
        <v>2002222284383</v>
      </c>
      <c r="I3692" t="str">
        <f>HYPERLINK("#", "https://opac.libnet.pref.okayama.jp/licsxp-opac/WOpacMsgNewListToTifTilDetailAction.do?tilcod=2002222284383")</f>
        <v>https://opac.libnet.pref.okayama.jp/licsxp-opac/WOpacMsgNewListToTifTilDetailAction.do?tilcod=2002222284383</v>
      </c>
    </row>
    <row r="3693" spans="1:9" x14ac:dyDescent="0.4">
      <c r="A3693" t="str">
        <f>"中国民俗研究"</f>
        <v>中国民俗研究</v>
      </c>
      <c r="B3693" s="1" t="str">
        <f t="shared" si="193"/>
        <v>中国民俗研究</v>
      </c>
      <c r="C3693" t="str">
        <f>"チュウゴク　ミンゾク　ケンキュウ"</f>
        <v>チュウゴク　ミンゾク　ケンキュウ</v>
      </c>
      <c r="D3693" t="str">
        <f>"中国民俗学会"</f>
        <v>中国民俗学会</v>
      </c>
      <c r="E3693" t="str">
        <f>"チュウゴクミンゾクガッカイ"</f>
        <v>チュウゴクミンゾクガッカイ</v>
      </c>
      <c r="F3693" t="str">
        <f>""</f>
        <v/>
      </c>
      <c r="G3693" t="str">
        <f t="shared" si="194"/>
        <v>頻度不明</v>
      </c>
      <c r="H3693" t="str">
        <f>"2002222284393"</f>
        <v>2002222284393</v>
      </c>
      <c r="I3693" t="str">
        <f>HYPERLINK("#", "https://opac.libnet.pref.okayama.jp/licsxp-opac/WOpacMsgNewListToTifTilDetailAction.do?tilcod=2002222284393")</f>
        <v>https://opac.libnet.pref.okayama.jp/licsxp-opac/WOpacMsgNewListToTifTilDetailAction.do?tilcod=2002222284393</v>
      </c>
    </row>
    <row r="3694" spans="1:9" x14ac:dyDescent="0.4">
      <c r="A3694" t="str">
        <f>"中国民報"</f>
        <v>中国民報</v>
      </c>
      <c r="B3694" s="1" t="str">
        <f t="shared" si="193"/>
        <v>中国民報</v>
      </c>
      <c r="C3694" t="str">
        <f>"チュウゴク ミンポウ"</f>
        <v>チュウゴク ミンポウ</v>
      </c>
      <c r="D3694" t="str">
        <f>"中国民報社"</f>
        <v>中国民報社</v>
      </c>
      <c r="E3694" t="str">
        <f>"チュウゴク ミンポウシャ"</f>
        <v>チュウゴク ミンポウシャ</v>
      </c>
      <c r="F3694" t="str">
        <f>"笠岡"</f>
        <v>笠岡</v>
      </c>
      <c r="G3694" t="str">
        <f>"週刊"</f>
        <v>週刊</v>
      </c>
      <c r="H3694" t="str">
        <f>"2002222335627"</f>
        <v>2002222335627</v>
      </c>
      <c r="I3694" t="str">
        <f>HYPERLINK("#", "https://opac.libnet.pref.okayama.jp/licsxp-opac/WOpacMsgNewListToTifTilDetailAction.do?tilcod=2002222335627")</f>
        <v>https://opac.libnet.pref.okayama.jp/licsxp-opac/WOpacMsgNewListToTifTilDetailAction.do?tilcod=2002222335627</v>
      </c>
    </row>
    <row r="3695" spans="1:9" x14ac:dyDescent="0.4">
      <c r="A3695" t="str">
        <f>"中国民報〔岡山県立記録資料館からの複製資料〕"</f>
        <v>中国民報〔岡山県立記録資料館からの複製資料〕</v>
      </c>
      <c r="B3695" s="1" t="str">
        <f t="shared" si="193"/>
        <v>中国民報〔岡山県立記録資料館からの複製資料〕</v>
      </c>
      <c r="C3695" t="str">
        <f>"チュウゴク　ミンポウ"</f>
        <v>チュウゴク　ミンポウ</v>
      </c>
      <c r="D3695" t="str">
        <f>"中国民報社"</f>
        <v>中国民報社</v>
      </c>
      <c r="E3695" t="str">
        <f>"チュウゴク ミンポウシャ"</f>
        <v>チュウゴク ミンポウシャ</v>
      </c>
      <c r="F3695" t="str">
        <f>"岡山"</f>
        <v>岡山</v>
      </c>
      <c r="G3695" t="str">
        <f>"日刊"</f>
        <v>日刊</v>
      </c>
      <c r="H3695" t="str">
        <f>"2002222301756"</f>
        <v>2002222301756</v>
      </c>
      <c r="I3695" t="str">
        <f>HYPERLINK("#", "https://opac.libnet.pref.okayama.jp/licsxp-opac/WOpacMsgNewListToTifTilDetailAction.do?tilcod=2002222301756")</f>
        <v>https://opac.libnet.pref.okayama.jp/licsxp-opac/WOpacMsgNewListToTifTilDetailAction.do?tilcod=2002222301756</v>
      </c>
    </row>
    <row r="3696" spans="1:9" x14ac:dyDescent="0.4">
      <c r="A3696" t="str">
        <f>"中国民報"</f>
        <v>中国民報</v>
      </c>
      <c r="B3696" s="1" t="str">
        <f t="shared" si="193"/>
        <v>中国民報</v>
      </c>
      <c r="C3696" t="str">
        <f>"チュウゴク ミンポウ"</f>
        <v>チュウゴク ミンポウ</v>
      </c>
      <c r="D3696" t="str">
        <f>"中国民報社"</f>
        <v>中国民報社</v>
      </c>
      <c r="E3696" t="str">
        <f>"チュウゴク ミンポウシャ"</f>
        <v>チュウゴク ミンポウシャ</v>
      </c>
      <c r="F3696" t="str">
        <f>"岡山"</f>
        <v>岡山</v>
      </c>
      <c r="G3696" t="str">
        <f>"日刊"</f>
        <v>日刊</v>
      </c>
      <c r="H3696" t="str">
        <f>"2002222301008"</f>
        <v>2002222301008</v>
      </c>
      <c r="I3696" t="str">
        <f>HYPERLINK("#", "https://opac.libnet.pref.okayama.jp/licsxp-opac/WOpacMsgNewListToTifTilDetailAction.do?tilcod=2002222301008")</f>
        <v>https://opac.libnet.pref.okayama.jp/licsxp-opac/WOpacMsgNewListToTifTilDetailAction.do?tilcod=2002222301008</v>
      </c>
    </row>
    <row r="3697" spans="1:9" x14ac:dyDescent="0.4">
      <c r="A3697" t="str">
        <f>"中国民報　号外"</f>
        <v>中国民報　号外</v>
      </c>
      <c r="B3697" s="1" t="str">
        <f t="shared" si="193"/>
        <v>中国民報　号外</v>
      </c>
      <c r="C3697" t="str">
        <f>"チュウゴク　ミンポウ　ゴウガイ　"</f>
        <v>チュウゴク　ミンポウ　ゴウガイ　</v>
      </c>
      <c r="D3697" t="str">
        <f>"中国民報社"</f>
        <v>中国民報社</v>
      </c>
      <c r="E3697" t="str">
        <f>"チュウゴク ミンポウシャ"</f>
        <v>チュウゴク ミンポウシャ</v>
      </c>
      <c r="F3697" t="str">
        <f>"岡山"</f>
        <v>岡山</v>
      </c>
      <c r="G3697" t="str">
        <f>"頻度不明"</f>
        <v>頻度不明</v>
      </c>
      <c r="H3697" t="str">
        <f>"2002222301009"</f>
        <v>2002222301009</v>
      </c>
      <c r="I3697" t="str">
        <f>HYPERLINK("#", "https://opac.libnet.pref.okayama.jp/licsxp-opac/WOpacMsgNewListToTifTilDetailAction.do?tilcod=2002222301009")</f>
        <v>https://opac.libnet.pref.okayama.jp/licsxp-opac/WOpacMsgNewListToTifTilDetailAction.do?tilcod=2002222301009</v>
      </c>
    </row>
    <row r="3698" spans="1:9" x14ac:dyDescent="0.4">
      <c r="A3698" t="str">
        <f>"中国用対連"</f>
        <v>中国用対連</v>
      </c>
      <c r="B3698" s="1" t="str">
        <f t="shared" si="193"/>
        <v>中国用対連</v>
      </c>
      <c r="C3698" t="str">
        <f>"チュウゴク　ヨウタイレン"</f>
        <v>チュウゴク　ヨウタイレン</v>
      </c>
      <c r="D3698" t="str">
        <f>"中国地区用地対策連絡会"</f>
        <v>中国地区用地対策連絡会</v>
      </c>
      <c r="E3698" t="str">
        <f>"チュウゴクチクヨウチタイサクレンラクカイ"</f>
        <v>チュウゴクチクヨウチタイサクレンラクカイ</v>
      </c>
      <c r="F3698" t="str">
        <f>""</f>
        <v/>
      </c>
      <c r="G3698" t="str">
        <f>"頻度不明"</f>
        <v>頻度不明</v>
      </c>
      <c r="H3698" t="str">
        <f>"2002222284403"</f>
        <v>2002222284403</v>
      </c>
      <c r="I3698" t="str">
        <f>HYPERLINK("#", "https://opac.libnet.pref.okayama.jp/licsxp-opac/WOpacMsgNewListToTifTilDetailAction.do?tilcod=2002222284403")</f>
        <v>https://opac.libnet.pref.okayama.jp/licsxp-opac/WOpacMsgNewListToTifTilDetailAction.do?tilcod=2002222284403</v>
      </c>
    </row>
    <row r="3699" spans="1:9" x14ac:dyDescent="0.4">
      <c r="A3699" t="str">
        <f>"中山；中山中学校生徒会誌"</f>
        <v>中山；中山中学校生徒会誌</v>
      </c>
      <c r="B3699" s="1" t="str">
        <f t="shared" si="193"/>
        <v>中山；中山中学校生徒会誌</v>
      </c>
      <c r="C3699" t="str">
        <f>"チュウザン＊チュウザン　チュウガッコウ　セイトカイシ"</f>
        <v>チュウザン＊チュウザン　チュウガッコウ　セイトカイシ</v>
      </c>
      <c r="D3699" t="str">
        <f>"岡山市立中山中学校"</f>
        <v>岡山市立中山中学校</v>
      </c>
      <c r="E3699" t="str">
        <f>"オカヤマシリツ チュウザン チュウガッコウ"</f>
        <v>オカヤマシリツ チュウザン チュウガッコウ</v>
      </c>
      <c r="F3699" t="str">
        <f>"岡山"</f>
        <v>岡山</v>
      </c>
      <c r="G3699" t="str">
        <f>"年刊"</f>
        <v>年刊</v>
      </c>
      <c r="H3699" t="str">
        <f>"2002222301737"</f>
        <v>2002222301737</v>
      </c>
      <c r="I3699" t="str">
        <f>HYPERLINK("#", "https://opac.libnet.pref.okayama.jp/licsxp-opac/WOpacMsgNewListToTifTilDetailAction.do?tilcod=2002222301737")</f>
        <v>https://opac.libnet.pref.okayama.jp/licsxp-opac/WOpacMsgNewListToTifTilDetailAction.do?tilcod=2002222301737</v>
      </c>
    </row>
    <row r="3700" spans="1:9" x14ac:dyDescent="0.4">
      <c r="A3700" t="str">
        <f>"中小企業岡山"</f>
        <v>中小企業岡山</v>
      </c>
      <c r="B3700" s="1" t="str">
        <f t="shared" si="193"/>
        <v>中小企業岡山</v>
      </c>
      <c r="C3700" t="str">
        <f>"チュウショウ　キギョウ　オカヤマ"</f>
        <v>チュウショウ　キギョウ　オカヤマ</v>
      </c>
      <c r="D3700" t="str">
        <f>"岡山県中小企業団体中央会"</f>
        <v>岡山県中小企業団体中央会</v>
      </c>
      <c r="E3700" t="str">
        <f>"オカヤマケン チュウショウ キギョウ ダンタイ チュウオウカイ"</f>
        <v>オカヤマケン チュウショウ キギョウ ダンタイ チュウオウカイ</v>
      </c>
      <c r="F3700" t="str">
        <f>"岡山"</f>
        <v>岡山</v>
      </c>
      <c r="G3700" t="str">
        <f>"月刊"</f>
        <v>月刊</v>
      </c>
      <c r="H3700" t="str">
        <f>"2002222284413"</f>
        <v>2002222284413</v>
      </c>
      <c r="I3700" t="str">
        <f>HYPERLINK("#", "https://opac.libnet.pref.okayama.jp/licsxp-opac/WOpacMsgNewListToTifTilDetailAction.do?tilcod=2002222284413")</f>
        <v>https://opac.libnet.pref.okayama.jp/licsxp-opac/WOpacMsgNewListToTifTilDetailAction.do?tilcod=2002222284413</v>
      </c>
    </row>
    <row r="3701" spans="1:9" x14ac:dyDescent="0.4">
      <c r="A3701" t="str">
        <f>"中世文学研究"</f>
        <v>中世文学研究</v>
      </c>
      <c r="B3701" s="1" t="str">
        <f t="shared" si="193"/>
        <v>中世文学研究</v>
      </c>
      <c r="C3701" t="str">
        <f>"チュウセイ　ブンガク　ケンキュウ"</f>
        <v>チュウセイ　ブンガク　ケンキュウ</v>
      </c>
      <c r="D3701" t="str">
        <f>"中四国中世文学研究会"</f>
        <v>中四国中世文学研究会</v>
      </c>
      <c r="E3701" t="str">
        <f>"チュウシコクチュウセインガクケンキュウカイ"</f>
        <v>チュウシコクチュウセインガクケンキュウカイ</v>
      </c>
      <c r="F3701" t="str">
        <f>"岡山"</f>
        <v>岡山</v>
      </c>
      <c r="G3701" t="str">
        <f>"年刊"</f>
        <v>年刊</v>
      </c>
      <c r="H3701" t="str">
        <f>"2002222301723"</f>
        <v>2002222301723</v>
      </c>
      <c r="I3701" t="str">
        <f>HYPERLINK("#", "https://opac.libnet.pref.okayama.jp/licsxp-opac/WOpacMsgNewListToTifTilDetailAction.do?tilcod=2002222301723")</f>
        <v>https://opac.libnet.pref.okayama.jp/licsxp-opac/WOpacMsgNewListToTifTilDetailAction.do?tilcod=2002222301723</v>
      </c>
    </row>
    <row r="3702" spans="1:9" x14ac:dyDescent="0.4">
      <c r="A3702" t="str">
        <f>"中鉄観光ニュース"</f>
        <v>中鉄観光ニュース</v>
      </c>
      <c r="B3702" s="1" t="str">
        <f t="shared" si="193"/>
        <v>中鉄観光ニュース</v>
      </c>
      <c r="C3702" t="str">
        <f>"チュウテツ　カンコウ　ニュース"</f>
        <v>チュウテツ　カンコウ　ニュース</v>
      </c>
      <c r="D3702" t="str">
        <f>"中国鉄道"</f>
        <v>中国鉄道</v>
      </c>
      <c r="E3702" t="str">
        <f>"チュウゴク テツドウ"</f>
        <v>チュウゴク テツドウ</v>
      </c>
      <c r="F3702" t="str">
        <f>""</f>
        <v/>
      </c>
      <c r="G3702" t="str">
        <f>"頻度不明"</f>
        <v>頻度不明</v>
      </c>
      <c r="H3702" t="str">
        <f>"2002222284423"</f>
        <v>2002222284423</v>
      </c>
      <c r="I3702" t="str">
        <f>HYPERLINK("#", "https://opac.libnet.pref.okayama.jp/licsxp-opac/WOpacMsgNewListToTifTilDetailAction.do?tilcod=2002222284423")</f>
        <v>https://opac.libnet.pref.okayama.jp/licsxp-opac/WOpacMsgNewListToTifTilDetailAction.do?tilcod=2002222284423</v>
      </c>
    </row>
    <row r="3703" spans="1:9" x14ac:dyDescent="0.4">
      <c r="A3703" t="str">
        <f>"中備時報"</f>
        <v>中備時報</v>
      </c>
      <c r="B3703" s="1" t="str">
        <f t="shared" si="193"/>
        <v>中備時報</v>
      </c>
      <c r="C3703" t="str">
        <f>"チュウビ　ジホウ"</f>
        <v>チュウビ　ジホウ</v>
      </c>
      <c r="D3703" t="str">
        <f>"中備時報社"</f>
        <v>中備時報社</v>
      </c>
      <c r="E3703" t="str">
        <f>"チュウビジホウシャ"</f>
        <v>チュウビジホウシャ</v>
      </c>
      <c r="F3703" t="str">
        <f>"井原町（後月郡）"</f>
        <v>井原町（後月郡）</v>
      </c>
      <c r="G3703" t="str">
        <f>"月２回刊"</f>
        <v>月２回刊</v>
      </c>
      <c r="H3703" t="str">
        <f>"2002222301010"</f>
        <v>2002222301010</v>
      </c>
      <c r="I3703" t="str">
        <f>HYPERLINK("#", "https://opac.libnet.pref.okayama.jp/licsxp-opac/WOpacMsgNewListToTifTilDetailAction.do?tilcod=2002222301010")</f>
        <v>https://opac.libnet.pref.okayama.jp/licsxp-opac/WOpacMsgNewListToTifTilDetailAction.do?tilcod=2002222301010</v>
      </c>
    </row>
    <row r="3704" spans="1:9" x14ac:dyDescent="0.4">
      <c r="A3704" t="str">
        <f>"中備新聞"</f>
        <v>中備新聞</v>
      </c>
      <c r="B3704" s="1" t="str">
        <f t="shared" si="193"/>
        <v>中備新聞</v>
      </c>
      <c r="C3704" t="str">
        <f>"チュウビ　シンブン"</f>
        <v>チュウビ　シンブン</v>
      </c>
      <c r="D3704" t="str">
        <f>"中備新聞社"</f>
        <v>中備新聞社</v>
      </c>
      <c r="E3704" t="str">
        <f>"チュウビ シンブンシャ"</f>
        <v>チュウビ シンブンシャ</v>
      </c>
      <c r="F3704" t="str">
        <f>"岡山"</f>
        <v>岡山</v>
      </c>
      <c r="G3704" t="str">
        <f>"旬刊"</f>
        <v>旬刊</v>
      </c>
      <c r="H3704" t="str">
        <f>"2002222300945"</f>
        <v>2002222300945</v>
      </c>
      <c r="I3704" t="str">
        <f>HYPERLINK("#", "https://opac.libnet.pref.okayama.jp/licsxp-opac/WOpacMsgNewListToTifTilDetailAction.do?tilcod=2002222300945")</f>
        <v>https://opac.libnet.pref.okayama.jp/licsxp-opac/WOpacMsgNewListToTifTilDetailAction.do?tilcod=2002222300945</v>
      </c>
    </row>
    <row r="3705" spans="1:9" x14ac:dyDescent="0.4">
      <c r="A3705" t="str">
        <f>"食活（チョイス）おかやま Choice News（チョイスニュース）"</f>
        <v>食活（チョイス）おかやま Choice News（チョイスニュース）</v>
      </c>
      <c r="B3705" s="1" t="str">
        <f t="shared" si="193"/>
        <v>食活（チョイス）おかやま Choice News（チョイスニュース）</v>
      </c>
      <c r="C3705" t="str">
        <f>"チョイス オカヤマ チョイス ニュース"</f>
        <v>チョイス オカヤマ チョイス ニュース</v>
      </c>
      <c r="D3705" t="str">
        <f>"岡山県保健福祉部医療推進課"</f>
        <v>岡山県保健福祉部医療推進課</v>
      </c>
      <c r="E3705" t="str">
        <f>"オカヤマケン ホケン フクシブ イリョウ スイシンカ"</f>
        <v>オカヤマケン ホケン フクシブ イリョウ スイシンカ</v>
      </c>
      <c r="F3705" t="str">
        <f>"岡山"</f>
        <v>岡山</v>
      </c>
      <c r="G3705" t="str">
        <f>"頻度不明"</f>
        <v>頻度不明</v>
      </c>
      <c r="H3705" t="str">
        <f>"2002222336770"</f>
        <v>2002222336770</v>
      </c>
      <c r="I3705" t="str">
        <f>HYPERLINK("#", "https://opac.libnet.pref.okayama.jp/licsxp-opac/WOpacMsgNewListToTifTilDetailAction.do?tilcod=2002222336770")</f>
        <v>https://opac.libnet.pref.okayama.jp/licsxp-opac/WOpacMsgNewListToTifTilDetailAction.do?tilcod=2002222336770</v>
      </c>
    </row>
    <row r="3706" spans="1:9" x14ac:dyDescent="0.4">
      <c r="A3706" t="str">
        <f>"調査と研究"</f>
        <v>調査と研究</v>
      </c>
      <c r="B3706" s="1" t="str">
        <f t="shared" si="193"/>
        <v>調査と研究</v>
      </c>
      <c r="C3706" t="str">
        <f>"チョウサ　ト　ケンキュウ"</f>
        <v>チョウサ　ト　ケンキュウ</v>
      </c>
      <c r="D3706" t="str">
        <f>"部落問題調査研究会"</f>
        <v>部落問題調査研究会</v>
      </c>
      <c r="E3706" t="str">
        <f>"ブラク モンダイ チョウサ ケンキュウカイ"</f>
        <v>ブラク モンダイ チョウサ ケンキュウカイ</v>
      </c>
      <c r="F3706" t="str">
        <f>"岡山"</f>
        <v>岡山</v>
      </c>
      <c r="G3706" t="str">
        <f>"頻度不明"</f>
        <v>頻度不明</v>
      </c>
      <c r="H3706" t="str">
        <f>"2002222284443"</f>
        <v>2002222284443</v>
      </c>
      <c r="I3706" t="str">
        <f>HYPERLINK("#", "https://opac.libnet.pref.okayama.jp/licsxp-opac/WOpacMsgNewListToTifTilDetailAction.do?tilcod=2002222284443")</f>
        <v>https://opac.libnet.pref.okayama.jp/licsxp-opac/WOpacMsgNewListToTifTilDetailAction.do?tilcod=2002222284443</v>
      </c>
    </row>
    <row r="3707" spans="1:9" x14ac:dyDescent="0.4">
      <c r="A3707" t="str">
        <f>"長寿万歳"</f>
        <v>長寿万歳</v>
      </c>
      <c r="B3707" s="1" t="str">
        <f t="shared" si="193"/>
        <v>長寿万歳</v>
      </c>
      <c r="C3707" t="str">
        <f>"チヨウジユ　バンザイ"</f>
        <v>チヨウジユ　バンザイ</v>
      </c>
      <c r="D3707" t="str">
        <f>"中央町老人クラブ連合会"</f>
        <v>中央町老人クラブ連合会</v>
      </c>
      <c r="E3707" t="str">
        <f>"チユウオウチヨウロウジンクラブレンゴウカイ"</f>
        <v>チユウオウチヨウロウジンクラブレンゴウカイ</v>
      </c>
      <c r="F3707" t="str">
        <f>"久米郡中央町"</f>
        <v>久米郡中央町</v>
      </c>
      <c r="G3707" t="str">
        <f>"頻度不明"</f>
        <v>頻度不明</v>
      </c>
      <c r="H3707" t="str">
        <f>"2002222293741"</f>
        <v>2002222293741</v>
      </c>
      <c r="I3707" t="str">
        <f>HYPERLINK("#", "https://opac.libnet.pref.okayama.jp/licsxp-opac/WOpacMsgNewListToTifTilDetailAction.do?tilcod=2002222293741")</f>
        <v>https://opac.libnet.pref.okayama.jp/licsxp-opac/WOpacMsgNewListToTifTilDetailAction.do?tilcod=2002222293741</v>
      </c>
    </row>
    <row r="3708" spans="1:9" x14ac:dyDescent="0.4">
      <c r="A3708" t="str">
        <f>"町長室から「お元気ですか」"</f>
        <v>町長室から「お元気ですか」</v>
      </c>
      <c r="B3708" s="1" t="str">
        <f t="shared" si="193"/>
        <v>町長室から「お元気ですか」</v>
      </c>
      <c r="C3708" t="str">
        <f>"チョウチョウシツ　カラ　オゲンキ　デスカ"</f>
        <v>チョウチョウシツ　カラ　オゲンキ　デスカ</v>
      </c>
      <c r="D3708" t="str">
        <f>"佐伯町"</f>
        <v>佐伯町</v>
      </c>
      <c r="E3708" t="str">
        <f>"サエキチョウ"</f>
        <v>サエキチョウ</v>
      </c>
      <c r="F3708" t="str">
        <f>"佐伯町（和気郡）"</f>
        <v>佐伯町（和気郡）</v>
      </c>
      <c r="G3708" t="str">
        <f>"月刊"</f>
        <v>月刊</v>
      </c>
      <c r="H3708" t="str">
        <f>"2002222300384"</f>
        <v>2002222300384</v>
      </c>
      <c r="I3708" t="str">
        <f>HYPERLINK("#", "https://opac.libnet.pref.okayama.jp/licsxp-opac/WOpacMsgNewListToTifTilDetailAction.do?tilcod=2002222300384")</f>
        <v>https://opac.libnet.pref.okayama.jp/licsxp-opac/WOpacMsgNewListToTifTilDetailAction.do?tilcod=2002222300384</v>
      </c>
    </row>
    <row r="3709" spans="1:9" x14ac:dyDescent="0.4">
      <c r="A3709" t="str">
        <f>"町長室から　御津町長　安信治雄"</f>
        <v>町長室から　御津町長　安信治雄</v>
      </c>
      <c r="B3709" s="1" t="str">
        <f t="shared" si="193"/>
        <v>町長室から　御津町長　安信治雄</v>
      </c>
      <c r="C3709" t="str">
        <f>"チョウチョウシツ　カラ　ミツチョウチョウ　ヤスノブ　ハルオ"</f>
        <v>チョウチョウシツ　カラ　ミツチョウチョウ　ヤスノブ　ハルオ</v>
      </c>
      <c r="D3709" t="str">
        <f>"御津町"</f>
        <v>御津町</v>
      </c>
      <c r="E3709" t="str">
        <f>"ミツチョウ"</f>
        <v>ミツチョウ</v>
      </c>
      <c r="F3709" t="str">
        <f>"御津町（御津郡）"</f>
        <v>御津町（御津郡）</v>
      </c>
      <c r="G3709" t="str">
        <f>"頻度不明"</f>
        <v>頻度不明</v>
      </c>
      <c r="H3709" t="str">
        <f>"2002222284371"</f>
        <v>2002222284371</v>
      </c>
      <c r="I3709" t="str">
        <f>HYPERLINK("#", "https://opac.libnet.pref.okayama.jp/licsxp-opac/WOpacMsgNewListToTifTilDetailAction.do?tilcod=2002222284371")</f>
        <v>https://opac.libnet.pref.okayama.jp/licsxp-opac/WOpacMsgNewListToTifTilDetailAction.do?tilcod=2002222284371</v>
      </c>
    </row>
    <row r="3710" spans="1:9" x14ac:dyDescent="0.4">
      <c r="A3710" t="str">
        <f>"庁内紙ふれあい"</f>
        <v>庁内紙ふれあい</v>
      </c>
      <c r="B3710" s="1" t="str">
        <f t="shared" si="193"/>
        <v>庁内紙ふれあい</v>
      </c>
      <c r="C3710" t="str">
        <f>"チョウナイ　シフレアイ"</f>
        <v>チョウナイ　シフレアイ</v>
      </c>
      <c r="D3710" t="str">
        <f>"倉敷市総務部総務課"</f>
        <v>倉敷市総務部総務課</v>
      </c>
      <c r="E3710" t="str">
        <f>"クラシキシソウムブソウムカ"</f>
        <v>クラシキシソウムブソウムカ</v>
      </c>
      <c r="F3710" t="str">
        <f>"倉敷"</f>
        <v>倉敷</v>
      </c>
      <c r="G3710" t="str">
        <f>"隔月刊"</f>
        <v>隔月刊</v>
      </c>
      <c r="H3710" t="str">
        <f>"2002222301298"</f>
        <v>2002222301298</v>
      </c>
      <c r="I3710" t="str">
        <f>HYPERLINK("#", "https://opac.libnet.pref.okayama.jp/licsxp-opac/WOpacMsgNewListToTifTilDetailAction.do?tilcod=2002222301298")</f>
        <v>https://opac.libnet.pref.okayama.jp/licsxp-opac/WOpacMsgNewListToTifTilDetailAction.do?tilcod=2002222301298</v>
      </c>
    </row>
    <row r="3711" spans="1:9" x14ac:dyDescent="0.4">
      <c r="A3711" t="str">
        <f>"庁内だより"</f>
        <v>庁内だより</v>
      </c>
      <c r="B3711" s="1" t="str">
        <f t="shared" si="193"/>
        <v>庁内だより</v>
      </c>
      <c r="C3711" t="str">
        <f>"チョウナイ　ダヨリ"</f>
        <v>チョウナイ　ダヨリ</v>
      </c>
      <c r="D3711" t="str">
        <f>"岡山市広報課"</f>
        <v>岡山市広報課</v>
      </c>
      <c r="E3711" t="str">
        <f>"オカヤマシコウホウカ"</f>
        <v>オカヤマシコウホウカ</v>
      </c>
      <c r="F3711" t="str">
        <f>""</f>
        <v/>
      </c>
      <c r="G3711" t="str">
        <f>"頻度不明"</f>
        <v>頻度不明</v>
      </c>
      <c r="H3711" t="str">
        <f>"2002222280654"</f>
        <v>2002222280654</v>
      </c>
      <c r="I3711" t="str">
        <f>HYPERLINK("#", "https://opac.libnet.pref.okayama.jp/licsxp-opac/WOpacMsgNewListToTifTilDetailAction.do?tilcod=2002222280654")</f>
        <v>https://opac.libnet.pref.okayama.jp/licsxp-opac/WOpacMsgNewListToTifTilDetailAction.do?tilcod=2002222280654</v>
      </c>
    </row>
    <row r="3712" spans="1:9" x14ac:dyDescent="0.4">
      <c r="A3712" t="str">
        <f>"町報大佐"</f>
        <v>町報大佐</v>
      </c>
      <c r="B3712" s="1" t="str">
        <f t="shared" si="193"/>
        <v>町報大佐</v>
      </c>
      <c r="C3712" t="str">
        <f>"チョウホウ　オオサ"</f>
        <v>チョウホウ　オオサ</v>
      </c>
      <c r="D3712" t="str">
        <f>"大佐町"</f>
        <v>大佐町</v>
      </c>
      <c r="E3712" t="str">
        <f>"オオサチョウ"</f>
        <v>オオサチョウ</v>
      </c>
      <c r="F3712" t="str">
        <f>"大佐町（阿哲郡）"</f>
        <v>大佐町（阿哲郡）</v>
      </c>
      <c r="G3712" t="str">
        <f>"月刊"</f>
        <v>月刊</v>
      </c>
      <c r="H3712" t="str">
        <f>"2002222301632"</f>
        <v>2002222301632</v>
      </c>
      <c r="I3712" t="str">
        <f>HYPERLINK("#", "https://opac.libnet.pref.okayama.jp/licsxp-opac/WOpacMsgNewListToTifTilDetailAction.do?tilcod=2002222301632")</f>
        <v>https://opac.libnet.pref.okayama.jp/licsxp-opac/WOpacMsgNewListToTifTilDetailAction.do?tilcod=2002222301632</v>
      </c>
    </row>
    <row r="3713" spans="1:9" x14ac:dyDescent="0.4">
      <c r="A3713" t="str">
        <f>"町報しんごう"</f>
        <v>町報しんごう</v>
      </c>
      <c r="B3713" s="1" t="str">
        <f t="shared" si="193"/>
        <v>町報しんごう</v>
      </c>
      <c r="C3713" t="str">
        <f>"チョウホウ　シンゴウ"</f>
        <v>チョウホウ　シンゴウ</v>
      </c>
      <c r="D3713" t="str">
        <f>"神郷町"</f>
        <v>神郷町</v>
      </c>
      <c r="E3713" t="str">
        <f>"シンゴウチョウ"</f>
        <v>シンゴウチョウ</v>
      </c>
      <c r="F3713" t="str">
        <f>"神郷町（阿哲郡）"</f>
        <v>神郷町（阿哲郡）</v>
      </c>
      <c r="G3713" t="str">
        <f>"月刊"</f>
        <v>月刊</v>
      </c>
      <c r="H3713" t="str">
        <f>"2002222301664"</f>
        <v>2002222301664</v>
      </c>
      <c r="I3713" t="str">
        <f>HYPERLINK("#", "https://opac.libnet.pref.okayama.jp/licsxp-opac/WOpacMsgNewListToTifTilDetailAction.do?tilcod=2002222301664")</f>
        <v>https://opac.libnet.pref.okayama.jp/licsxp-opac/WOpacMsgNewListToTifTilDetailAction.do?tilcod=2002222301664</v>
      </c>
    </row>
    <row r="3714" spans="1:9" x14ac:dyDescent="0.4">
      <c r="A3714" t="str">
        <f>"町報てった"</f>
        <v>町報てった</v>
      </c>
      <c r="B3714" s="1" t="str">
        <f t="shared" si="193"/>
        <v>町報てった</v>
      </c>
      <c r="C3714" t="str">
        <f>"チョウホウ　テッタ"</f>
        <v>チョウホウ　テッタ</v>
      </c>
      <c r="D3714" t="str">
        <f>"哲多町"</f>
        <v>哲多町</v>
      </c>
      <c r="E3714" t="str">
        <f>"テッタチョウ"</f>
        <v>テッタチョウ</v>
      </c>
      <c r="F3714" t="str">
        <f>"哲多町（阿哲郡）"</f>
        <v>哲多町（阿哲郡）</v>
      </c>
      <c r="G3714" t="str">
        <f>"月刊"</f>
        <v>月刊</v>
      </c>
      <c r="H3714" t="str">
        <f>"2002222301682"</f>
        <v>2002222301682</v>
      </c>
      <c r="I3714" t="str">
        <f>HYPERLINK("#", "https://opac.libnet.pref.okayama.jp/licsxp-opac/WOpacMsgNewListToTifTilDetailAction.do?tilcod=2002222301682")</f>
        <v>https://opac.libnet.pref.okayama.jp/licsxp-opac/WOpacMsgNewListToTifTilDetailAction.do?tilcod=2002222301682</v>
      </c>
    </row>
    <row r="3715" spans="1:9" x14ac:dyDescent="0.4">
      <c r="A3715" t="str">
        <f>"潮流"</f>
        <v>潮流</v>
      </c>
      <c r="B3715" s="1" t="str">
        <f t="shared" si="193"/>
        <v>潮流</v>
      </c>
      <c r="C3715" t="str">
        <f>"チョウリュウ"</f>
        <v>チョウリュウ</v>
      </c>
      <c r="D3715" t="str">
        <f>"潮流社（岡山）"</f>
        <v>潮流社（岡山）</v>
      </c>
      <c r="E3715" t="str">
        <f>"チョウリュウシャ"</f>
        <v>チョウリュウシャ</v>
      </c>
      <c r="F3715" t="str">
        <f>"寄島町（浅口郡）"</f>
        <v>寄島町（浅口郡）</v>
      </c>
      <c r="G3715" t="str">
        <f>"頻度不明"</f>
        <v>頻度不明</v>
      </c>
      <c r="H3715" t="str">
        <f>"2002222284613"</f>
        <v>2002222284613</v>
      </c>
      <c r="I3715" t="str">
        <f>HYPERLINK("#", "https://opac.libnet.pref.okayama.jp/licsxp-opac/WOpacMsgNewListToTifTilDetailAction.do?tilcod=2002222284613")</f>
        <v>https://opac.libnet.pref.okayama.jp/licsxp-opac/WOpacMsgNewListToTifTilDetailAction.do?tilcod=2002222284613</v>
      </c>
    </row>
    <row r="3716" spans="1:9" x14ac:dyDescent="0.4">
      <c r="A3716" t="str">
        <f>"跳竜"</f>
        <v>跳竜</v>
      </c>
      <c r="B3716" s="1" t="str">
        <f t="shared" ref="B3716:B3779" si="195">HYPERLINK("#", A3716)</f>
        <v>跳竜</v>
      </c>
      <c r="C3716" t="str">
        <f>"チョウリュウ"</f>
        <v>チョウリュウ</v>
      </c>
      <c r="D3716" t="str">
        <f>"大本山総持寺"</f>
        <v>大本山総持寺</v>
      </c>
      <c r="E3716" t="str">
        <f>"ダイホンザンソウジジ"</f>
        <v>ダイホンザンソウジジ</v>
      </c>
      <c r="F3716" t="str">
        <f>""</f>
        <v/>
      </c>
      <c r="G3716" t="str">
        <f>"頻度不明"</f>
        <v>頻度不明</v>
      </c>
      <c r="H3716" t="str">
        <f>"2002222284753"</f>
        <v>2002222284753</v>
      </c>
      <c r="I3716" t="str">
        <f>HYPERLINK("#", "https://opac.libnet.pref.okayama.jp/licsxp-opac/WOpacMsgNewListToTifTilDetailAction.do?tilcod=2002222284753")</f>
        <v>https://opac.libnet.pref.okayama.jp/licsxp-opac/WOpacMsgNewListToTifTilDetailAction.do?tilcod=2002222284753</v>
      </c>
    </row>
    <row r="3717" spans="1:9" x14ac:dyDescent="0.4">
      <c r="A3717" t="str">
        <f>"チョキちゃんネットワーク"</f>
        <v>チョキちゃんネットワーク</v>
      </c>
      <c r="B3717" s="1" t="str">
        <f t="shared" si="195"/>
        <v>チョキちゃんネットワーク</v>
      </c>
      <c r="C3717" t="str">
        <f>"チョキチャン ネットワーク"</f>
        <v>チョキチャン ネットワーク</v>
      </c>
      <c r="D3717" t="str">
        <f>"岡山県警察本部"</f>
        <v>岡山県警察本部</v>
      </c>
      <c r="E3717" t="str">
        <f>"オカヤマケン ケイサツ ホンブ"</f>
        <v>オカヤマケン ケイサツ ホンブ</v>
      </c>
      <c r="F3717" t="str">
        <f>"岡山"</f>
        <v>岡山</v>
      </c>
      <c r="G3717" t="str">
        <f>"月刊"</f>
        <v>月刊</v>
      </c>
      <c r="H3717" t="str">
        <f>"2002222300412"</f>
        <v>2002222300412</v>
      </c>
      <c r="I3717" t="str">
        <f>HYPERLINK("#", "https://opac.libnet.pref.okayama.jp/licsxp-opac/WOpacMsgNewListToTifTilDetailAction.do?tilcod=2002222300412")</f>
        <v>https://opac.libnet.pref.okayama.jp/licsxp-opac/WOpacMsgNewListToTifTilDetailAction.do?tilcod=2002222300412</v>
      </c>
    </row>
    <row r="3718" spans="1:9" x14ac:dyDescent="0.4">
      <c r="A3718" t="str">
        <f>"貯蓄推進だより"</f>
        <v>貯蓄推進だより</v>
      </c>
      <c r="B3718" s="1" t="str">
        <f t="shared" si="195"/>
        <v>貯蓄推進だより</v>
      </c>
      <c r="C3718" t="str">
        <f>"チョチク　スイシン　ダヨリ"</f>
        <v>チョチク　スイシン　ダヨリ</v>
      </c>
      <c r="D3718" t="str">
        <f>"岡山県貯蓄推進委員会"</f>
        <v>岡山県貯蓄推進委員会</v>
      </c>
      <c r="E3718" t="str">
        <f>"オカヤマケン チョチク スイシン イインカイ"</f>
        <v>オカヤマケン チョチク スイシン イインカイ</v>
      </c>
      <c r="F3718" t="str">
        <f>""</f>
        <v/>
      </c>
      <c r="G3718" t="str">
        <f>"頻度不明"</f>
        <v>頻度不明</v>
      </c>
      <c r="H3718" t="str">
        <f>"2002222284463"</f>
        <v>2002222284463</v>
      </c>
      <c r="I3718" t="str">
        <f>HYPERLINK("#", "https://opac.libnet.pref.okayama.jp/licsxp-opac/WOpacMsgNewListToTifTilDetailAction.do?tilcod=2002222284463")</f>
        <v>https://opac.libnet.pref.okayama.jp/licsxp-opac/WOpacMsgNewListToTifTilDetailAction.do?tilcod=2002222284463</v>
      </c>
    </row>
    <row r="3719" spans="1:9" x14ac:dyDescent="0.4">
      <c r="A3719" t="str">
        <f>"知力"</f>
        <v>知力</v>
      </c>
      <c r="B3719" s="1" t="str">
        <f t="shared" si="195"/>
        <v>知力</v>
      </c>
      <c r="C3719" t="str">
        <f>"チリョク"</f>
        <v>チリョク</v>
      </c>
      <c r="D3719" t="str">
        <f>"岡山大学経済研究会"</f>
        <v>岡山大学経済研究会</v>
      </c>
      <c r="E3719" t="str">
        <f>"オカヤマ ダイガク ケイザイ ケンキュウカイ"</f>
        <v>オカヤマ ダイガク ケイザイ ケンキュウカイ</v>
      </c>
      <c r="F3719" t="str">
        <f>"岡山"</f>
        <v>岡山</v>
      </c>
      <c r="G3719" t="str">
        <f>"頻度不明"</f>
        <v>頻度不明</v>
      </c>
      <c r="H3719" t="str">
        <f>"2002222331147"</f>
        <v>2002222331147</v>
      </c>
      <c r="I3719" t="str">
        <f>HYPERLINK("#", "https://opac.libnet.pref.okayama.jp/licsxp-opac/WOpacMsgNewListToTifTilDetailAction.do?tilcod=2002222331147")</f>
        <v>https://opac.libnet.pref.okayama.jp/licsxp-opac/WOpacMsgNewListToTifTilDetailAction.do?tilcod=2002222331147</v>
      </c>
    </row>
    <row r="3720" spans="1:9" x14ac:dyDescent="0.4">
      <c r="A3720" t="str">
        <f>"チルチルな毎日。；子どものいる生活情報誌"</f>
        <v>チルチルな毎日。；子どものいる生活情報誌</v>
      </c>
      <c r="B3720" s="1" t="str">
        <f t="shared" si="195"/>
        <v>チルチルな毎日。；子どものいる生活情報誌</v>
      </c>
      <c r="C3720" t="str">
        <f>"チルチル　ナ　マイニチ＊コドモ　ノ　イル　セイカツ　ジョウホウシ"</f>
        <v>チルチル　ナ　マイニチ＊コドモ　ノ　イル　セイカツ　ジョウホウシ</v>
      </c>
      <c r="D3720" t="str">
        <f>"アス"</f>
        <v>アス</v>
      </c>
      <c r="E3720" t="str">
        <f>"アス"</f>
        <v>アス</v>
      </c>
      <c r="F3720" t="str">
        <f>"岡山"</f>
        <v>岡山</v>
      </c>
      <c r="G3720" t="str">
        <f>"年２回刊"</f>
        <v>年２回刊</v>
      </c>
      <c r="H3720" t="str">
        <f>"2002222286041"</f>
        <v>2002222286041</v>
      </c>
      <c r="I3720" t="str">
        <f>HYPERLINK("#", "https://opac.libnet.pref.okayama.jp/licsxp-opac/WOpacMsgNewListToTifTilDetailAction.do?tilcod=2002222286041")</f>
        <v>https://opac.libnet.pref.okayama.jp/licsxp-opac/WOpacMsgNewListToTifTilDetailAction.do?tilcod=2002222286041</v>
      </c>
    </row>
    <row r="3721" spans="1:9" x14ac:dyDescent="0.4">
      <c r="A3721" t="str">
        <f>"地歴・公民科教育"</f>
        <v>地歴・公民科教育</v>
      </c>
      <c r="B3721" s="1" t="str">
        <f t="shared" si="195"/>
        <v>地歴・公民科教育</v>
      </c>
      <c r="C3721" t="str">
        <f>"チレキ コウミンカ キョウイク"</f>
        <v>チレキ コウミンカ キョウイク</v>
      </c>
      <c r="D3721" t="str">
        <f>"岡山県高等学校教育研究会地理歴史公民部会"</f>
        <v>岡山県高等学校教育研究会地理歴史公民部会</v>
      </c>
      <c r="E3721" t="str">
        <f>"オカヤマケンコウトウガッコウキョウイクケンキュウカイチリレキシコウミンブカイ"</f>
        <v>オカヤマケンコウトウガッコウキョウイクケンキュウカイチリレキシコウミンブカイ</v>
      </c>
      <c r="F3721" t="str">
        <f>""</f>
        <v/>
      </c>
      <c r="G3721" t="str">
        <f>"年刊"</f>
        <v>年刊</v>
      </c>
      <c r="H3721" t="str">
        <f>"2002222301078"</f>
        <v>2002222301078</v>
      </c>
      <c r="I3721" t="str">
        <f>HYPERLINK("#", "https://opac.libnet.pref.okayama.jp/licsxp-opac/WOpacMsgNewListToTifTilDetailAction.do?tilcod=2002222301078")</f>
        <v>https://opac.libnet.pref.okayama.jp/licsxp-opac/WOpacMsgNewListToTifTilDetailAction.do?tilcod=2002222301078</v>
      </c>
    </row>
    <row r="3722" spans="1:9" x14ac:dyDescent="0.4">
      <c r="A3722" t="str">
        <f>"賃貸スペシャル岡山"</f>
        <v>賃貸スペシャル岡山</v>
      </c>
      <c r="B3722" s="1" t="str">
        <f t="shared" si="195"/>
        <v>賃貸スペシャル岡山</v>
      </c>
      <c r="C3722" t="str">
        <f>"チンタイ　スペシャル　オカヤマ"</f>
        <v>チンタイ　スペシャル　オカヤマ</v>
      </c>
      <c r="D3722" t="str">
        <f>"リクルート"</f>
        <v>リクルート</v>
      </c>
      <c r="E3722" t="str">
        <f>"リクルート"</f>
        <v>リクルート</v>
      </c>
      <c r="F3722" t="str">
        <f>"岡山"</f>
        <v>岡山</v>
      </c>
      <c r="G3722" t="str">
        <f t="shared" ref="G3722:G3727" si="196">"頻度不明"</f>
        <v>頻度不明</v>
      </c>
      <c r="H3722" t="str">
        <f>"2002222281434"</f>
        <v>2002222281434</v>
      </c>
      <c r="I3722" t="str">
        <f>HYPERLINK("#", "https://opac.libnet.pref.okayama.jp/licsxp-opac/WOpacMsgNewListToTifTilDetailAction.do?tilcod=2002222281434")</f>
        <v>https://opac.libnet.pref.okayama.jp/licsxp-opac/WOpacMsgNewListToTifTilDetailAction.do?tilcod=2002222281434</v>
      </c>
    </row>
    <row r="3723" spans="1:9" x14ac:dyDescent="0.4">
      <c r="A3723" t="str">
        <f>"通教おかやま"</f>
        <v>通教おかやま</v>
      </c>
      <c r="B3723" s="1" t="str">
        <f t="shared" si="195"/>
        <v>通教おかやま</v>
      </c>
      <c r="C3723" t="str">
        <f>"ツウキョウ　オカヤマ"</f>
        <v>ツウキョウ　オカヤマ</v>
      </c>
      <c r="D3723" t="str">
        <f>"岡山鉄道管理局岡山職員養成所"</f>
        <v>岡山鉄道管理局岡山職員養成所</v>
      </c>
      <c r="E3723" t="str">
        <f>"オカヤマテツドウカンリキョクオカヤマショクインヨウセイジョ"</f>
        <v>オカヤマテツドウカンリキョクオカヤマショクインヨウセイジョ</v>
      </c>
      <c r="F3723" t="str">
        <f>""</f>
        <v/>
      </c>
      <c r="G3723" t="str">
        <f t="shared" si="196"/>
        <v>頻度不明</v>
      </c>
      <c r="H3723" t="str">
        <f>"2002222284473"</f>
        <v>2002222284473</v>
      </c>
      <c r="I3723" t="str">
        <f>HYPERLINK("#", "https://opac.libnet.pref.okayama.jp/licsxp-opac/WOpacMsgNewListToTifTilDetailAction.do?tilcod=2002222284473")</f>
        <v>https://opac.libnet.pref.okayama.jp/licsxp-opac/WOpacMsgNewListToTifTilDetailAction.do?tilcod=2002222284473</v>
      </c>
    </row>
    <row r="3724" spans="1:9" x14ac:dyDescent="0.4">
      <c r="A3724" t="str">
        <f>"杖"</f>
        <v>杖</v>
      </c>
      <c r="B3724" s="1" t="str">
        <f t="shared" si="195"/>
        <v>杖</v>
      </c>
      <c r="C3724" t="str">
        <f>"ツエ"</f>
        <v>ツエ</v>
      </c>
      <c r="D3724" t="str">
        <f>"文学研究会"</f>
        <v>文学研究会</v>
      </c>
      <c r="E3724" t="str">
        <f>"ブンガクケンキュウカイ"</f>
        <v>ブンガクケンキュウカイ</v>
      </c>
      <c r="F3724" t="str">
        <f>"倉敷"</f>
        <v>倉敷</v>
      </c>
      <c r="G3724" t="str">
        <f t="shared" si="196"/>
        <v>頻度不明</v>
      </c>
      <c r="H3724" t="str">
        <f>"2002222284483"</f>
        <v>2002222284483</v>
      </c>
      <c r="I3724" t="str">
        <f>HYPERLINK("#", "https://opac.libnet.pref.okayama.jp/licsxp-opac/WOpacMsgNewListToTifTilDetailAction.do?tilcod=2002222284483")</f>
        <v>https://opac.libnet.pref.okayama.jp/licsxp-opac/WOpacMsgNewListToTifTilDetailAction.do?tilcod=2002222284483</v>
      </c>
    </row>
    <row r="3725" spans="1:9" x14ac:dyDescent="0.4">
      <c r="A3725" t="str">
        <f>"月の桂"</f>
        <v>月の桂</v>
      </c>
      <c r="B3725" s="1" t="str">
        <f t="shared" si="195"/>
        <v>月の桂</v>
      </c>
      <c r="C3725" t="str">
        <f>"ツキ　ノ　カツラ"</f>
        <v>ツキ　ノ　カツラ</v>
      </c>
      <c r="D3725" t="str">
        <f>"桂月婦人会"</f>
        <v>桂月婦人会</v>
      </c>
      <c r="E3725" t="str">
        <f>"ケイゲツフジンカイ"</f>
        <v>ケイゲツフジンカイ</v>
      </c>
      <c r="F3725" t="str">
        <f>""</f>
        <v/>
      </c>
      <c r="G3725" t="str">
        <f t="shared" si="196"/>
        <v>頻度不明</v>
      </c>
      <c r="H3725" t="str">
        <f>"2002222284503"</f>
        <v>2002222284503</v>
      </c>
      <c r="I3725" t="str">
        <f>HYPERLINK("#", "https://opac.libnet.pref.okayama.jp/licsxp-opac/WOpacMsgNewListToTifTilDetailAction.do?tilcod=2002222284503")</f>
        <v>https://opac.libnet.pref.okayama.jp/licsxp-opac/WOpacMsgNewListToTifTilDetailAction.do?tilcod=2002222284503</v>
      </c>
    </row>
    <row r="3726" spans="1:9" x14ac:dyDescent="0.4">
      <c r="A3726" t="str">
        <f>"月郷；ＶＩＬＬＡＧＥ　ＯＦ　ＭＯＯＮ"</f>
        <v>月郷；ＶＩＬＬＡＧＥ　ＯＦ　ＭＯＯＮ</v>
      </c>
      <c r="B3726" s="1" t="str">
        <f t="shared" si="195"/>
        <v>月郷；ＶＩＬＬＡＧＥ　ＯＦ　ＭＯＯＮ</v>
      </c>
      <c r="C3726" t="str">
        <f>"ツキサト＊ヴィレッジ　オブ　ムーン"</f>
        <v>ツキサト＊ヴィレッジ　オブ　ムーン</v>
      </c>
      <c r="D3726" t="str">
        <f>"月郷文芸社"</f>
        <v>月郷文芸社</v>
      </c>
      <c r="E3726" t="str">
        <f>"ツキサトブンゲイシャ"</f>
        <v>ツキサトブンゲイシャ</v>
      </c>
      <c r="F3726" t="str">
        <f>"金岡村（上道郡）"</f>
        <v>金岡村（上道郡）</v>
      </c>
      <c r="G3726" t="str">
        <f t="shared" si="196"/>
        <v>頻度不明</v>
      </c>
      <c r="H3726" t="str">
        <f>"2002222284493"</f>
        <v>2002222284493</v>
      </c>
      <c r="I3726" t="str">
        <f>HYPERLINK("#", "https://opac.libnet.pref.okayama.jp/licsxp-opac/WOpacMsgNewListToTifTilDetailAction.do?tilcod=2002222284493")</f>
        <v>https://opac.libnet.pref.okayama.jp/licsxp-opac/WOpacMsgNewListToTifTilDetailAction.do?tilcod=2002222284493</v>
      </c>
    </row>
    <row r="3727" spans="1:9" x14ac:dyDescent="0.4">
      <c r="A3727" t="str">
        <f>"つくづくし（つくつくし）；土筆"</f>
        <v>つくづくし（つくつくし）；土筆</v>
      </c>
      <c r="B3727" s="1" t="str">
        <f t="shared" si="195"/>
        <v>つくづくし（つくつくし）；土筆</v>
      </c>
      <c r="C3727" t="str">
        <f>"ツクズクシ　ツクツクシ＊ツクシ"</f>
        <v>ツクズクシ　ツクツクシ＊ツクシ</v>
      </c>
      <c r="D3727" t="str">
        <f>"姉妹会"</f>
        <v>姉妹会</v>
      </c>
      <c r="E3727" t="str">
        <f>"シマイカイ"</f>
        <v>シマイカイ</v>
      </c>
      <c r="F3727" t="str">
        <f>""</f>
        <v/>
      </c>
      <c r="G3727" t="str">
        <f t="shared" si="196"/>
        <v>頻度不明</v>
      </c>
      <c r="H3727" t="str">
        <f>"2002222280644"</f>
        <v>2002222280644</v>
      </c>
      <c r="I3727" t="str">
        <f>HYPERLINK("#", "https://opac.libnet.pref.okayama.jp/licsxp-opac/WOpacMsgNewListToTifTilDetailAction.do?tilcod=2002222280644")</f>
        <v>https://opac.libnet.pref.okayama.jp/licsxp-opac/WOpacMsgNewListToTifTilDetailAction.do?tilcod=2002222280644</v>
      </c>
    </row>
    <row r="3728" spans="1:9" x14ac:dyDescent="0.4">
      <c r="A3728" t="str">
        <f>"つくぼ歳時記"</f>
        <v>つくぼ歳時記</v>
      </c>
      <c r="B3728" s="1" t="str">
        <f t="shared" si="195"/>
        <v>つくぼ歳時記</v>
      </c>
      <c r="C3728" t="str">
        <f>"ツクボ サイジキ"</f>
        <v>ツクボ サイジキ</v>
      </c>
      <c r="D3728" t="str">
        <f>"NPO法人つくぼ片山家プロジェクト"</f>
        <v>NPO法人つくぼ片山家プロジェクト</v>
      </c>
      <c r="E3728" t="str">
        <f>"エヌピーオー ホウジン ツクボ カタヤマケ プロジェクト"</f>
        <v>エヌピーオー ホウジン ツクボ カタヤマケ プロジェクト</v>
      </c>
      <c r="F3728" t="str">
        <f>"倉敷"</f>
        <v>倉敷</v>
      </c>
      <c r="G3728" t="str">
        <f>"不定期刊"</f>
        <v>不定期刊</v>
      </c>
      <c r="H3728" t="str">
        <f>"2002222334052"</f>
        <v>2002222334052</v>
      </c>
      <c r="I3728" t="str">
        <f>HYPERLINK("#", "https://opac.libnet.pref.okayama.jp/licsxp-opac/WOpacMsgNewListToTifTilDetailAction.do?tilcod=2002222334052")</f>
        <v>https://opac.libnet.pref.okayama.jp/licsxp-opac/WOpacMsgNewListToTifTilDetailAction.do?tilcod=2002222334052</v>
      </c>
    </row>
    <row r="3729" spans="1:9" x14ac:dyDescent="0.4">
      <c r="A3729" t="str">
        <f>"辻馬車"</f>
        <v>辻馬車</v>
      </c>
      <c r="B3729" s="1" t="str">
        <f t="shared" si="195"/>
        <v>辻馬車</v>
      </c>
      <c r="C3729" t="str">
        <f>"ツジバシャ"</f>
        <v>ツジバシャ</v>
      </c>
      <c r="D3729" t="str">
        <f>"辻馬車同人"</f>
        <v>辻馬車同人</v>
      </c>
      <c r="E3729" t="str">
        <f>"ツジバシャドウジン"</f>
        <v>ツジバシャドウジン</v>
      </c>
      <c r="F3729" t="str">
        <f>""</f>
        <v/>
      </c>
      <c r="G3729" t="str">
        <f>"頻度不明"</f>
        <v>頻度不明</v>
      </c>
      <c r="H3729" t="str">
        <f>"2002222284523"</f>
        <v>2002222284523</v>
      </c>
      <c r="I3729" t="str">
        <f>HYPERLINK("#", "https://opac.libnet.pref.okayama.jp/licsxp-opac/WOpacMsgNewListToTifTilDetailAction.do?tilcod=2002222284523")</f>
        <v>https://opac.libnet.pref.okayama.jp/licsxp-opac/WOpacMsgNewListToTifTilDetailAction.do?tilcod=2002222284523</v>
      </c>
    </row>
    <row r="3730" spans="1:9" x14ac:dyDescent="0.4">
      <c r="A3730" t="str">
        <f>"津島遺跡発掘ニュース"</f>
        <v>津島遺跡発掘ニュース</v>
      </c>
      <c r="B3730" s="1" t="str">
        <f t="shared" si="195"/>
        <v>津島遺跡発掘ニュース</v>
      </c>
      <c r="C3730" t="str">
        <f>"ツシマ　イセキ　ハックツ　ニュース"</f>
        <v>ツシマ　イセキ　ハックツ　ニュース</v>
      </c>
      <c r="D3730" t="str">
        <f>"津島遺跡発掘調査団"</f>
        <v>津島遺跡発掘調査団</v>
      </c>
      <c r="E3730" t="str">
        <f>"ツシマイセキハックツチョウサダン"</f>
        <v>ツシマイセキハックツチョウサダン</v>
      </c>
      <c r="F3730" t="str">
        <f>""</f>
        <v/>
      </c>
      <c r="G3730" t="str">
        <f>"頻度不明"</f>
        <v>頻度不明</v>
      </c>
      <c r="H3730" t="str">
        <f>"2002222284533"</f>
        <v>2002222284533</v>
      </c>
      <c r="I3730" t="str">
        <f>HYPERLINK("#", "https://opac.libnet.pref.okayama.jp/licsxp-opac/WOpacMsgNewListToTifTilDetailAction.do?tilcod=2002222284533")</f>
        <v>https://opac.libnet.pref.okayama.jp/licsxp-opac/WOpacMsgNewListToTifTilDetailAction.do?tilcod=2002222284533</v>
      </c>
    </row>
    <row r="3731" spans="1:9" x14ac:dyDescent="0.4">
      <c r="A3731" t="str">
        <f>"津島遺跡保存の会ニュース"</f>
        <v>津島遺跡保存の会ニュース</v>
      </c>
      <c r="B3731" s="1" t="str">
        <f t="shared" si="195"/>
        <v>津島遺跡保存の会ニュース</v>
      </c>
      <c r="C3731" t="str">
        <f>"ツシマ イセキ ホゾン ノ カイ ニュース"</f>
        <v>ツシマ イセキ ホゾン ノ カイ ニュース</v>
      </c>
      <c r="D3731" t="str">
        <f>"津島遺跡保存の会事務局"</f>
        <v>津島遺跡保存の会事務局</v>
      </c>
      <c r="E3731" t="str">
        <f>"ツシマ イセキ ホゾン ノ カイ ジムキョク"</f>
        <v>ツシマ イセキ ホゾン ノ カイ ジムキョク</v>
      </c>
      <c r="F3731" t="str">
        <f>"岡山"</f>
        <v>岡山</v>
      </c>
      <c r="G3731" t="str">
        <f>"月刊"</f>
        <v>月刊</v>
      </c>
      <c r="H3731" t="str">
        <f>"2002222334647"</f>
        <v>2002222334647</v>
      </c>
      <c r="I3731" t="str">
        <f>HYPERLINK("#", "https://opac.libnet.pref.okayama.jp/licsxp-opac/WOpacMsgNewListToTifTilDetailAction.do?tilcod=2002222334647")</f>
        <v>https://opac.libnet.pref.okayama.jp/licsxp-opac/WOpacMsgNewListToTifTilDetailAction.do?tilcod=2002222334647</v>
      </c>
    </row>
    <row r="3732" spans="1:9" x14ac:dyDescent="0.4">
      <c r="A3732" t="str">
        <f>"つしまの福祉；つしま福祉だより"</f>
        <v>つしまの福祉；つしま福祉だより</v>
      </c>
      <c r="B3732" s="1" t="str">
        <f t="shared" si="195"/>
        <v>つしまの福祉；つしま福祉だより</v>
      </c>
      <c r="C3732" t="str">
        <f>"ツシマノ フクシ＊ツシマ フクシ ダヨリ"</f>
        <v>ツシマノ フクシ＊ツシマ フクシ ダヨリ</v>
      </c>
      <c r="D3732" t="str">
        <f>"津島地区社会福祉協議会"</f>
        <v>津島地区社会福祉協議会</v>
      </c>
      <c r="E3732" t="str">
        <f>"ツシマ チク シャカイ フクシ キョウギカイ"</f>
        <v>ツシマ チク シャカイ フクシ キョウギカイ</v>
      </c>
      <c r="F3732" t="str">
        <f>"岡山"</f>
        <v>岡山</v>
      </c>
      <c r="G3732" t="str">
        <f>"年２回刊"</f>
        <v>年２回刊</v>
      </c>
      <c r="H3732" t="str">
        <f>"2002222338370"</f>
        <v>2002222338370</v>
      </c>
      <c r="I3732" t="str">
        <f>HYPERLINK("#", "https://opac.libnet.pref.okayama.jp/licsxp-opac/WOpacMsgNewListToTifTilDetailAction.do?tilcod=2002222338370")</f>
        <v>https://opac.libnet.pref.okayama.jp/licsxp-opac/WOpacMsgNewListToTifTilDetailAction.do?tilcod=2002222338370</v>
      </c>
    </row>
    <row r="3733" spans="1:9" x14ac:dyDescent="0.4">
      <c r="A3733" t="str">
        <f>"津商図書館報"</f>
        <v>津商図書館報</v>
      </c>
      <c r="B3733" s="1" t="str">
        <f t="shared" si="195"/>
        <v>津商図書館報</v>
      </c>
      <c r="C3733" t="str">
        <f>"ツショウ　トショカンホウ"</f>
        <v>ツショウ　トショカンホウ</v>
      </c>
      <c r="D3733" t="str">
        <f>"津山商業高等学校図書委員会"</f>
        <v>津山商業高等学校図書委員会</v>
      </c>
      <c r="E3733" t="str">
        <f>"ツヤマショウギョウコウトウガッコウトショイインカイ"</f>
        <v>ツヤマショウギョウコウトウガッコウトショイインカイ</v>
      </c>
      <c r="F3733" t="str">
        <f>"津山"</f>
        <v>津山</v>
      </c>
      <c r="G3733" t="str">
        <f>"頻度不明"</f>
        <v>頻度不明</v>
      </c>
      <c r="H3733" t="str">
        <f>"2002222301660"</f>
        <v>2002222301660</v>
      </c>
      <c r="I3733" t="str">
        <f>HYPERLINK("#", "https://opac.libnet.pref.okayama.jp/licsxp-opac/WOpacMsgNewListToTifTilDetailAction.do?tilcod=2002222301660")</f>
        <v>https://opac.libnet.pref.okayama.jp/licsxp-opac/WOpacMsgNewListToTifTilDetailAction.do?tilcod=2002222301660</v>
      </c>
    </row>
    <row r="3734" spans="1:9" x14ac:dyDescent="0.4">
      <c r="A3734" t="str">
        <f>"津高公民館だより"</f>
        <v>津高公民館だより</v>
      </c>
      <c r="B3734" s="1" t="str">
        <f t="shared" si="195"/>
        <v>津高公民館だより</v>
      </c>
      <c r="C3734" t="str">
        <f>"ツダカ コウミンカン ダヨリ"</f>
        <v>ツダカ コウミンカン ダヨリ</v>
      </c>
      <c r="D3734" t="str">
        <f>"岡山市立津高公民館"</f>
        <v>岡山市立津高公民館</v>
      </c>
      <c r="E3734" t="str">
        <f>"オカヤマシリツ ツダカ コウミンカン"</f>
        <v>オカヤマシリツ ツダカ コウミンカン</v>
      </c>
      <c r="F3734" t="str">
        <f>"岡山"</f>
        <v>岡山</v>
      </c>
      <c r="G3734" t="str">
        <f>"月刊"</f>
        <v>月刊</v>
      </c>
      <c r="H3734" t="str">
        <f>"2002222340932"</f>
        <v>2002222340932</v>
      </c>
      <c r="I3734" t="str">
        <f>HYPERLINK("#", "https://opac.libnet.pref.okayama.jp/licsxp-opac/WOpacMsgNewListToTifTilDetailAction.do?tilcod=2002222340932")</f>
        <v>https://opac.libnet.pref.okayama.jp/licsxp-opac/WOpacMsgNewListToTifTilDetailAction.do?tilcod=2002222340932</v>
      </c>
    </row>
    <row r="3735" spans="1:9" x14ac:dyDescent="0.4">
      <c r="A3735" t="str">
        <f>"津高高連だより"</f>
        <v>津高高連だより</v>
      </c>
      <c r="B3735" s="1" t="str">
        <f t="shared" si="195"/>
        <v>津高高連だより</v>
      </c>
      <c r="C3735" t="str">
        <f>"ツダカ コウレン ダヨリ"</f>
        <v>ツダカ コウレン ダヨリ</v>
      </c>
      <c r="D3735" t="str">
        <f>"津高高齢者クラブ連合会"</f>
        <v>津高高齢者クラブ連合会</v>
      </c>
      <c r="E3735" t="str">
        <f>"ツダカ コウレイシャ クラブ レンゴウカイ"</f>
        <v>ツダカ コウレイシャ クラブ レンゴウカイ</v>
      </c>
      <c r="F3735" t="str">
        <f>"[岡山]"</f>
        <v>[岡山]</v>
      </c>
      <c r="G3735" t="str">
        <f>"頻度不明"</f>
        <v>頻度不明</v>
      </c>
      <c r="H3735" t="str">
        <f>"2002222340930"</f>
        <v>2002222340930</v>
      </c>
      <c r="I3735" t="str">
        <f>HYPERLINK("#", "https://opac.libnet.pref.okayama.jp/licsxp-opac/WOpacMsgNewListToTifTilDetailAction.do?tilcod=2002222340930")</f>
        <v>https://opac.libnet.pref.okayama.jp/licsxp-opac/WOpacMsgNewListToTifTilDetailAction.do?tilcod=2002222340930</v>
      </c>
    </row>
    <row r="3736" spans="1:9" x14ac:dyDescent="0.4">
      <c r="A3736" t="str">
        <f>"津高郡教育会雑誌"</f>
        <v>津高郡教育会雑誌</v>
      </c>
      <c r="B3736" s="1" t="str">
        <f t="shared" si="195"/>
        <v>津高郡教育会雑誌</v>
      </c>
      <c r="C3736" t="str">
        <f>"ツダカグン　キョウイクカイ　ザッシ"</f>
        <v>ツダカグン　キョウイクカイ　ザッシ</v>
      </c>
      <c r="D3736" t="str">
        <f>"私立津高郡教育会仮事務所"</f>
        <v>私立津高郡教育会仮事務所</v>
      </c>
      <c r="E3736" t="str">
        <f>"シリツツダカグンキョウイクカイカリジムショ"</f>
        <v>シリツツダカグンキョウイクカイカリジムショ</v>
      </c>
      <c r="F3736" t="str">
        <f>""</f>
        <v/>
      </c>
      <c r="G3736" t="str">
        <f>"頻度不明"</f>
        <v>頻度不明</v>
      </c>
      <c r="H3736" t="str">
        <f>"2002222284543"</f>
        <v>2002222284543</v>
      </c>
      <c r="I3736" t="str">
        <f>HYPERLINK("#", "https://opac.libnet.pref.okayama.jp/licsxp-opac/WOpacMsgNewListToTifTilDetailAction.do?tilcod=2002222284543")</f>
        <v>https://opac.libnet.pref.okayama.jp/licsxp-opac/WOpacMsgNewListToTifTilDetailAction.do?tilcod=2002222284543</v>
      </c>
    </row>
    <row r="3737" spans="1:9" x14ac:dyDescent="0.4">
      <c r="A3737" t="str">
        <f>"津高寮"</f>
        <v>津高寮</v>
      </c>
      <c r="B3737" s="1" t="str">
        <f t="shared" si="195"/>
        <v>津高寮</v>
      </c>
      <c r="C3737" t="str">
        <f>"ツダカリョウ"</f>
        <v>ツダカリョウ</v>
      </c>
      <c r="D3737" t="str">
        <f>"寿恵会"</f>
        <v>寿恵会</v>
      </c>
      <c r="E3737" t="str">
        <f>"ジュケイカイ"</f>
        <v>ジュケイカイ</v>
      </c>
      <c r="F3737" t="str">
        <f>"岡山"</f>
        <v>岡山</v>
      </c>
      <c r="G3737" t="str">
        <f>"頻度不明"</f>
        <v>頻度不明</v>
      </c>
      <c r="H3737" t="str">
        <f>"2002222301907"</f>
        <v>2002222301907</v>
      </c>
      <c r="I3737" t="str">
        <f>HYPERLINK("#", "https://opac.libnet.pref.okayama.jp/licsxp-opac/WOpacMsgNewListToTifTilDetailAction.do?tilcod=2002222301907")</f>
        <v>https://opac.libnet.pref.okayama.jp/licsxp-opac/WOpacMsgNewListToTifTilDetailAction.do?tilcod=2002222301907</v>
      </c>
    </row>
    <row r="3738" spans="1:9" x14ac:dyDescent="0.4">
      <c r="A3738" t="str">
        <f>"土"</f>
        <v>土</v>
      </c>
      <c r="B3738" s="1" t="str">
        <f t="shared" si="195"/>
        <v>土</v>
      </c>
      <c r="C3738" t="str">
        <f>"ツチ"</f>
        <v>ツチ</v>
      </c>
      <c r="D3738" t="str">
        <f>"金光図書館"</f>
        <v>金光図書館</v>
      </c>
      <c r="E3738" t="str">
        <f>"コンコウ トショカン"</f>
        <v>コンコウ トショカン</v>
      </c>
      <c r="F3738" t="str">
        <f>"金光町（浅口郡）"</f>
        <v>金光町（浅口郡）</v>
      </c>
      <c r="G3738" t="str">
        <f>"不定期刊"</f>
        <v>不定期刊</v>
      </c>
      <c r="H3738" t="str">
        <f>"2002222280601"</f>
        <v>2002222280601</v>
      </c>
      <c r="I3738" t="str">
        <f>HYPERLINK("#", "https://opac.libnet.pref.okayama.jp/licsxp-opac/WOpacMsgNewListToTifTilDetailAction.do?tilcod=2002222280601")</f>
        <v>https://opac.libnet.pref.okayama.jp/licsxp-opac/WOpacMsgNewListToTifTilDetailAction.do?tilcod=2002222280601</v>
      </c>
    </row>
    <row r="3739" spans="1:9" x14ac:dyDescent="0.4">
      <c r="A3739" t="str">
        <f>"土の声"</f>
        <v>土の声</v>
      </c>
      <c r="B3739" s="1" t="str">
        <f t="shared" si="195"/>
        <v>土の声</v>
      </c>
      <c r="C3739" t="str">
        <f>"ツチ　ノ　コエ"</f>
        <v>ツチ　ノ　コエ</v>
      </c>
      <c r="D3739" t="str">
        <f>"井笠地区新農業経営者クラブ連絡協議会"</f>
        <v>井笠地区新農業経営者クラブ連絡協議会</v>
      </c>
      <c r="E3739" t="str">
        <f>"イカサチクシンノウギョウケイエイシャクラブレンラクキョウギカイ"</f>
        <v>イカサチクシンノウギョウケイエイシャクラブレンラクキョウギカイ</v>
      </c>
      <c r="F3739" t="str">
        <f>""</f>
        <v/>
      </c>
      <c r="G3739" t="str">
        <f>"頻度不明"</f>
        <v>頻度不明</v>
      </c>
      <c r="H3739" t="str">
        <f>"2002222284553"</f>
        <v>2002222284553</v>
      </c>
      <c r="I3739" t="str">
        <f>HYPERLINK("#", "https://opac.libnet.pref.okayama.jp/licsxp-opac/WOpacMsgNewListToTifTilDetailAction.do?tilcod=2002222284553")</f>
        <v>https://opac.libnet.pref.okayama.jp/licsxp-opac/WOpacMsgNewListToTifTilDetailAction.do?tilcod=2002222284553</v>
      </c>
    </row>
    <row r="3740" spans="1:9" x14ac:dyDescent="0.4">
      <c r="A3740" t="str">
        <f>"土塊（つちくれ）"</f>
        <v>土塊（つちくれ）</v>
      </c>
      <c r="B3740" s="1" t="str">
        <f t="shared" si="195"/>
        <v>土塊（つちくれ）</v>
      </c>
      <c r="C3740" t="str">
        <f>"ツチクレ"</f>
        <v>ツチクレ</v>
      </c>
      <c r="D3740" t="str">
        <f>"土塊短歌会"</f>
        <v>土塊短歌会</v>
      </c>
      <c r="E3740" t="str">
        <f>"ツチクレタンカカイ"</f>
        <v>ツチクレタンカカイ</v>
      </c>
      <c r="F3740" t="str">
        <f>""</f>
        <v/>
      </c>
      <c r="G3740" t="str">
        <f>"頻度不明"</f>
        <v>頻度不明</v>
      </c>
      <c r="H3740" t="str">
        <f>"2002222284763"</f>
        <v>2002222284763</v>
      </c>
      <c r="I3740" t="str">
        <f>HYPERLINK("#", "https://opac.libnet.pref.okayama.jp/licsxp-opac/WOpacMsgNewListToTifTilDetailAction.do?tilcod=2002222284763")</f>
        <v>https://opac.libnet.pref.okayama.jp/licsxp-opac/WOpacMsgNewListToTifTilDetailAction.do?tilcod=2002222284763</v>
      </c>
    </row>
    <row r="3741" spans="1:9" x14ac:dyDescent="0.4">
      <c r="A3741" t="str">
        <f>"土ばし"</f>
        <v>土ばし</v>
      </c>
      <c r="B3741" s="1" t="str">
        <f t="shared" si="195"/>
        <v>土ばし</v>
      </c>
      <c r="C3741" t="str">
        <f>"ツチバシ"</f>
        <v>ツチバシ</v>
      </c>
      <c r="D3741" t="str">
        <f>"浅口俳句会"</f>
        <v>浅口俳句会</v>
      </c>
      <c r="E3741" t="str">
        <f>"アサクチハイクカイ"</f>
        <v>アサクチハイクカイ</v>
      </c>
      <c r="F3741" t="str">
        <f>"浅口"</f>
        <v>浅口</v>
      </c>
      <c r="G3741" t="str">
        <f>"月刊"</f>
        <v>月刊</v>
      </c>
      <c r="H3741" t="str">
        <f>"2002222302117"</f>
        <v>2002222302117</v>
      </c>
      <c r="I3741" t="str">
        <f>HYPERLINK("#", "https://opac.libnet.pref.okayama.jp/licsxp-opac/WOpacMsgNewListToTifTilDetailAction.do?tilcod=2002222302117")</f>
        <v>https://opac.libnet.pref.okayama.jp/licsxp-opac/WOpacMsgNewListToTifTilDetailAction.do?tilcod=2002222302117</v>
      </c>
    </row>
    <row r="3742" spans="1:9" x14ac:dyDescent="0.4">
      <c r="A3742" t="str">
        <f>"つどい"</f>
        <v>つどい</v>
      </c>
      <c r="B3742" s="1" t="str">
        <f t="shared" si="195"/>
        <v>つどい</v>
      </c>
      <c r="C3742" t="str">
        <f>"ツドイ"</f>
        <v>ツドイ</v>
      </c>
      <c r="D3742" t="str">
        <f>"山陽教育評論社"</f>
        <v>山陽教育評論社</v>
      </c>
      <c r="E3742" t="str">
        <f>"サンヨウキョウイクヒョウロンシャ"</f>
        <v>サンヨウキョウイクヒョウロンシャ</v>
      </c>
      <c r="F3742" t="str">
        <f>""</f>
        <v/>
      </c>
      <c r="G3742" t="str">
        <f>"頻度不明"</f>
        <v>頻度不明</v>
      </c>
      <c r="H3742" t="str">
        <f>"2002222284563"</f>
        <v>2002222284563</v>
      </c>
      <c r="I3742" t="str">
        <f>HYPERLINK("#", "https://opac.libnet.pref.okayama.jp/licsxp-opac/WOpacMsgNewListToTifTilDetailAction.do?tilcod=2002222284563")</f>
        <v>https://opac.libnet.pref.okayama.jp/licsxp-opac/WOpacMsgNewListToTifTilDetailAction.do?tilcod=2002222284563</v>
      </c>
    </row>
    <row r="3743" spans="1:9" x14ac:dyDescent="0.4">
      <c r="A3743" t="str">
        <f>"つどい；プラザ旭東だより"</f>
        <v>つどい；プラザ旭東だより</v>
      </c>
      <c r="B3743" s="1" t="str">
        <f t="shared" si="195"/>
        <v>つどい；プラザ旭東だより</v>
      </c>
      <c r="C3743" t="str">
        <f>"ツドイ＊プラザ キョクトウ ダヨリ"</f>
        <v>ツドイ＊プラザ キョクトウ ダヨリ</v>
      </c>
      <c r="D3743" t="str">
        <f>"岡山市福祉交流プラザ旭東"</f>
        <v>岡山市福祉交流プラザ旭東</v>
      </c>
      <c r="E3743" t="str">
        <f>"オカヤマシ フクシ コウリュウ プラザ キョクトウ"</f>
        <v>オカヤマシ フクシ コウリュウ プラザ キョクトウ</v>
      </c>
      <c r="F3743" t="str">
        <f>"岡山"</f>
        <v>岡山</v>
      </c>
      <c r="G3743" t="str">
        <f>"季刊"</f>
        <v>季刊</v>
      </c>
      <c r="H3743" t="str">
        <f>"2002222335666"</f>
        <v>2002222335666</v>
      </c>
      <c r="I3743" t="str">
        <f>HYPERLINK("#", "https://opac.libnet.pref.okayama.jp/licsxp-opac/WOpacMsgNewListToTifTilDetailAction.do?tilcod=2002222335666")</f>
        <v>https://opac.libnet.pref.okayama.jp/licsxp-opac/WOpacMsgNewListToTifTilDetailAction.do?tilcod=2002222335666</v>
      </c>
    </row>
    <row r="3744" spans="1:9" x14ac:dyDescent="0.4">
      <c r="A3744" t="str">
        <f>"綱"</f>
        <v>綱</v>
      </c>
      <c r="B3744" s="1" t="str">
        <f t="shared" si="195"/>
        <v>綱</v>
      </c>
      <c r="C3744" t="str">
        <f>"ツナ"</f>
        <v>ツナ</v>
      </c>
      <c r="D3744" t="str">
        <f>"津山朝日新聞社[印刷]"</f>
        <v>津山朝日新聞社[印刷]</v>
      </c>
      <c r="E3744" t="str">
        <f>"ツヤマ アサヒ シンブンシャ"</f>
        <v>ツヤマ アサヒ シンブンシャ</v>
      </c>
      <c r="F3744" t="str">
        <f>"津山"</f>
        <v>津山</v>
      </c>
      <c r="G3744" t="str">
        <f>"頻度不明"</f>
        <v>頻度不明</v>
      </c>
      <c r="H3744" t="str">
        <f>"2002222339310"</f>
        <v>2002222339310</v>
      </c>
      <c r="I3744" t="str">
        <f>HYPERLINK("#", "https://opac.libnet.pref.okayama.jp/licsxp-opac/WOpacMsgNewListToTifTilDetailAction.do?tilcod=2002222339310")</f>
        <v>https://opac.libnet.pref.okayama.jp/licsxp-opac/WOpacMsgNewListToTifTilDetailAction.do?tilcod=2002222339310</v>
      </c>
    </row>
    <row r="3745" spans="1:9" x14ac:dyDescent="0.4">
      <c r="A3745" t="str">
        <f>"つなぐ；ボランティア新聞"</f>
        <v>つなぐ；ボランティア新聞</v>
      </c>
      <c r="B3745" s="1" t="str">
        <f t="shared" si="195"/>
        <v>つなぐ；ボランティア新聞</v>
      </c>
      <c r="C3745" t="str">
        <f>"ツナグ＊ボランティア シンブン"</f>
        <v>ツナグ＊ボランティア シンブン</v>
      </c>
      <c r="D3745" t="str">
        <f>"鏡野町ボ ランティア・NPOセンター"</f>
        <v>鏡野町ボ ランティア・NPOセンター</v>
      </c>
      <c r="E3745" t="str">
        <f>"カガミノチョウ ボランティア エヌ ピー オー センター"</f>
        <v>カガミノチョウ ボランティア エヌ ピー オー センター</v>
      </c>
      <c r="F3745" t="str">
        <f>"鏡野町（苫田郡）"</f>
        <v>鏡野町（苫田郡）</v>
      </c>
      <c r="G3745" t="str">
        <f>"頻度不明"</f>
        <v>頻度不明</v>
      </c>
      <c r="H3745" t="str">
        <f>"2002222336976"</f>
        <v>2002222336976</v>
      </c>
      <c r="I3745" t="str">
        <f>HYPERLINK("#", "https://opac.libnet.pref.okayama.jp/licsxp-opac/WOpacMsgNewListToTifTilDetailAction.do?tilcod=2002222336976")</f>
        <v>https://opac.libnet.pref.okayama.jp/licsxp-opac/WOpacMsgNewListToTifTilDetailAction.do?tilcod=2002222336976</v>
      </c>
    </row>
    <row r="3746" spans="1:9" x14ac:dyDescent="0.4">
      <c r="A3746" t="str">
        <f>"津乃お"</f>
        <v>津乃お</v>
      </c>
      <c r="B3746" s="1" t="str">
        <f t="shared" si="195"/>
        <v>津乃お</v>
      </c>
      <c r="C3746" t="str">
        <f>"ツノオ"</f>
        <v>ツノオ</v>
      </c>
      <c r="D3746" t="str">
        <f>"正田公民館俳句会"</f>
        <v>正田公民館俳句会</v>
      </c>
      <c r="E3746" t="str">
        <f>"ショウデンコウミンカンハイクカイ"</f>
        <v>ショウデンコウミンカンハイクカイ</v>
      </c>
      <c r="F3746" t="str">
        <f>""</f>
        <v/>
      </c>
      <c r="G3746" t="str">
        <f>"頻度不明"</f>
        <v>頻度不明</v>
      </c>
      <c r="H3746" t="str">
        <f>"2002222284573"</f>
        <v>2002222284573</v>
      </c>
      <c r="I3746" t="str">
        <f>HYPERLINK("#", "https://opac.libnet.pref.okayama.jp/licsxp-opac/WOpacMsgNewListToTifTilDetailAction.do?tilcod=2002222284573")</f>
        <v>https://opac.libnet.pref.okayama.jp/licsxp-opac/WOpacMsgNewListToTifTilDetailAction.do?tilcod=2002222284573</v>
      </c>
    </row>
    <row r="3747" spans="1:9" x14ac:dyDescent="0.4">
      <c r="A3747" t="str">
        <f>"津博（つはく）；津山郷土博物館だより"</f>
        <v>津博（つはく）；津山郷土博物館だより</v>
      </c>
      <c r="B3747" s="1" t="str">
        <f t="shared" si="195"/>
        <v>津博（つはく）；津山郷土博物館だより</v>
      </c>
      <c r="C3747" t="str">
        <f>"ツハク＊ツヤマ　キョウド　ハクブツカン　ハクブツカン　ダヨリ"</f>
        <v>ツハク＊ツヤマ　キョウド　ハクブツカン　ハクブツカン　ダヨリ</v>
      </c>
      <c r="D3747" t="str">
        <f>"津山郷土博物館"</f>
        <v>津山郷土博物館</v>
      </c>
      <c r="E3747" t="str">
        <f>"ツヤマキョウドハクブツカン"</f>
        <v>ツヤマキョウドハクブツカン</v>
      </c>
      <c r="F3747" t="str">
        <f>"津山"</f>
        <v>津山</v>
      </c>
      <c r="G3747" t="str">
        <f>"年２回刊"</f>
        <v>年２回刊</v>
      </c>
      <c r="H3747" t="str">
        <f>"2002222292951"</f>
        <v>2002222292951</v>
      </c>
      <c r="I3747" t="str">
        <f>HYPERLINK("#", "https://opac.libnet.pref.okayama.jp/licsxp-opac/WOpacMsgNewListToTifTilDetailAction.do?tilcod=2002222292951")</f>
        <v>https://opac.libnet.pref.okayama.jp/licsxp-opac/WOpacMsgNewListToTifTilDetailAction.do?tilcod=2002222292951</v>
      </c>
    </row>
    <row r="3748" spans="1:9" x14ac:dyDescent="0.4">
      <c r="A3748" t="str">
        <f>"つぼ"</f>
        <v>つぼ</v>
      </c>
      <c r="B3748" s="1" t="str">
        <f t="shared" si="195"/>
        <v>つぼ</v>
      </c>
      <c r="C3748" t="str">
        <f>"ツボ"</f>
        <v>ツボ</v>
      </c>
      <c r="D3748" t="str">
        <f>"壷吟社"</f>
        <v>壷吟社</v>
      </c>
      <c r="E3748" t="str">
        <f>"ツボギンシャ"</f>
        <v>ツボギンシャ</v>
      </c>
      <c r="F3748" t="str">
        <f>"岡山"</f>
        <v>岡山</v>
      </c>
      <c r="G3748" t="str">
        <f>"頻度不明"</f>
        <v>頻度不明</v>
      </c>
      <c r="H3748" t="str">
        <f>"2002222284583"</f>
        <v>2002222284583</v>
      </c>
      <c r="I3748" t="str">
        <f>HYPERLINK("#", "https://opac.libnet.pref.okayama.jp/licsxp-opac/WOpacMsgNewListToTifTilDetailAction.do?tilcod=2002222284583")</f>
        <v>https://opac.libnet.pref.okayama.jp/licsxp-opac/WOpacMsgNewListToTifTilDetailAction.do?tilcod=2002222284583</v>
      </c>
    </row>
    <row r="3749" spans="1:9" x14ac:dyDescent="0.4">
      <c r="A3749" t="str">
        <f>"摘草"</f>
        <v>摘草</v>
      </c>
      <c r="B3749" s="1" t="str">
        <f t="shared" si="195"/>
        <v>摘草</v>
      </c>
      <c r="C3749" t="str">
        <f>"ツミクサ"</f>
        <v>ツミクサ</v>
      </c>
      <c r="D3749" t="str">
        <f>"あざみ倉敷支部句会"</f>
        <v>あざみ倉敷支部句会</v>
      </c>
      <c r="E3749" t="str">
        <f>"アザミクラシキシブクカイ"</f>
        <v>アザミクラシキシブクカイ</v>
      </c>
      <c r="F3749" t="str">
        <f>"倉敷"</f>
        <v>倉敷</v>
      </c>
      <c r="G3749" t="str">
        <f>"年刊"</f>
        <v>年刊</v>
      </c>
      <c r="H3749" t="str">
        <f>"2002222280611"</f>
        <v>2002222280611</v>
      </c>
      <c r="I3749" t="str">
        <f>HYPERLINK("#", "https://opac.libnet.pref.okayama.jp/licsxp-opac/WOpacMsgNewListToTifTilDetailAction.do?tilcod=2002222280611")</f>
        <v>https://opac.libnet.pref.okayama.jp/licsxp-opac/WOpacMsgNewListToTifTilDetailAction.do?tilcod=2002222280611</v>
      </c>
    </row>
    <row r="3750" spans="1:9" x14ac:dyDescent="0.4">
      <c r="A3750" t="str">
        <f>"つめくさの信号"</f>
        <v>つめくさの信号</v>
      </c>
      <c r="B3750" s="1" t="str">
        <f t="shared" si="195"/>
        <v>つめくさの信号</v>
      </c>
      <c r="C3750" t="str">
        <f>"ツメクサ　ノ　シンゴウ"</f>
        <v>ツメクサ　ノ　シンゴウ</v>
      </c>
      <c r="D3750" t="str">
        <f>"つめくさ発信局"</f>
        <v>つめくさ発信局</v>
      </c>
      <c r="E3750" t="str">
        <f>"ツメクサ ハッシンキョク"</f>
        <v>ツメクサ ハッシンキョク</v>
      </c>
      <c r="F3750" t="str">
        <f>"岡山"</f>
        <v>岡山</v>
      </c>
      <c r="G3750" t="str">
        <f>"隔月刊"</f>
        <v>隔月刊</v>
      </c>
      <c r="H3750" t="str">
        <f>"2002222292941"</f>
        <v>2002222292941</v>
      </c>
      <c r="I3750" t="str">
        <f>HYPERLINK("#", "https://opac.libnet.pref.okayama.jp/licsxp-opac/WOpacMsgNewListToTifTilDetailAction.do?tilcod=2002222292941")</f>
        <v>https://opac.libnet.pref.okayama.jp/licsxp-opac/WOpacMsgNewListToTifTilDetailAction.do?tilcod=2002222292941</v>
      </c>
    </row>
    <row r="3751" spans="1:9" x14ac:dyDescent="0.4">
      <c r="A3751" t="str">
        <f>"Tsuyama"</f>
        <v>Tsuyama</v>
      </c>
      <c r="B3751" s="1" t="str">
        <f t="shared" si="195"/>
        <v>Tsuyama</v>
      </c>
      <c r="C3751" t="str">
        <f>"ツヤマ"</f>
        <v>ツヤマ</v>
      </c>
      <c r="D3751" t="str">
        <f>"The Tsuyama Tourist Helping Volunteers in Service"</f>
        <v>The Tsuyama Tourist Helping Volunteers in Service</v>
      </c>
      <c r="E3751" t="str">
        <f>"THE TSUYAMA  TOURIST HELPING VOLUNTEERS IN SURVICE"</f>
        <v>THE TSUYAMA  TOURIST HELPING VOLUNTEERS IN SURVICE</v>
      </c>
      <c r="F3751" t="str">
        <f t="shared" ref="F3751:F3791" si="197">"津山"</f>
        <v>津山</v>
      </c>
      <c r="G3751" t="str">
        <f>"季刊"</f>
        <v>季刊</v>
      </c>
      <c r="H3751" t="str">
        <f>"2002222307506"</f>
        <v>2002222307506</v>
      </c>
      <c r="I3751" t="str">
        <f>HYPERLINK("#", "https://opac.libnet.pref.okayama.jp/licsxp-opac/WOpacMsgNewListToTifTilDetailAction.do?tilcod=2002222307506")</f>
        <v>https://opac.libnet.pref.okayama.jp/licsxp-opac/WOpacMsgNewListToTifTilDetailAction.do?tilcod=2002222307506</v>
      </c>
    </row>
    <row r="3752" spans="1:9" x14ac:dyDescent="0.4">
      <c r="A3752" t="str">
        <f>"津山温知会誌"</f>
        <v>津山温知会誌</v>
      </c>
      <c r="B3752" s="1" t="str">
        <f t="shared" si="195"/>
        <v>津山温知会誌</v>
      </c>
      <c r="C3752" t="str">
        <f>"ツヤマ　オンチ　カイシ"</f>
        <v>ツヤマ　オンチ　カイシ</v>
      </c>
      <c r="D3752" t="str">
        <f>"津山温知会"</f>
        <v>津山温知会</v>
      </c>
      <c r="E3752" t="str">
        <f>"ツヤマオンチカイ"</f>
        <v>ツヤマオンチカイ</v>
      </c>
      <c r="F3752" t="str">
        <f t="shared" si="197"/>
        <v>津山</v>
      </c>
      <c r="G3752" t="str">
        <f>"頻度不明"</f>
        <v>頻度不明</v>
      </c>
      <c r="H3752" t="str">
        <f>"2002222284773"</f>
        <v>2002222284773</v>
      </c>
      <c r="I3752" t="str">
        <f>HYPERLINK("#", "https://opac.libnet.pref.okayama.jp/licsxp-opac/WOpacMsgNewListToTifTilDetailAction.do?tilcod=2002222284773")</f>
        <v>https://opac.libnet.pref.okayama.jp/licsxp-opac/WOpacMsgNewListToTifTilDetailAction.do?tilcod=2002222284773</v>
      </c>
    </row>
    <row r="3753" spans="1:9" x14ac:dyDescent="0.4">
      <c r="A3753" t="str">
        <f>"津山教育事務所だより"</f>
        <v>津山教育事務所だより</v>
      </c>
      <c r="B3753" s="1" t="str">
        <f t="shared" si="195"/>
        <v>津山教育事務所だより</v>
      </c>
      <c r="C3753" t="str">
        <f>"ツヤマ　キョウイク　ジムショ　ダヨリ"</f>
        <v>ツヤマ　キョウイク　ジムショ　ダヨリ</v>
      </c>
      <c r="D3753" t="str">
        <f>"津山教育事務所"</f>
        <v>津山教育事務所</v>
      </c>
      <c r="E3753" t="str">
        <f>"ツヤマ キョウイク ジムショ"</f>
        <v>ツヤマ キョウイク ジムショ</v>
      </c>
      <c r="F3753" t="str">
        <f t="shared" si="197"/>
        <v>津山</v>
      </c>
      <c r="G3753" t="str">
        <f>"頻度不明"</f>
        <v>頻度不明</v>
      </c>
      <c r="H3753" t="str">
        <f>"2002222284593"</f>
        <v>2002222284593</v>
      </c>
      <c r="I3753" t="str">
        <f>HYPERLINK("#", "https://opac.libnet.pref.okayama.jp/licsxp-opac/WOpacMsgNewListToTifTilDetailAction.do?tilcod=2002222284593")</f>
        <v>https://opac.libnet.pref.okayama.jp/licsxp-opac/WOpacMsgNewListToTifTilDetailAction.do?tilcod=2002222284593</v>
      </c>
    </row>
    <row r="3754" spans="1:9" x14ac:dyDescent="0.4">
      <c r="A3754" t="str">
        <f>"津山検審"</f>
        <v>津山検審</v>
      </c>
      <c r="B3754" s="1" t="str">
        <f t="shared" si="195"/>
        <v>津山検審</v>
      </c>
      <c r="C3754" t="str">
        <f>"ツヤマ　ケンシン"</f>
        <v>ツヤマ　ケンシン</v>
      </c>
      <c r="D3754" t="str">
        <f>"津山検察審査協会"</f>
        <v>津山検察審査協会</v>
      </c>
      <c r="E3754" t="str">
        <f>"ツヤマケンサツシンサキョウカイ"</f>
        <v>ツヤマケンサツシンサキョウカイ</v>
      </c>
      <c r="F3754" t="str">
        <f t="shared" si="197"/>
        <v>津山</v>
      </c>
      <c r="G3754" t="str">
        <f>"頻度不明"</f>
        <v>頻度不明</v>
      </c>
      <c r="H3754" t="str">
        <f>"2002222329586"</f>
        <v>2002222329586</v>
      </c>
      <c r="I3754" t="str">
        <f>HYPERLINK("#", "https://opac.libnet.pref.okayama.jp/licsxp-opac/WOpacMsgNewListToTifTilDetailAction.do?tilcod=2002222329586")</f>
        <v>https://opac.libnet.pref.okayama.jp/licsxp-opac/WOpacMsgNewListToTifTilDetailAction.do?tilcod=2002222329586</v>
      </c>
    </row>
    <row r="3755" spans="1:9" x14ac:dyDescent="0.4">
      <c r="A3755" t="str">
        <f>"津山工業高校図書館報；アカンサス　ライブラリー"</f>
        <v>津山工業高校図書館報；アカンサス　ライブラリー</v>
      </c>
      <c r="B3755" s="1" t="str">
        <f t="shared" si="195"/>
        <v>津山工業高校図書館報；アカンサス　ライブラリー</v>
      </c>
      <c r="C3755" t="str">
        <f>"ツヤマ　コウギョウ　コウコウ　トショカンポウ＊カンサス　ライブラリー"</f>
        <v>ツヤマ　コウギョウ　コウコウ　トショカンポウ＊カンサス　ライブラリー</v>
      </c>
      <c r="D3755" t="str">
        <f>"津山工業高等学校図書委員会"</f>
        <v>津山工業高等学校図書委員会</v>
      </c>
      <c r="E3755" t="str">
        <f>"ツヤマコウギョウコウトウガッコウトショイインカイ"</f>
        <v>ツヤマコウギョウコウトウガッコウトショイインカイ</v>
      </c>
      <c r="F3755" t="str">
        <f t="shared" si="197"/>
        <v>津山</v>
      </c>
      <c r="G3755" t="str">
        <f>"年刊"</f>
        <v>年刊</v>
      </c>
      <c r="H3755" t="str">
        <f>"2002222300746"</f>
        <v>2002222300746</v>
      </c>
      <c r="I3755" t="str">
        <f>HYPERLINK("#", "https://opac.libnet.pref.okayama.jp/licsxp-opac/WOpacMsgNewListToTifTilDetailAction.do?tilcod=2002222300746")</f>
        <v>https://opac.libnet.pref.okayama.jp/licsxp-opac/WOpacMsgNewListToTifTilDetailAction.do?tilcod=2002222300746</v>
      </c>
    </row>
    <row r="3756" spans="1:9" x14ac:dyDescent="0.4">
      <c r="A3756" t="str">
        <f>"[津山工業高等学校] 学校案内"</f>
        <v>[津山工業高等学校] 学校案内</v>
      </c>
      <c r="B3756" s="1" t="str">
        <f t="shared" si="195"/>
        <v>[津山工業高等学校] 学校案内</v>
      </c>
      <c r="C3756" t="str">
        <f>"ツヤマ　コウギョウ　コウトウ　ガッコウ　ガッコウ　アンナイ"</f>
        <v>ツヤマ　コウギョウ　コウトウ　ガッコウ　ガッコウ　アンナイ</v>
      </c>
      <c r="D3756" t="str">
        <f>"津山工業高等学校"</f>
        <v>津山工業高等学校</v>
      </c>
      <c r="E3756" t="str">
        <f>"ツヤマコウギョウコウトウガッコウ"</f>
        <v>ツヤマコウギョウコウトウガッコウ</v>
      </c>
      <c r="F3756" t="str">
        <f t="shared" si="197"/>
        <v>津山</v>
      </c>
      <c r="G3756" t="str">
        <f>"年刊"</f>
        <v>年刊</v>
      </c>
      <c r="H3756" t="str">
        <f>"2002222301279"</f>
        <v>2002222301279</v>
      </c>
      <c r="I3756" t="str">
        <f>HYPERLINK("#", "https://opac.libnet.pref.okayama.jp/licsxp-opac/WOpacMsgNewListToTifTilDetailAction.do?tilcod=2002222301279")</f>
        <v>https://opac.libnet.pref.okayama.jp/licsxp-opac/WOpacMsgNewListToTifTilDetailAction.do?tilcod=2002222301279</v>
      </c>
    </row>
    <row r="3757" spans="1:9" x14ac:dyDescent="0.4">
      <c r="A3757" t="str">
        <f>"[津山工業高等学校] 学校要覧"</f>
        <v>[津山工業高等学校] 学校要覧</v>
      </c>
      <c r="B3757" s="1" t="str">
        <f t="shared" si="195"/>
        <v>[津山工業高等学校] 学校要覧</v>
      </c>
      <c r="C3757" t="str">
        <f>"ツヤマ　コウギョウ　コウトウ　ガッコウ　ガッコウ　ヨウラン"</f>
        <v>ツヤマ　コウギョウ　コウトウ　ガッコウ　ガッコウ　ヨウラン</v>
      </c>
      <c r="D3757" t="str">
        <f>"津山工業高等学校"</f>
        <v>津山工業高等学校</v>
      </c>
      <c r="E3757" t="str">
        <f>"ツヤマコウギョウコウトウガッコウ"</f>
        <v>ツヤマコウギョウコウトウガッコウ</v>
      </c>
      <c r="F3757" t="str">
        <f t="shared" si="197"/>
        <v>津山</v>
      </c>
      <c r="G3757" t="str">
        <f>"年刊"</f>
        <v>年刊</v>
      </c>
      <c r="H3757" t="str">
        <f>"2002222300510"</f>
        <v>2002222300510</v>
      </c>
      <c r="I3757" t="str">
        <f>HYPERLINK("#", "https://opac.libnet.pref.okayama.jp/licsxp-opac/WOpacMsgNewListToTifTilDetailAction.do?tilcod=2002222300510")</f>
        <v>https://opac.libnet.pref.okayama.jp/licsxp-opac/WOpacMsgNewListToTifTilDetailAction.do?tilcod=2002222300510</v>
      </c>
    </row>
    <row r="3758" spans="1:9" x14ac:dyDescent="0.4">
      <c r="A3758" t="str">
        <f>"津山工業高等専門学校学校案内"</f>
        <v>津山工業高等専門学校学校案内</v>
      </c>
      <c r="B3758" s="1" t="str">
        <f t="shared" si="195"/>
        <v>津山工業高等専門学校学校案内</v>
      </c>
      <c r="C3758" t="str">
        <f>"ツヤマ　コウギョウ　コウトウ　センモン　ガッコウ　ガッコウ　アンナイ"</f>
        <v>ツヤマ　コウギョウ　コウトウ　センモン　ガッコウ　ガッコウ　アンナイ</v>
      </c>
      <c r="D3758" t="str">
        <f>"津山工業高等専門学校"</f>
        <v>津山工業高等専門学校</v>
      </c>
      <c r="E3758" t="str">
        <f>"ツヤマコウギョウコウトウセンモンガッコウ"</f>
        <v>ツヤマコウギョウコウトウセンモンガッコウ</v>
      </c>
      <c r="F3758" t="str">
        <f t="shared" si="197"/>
        <v>津山</v>
      </c>
      <c r="G3758" t="str">
        <f>"年刊"</f>
        <v>年刊</v>
      </c>
      <c r="H3758" t="str">
        <f>"2002222301276"</f>
        <v>2002222301276</v>
      </c>
      <c r="I3758" t="str">
        <f>HYPERLINK("#", "https://opac.libnet.pref.okayama.jp/licsxp-opac/WOpacMsgNewListToTifTilDetailAction.do?tilcod=2002222301276")</f>
        <v>https://opac.libnet.pref.okayama.jp/licsxp-opac/WOpacMsgNewListToTifTilDetailAction.do?tilcod=2002222301276</v>
      </c>
    </row>
    <row r="3759" spans="1:9" x14ac:dyDescent="0.4">
      <c r="A3759" t="str">
        <f>"津山工業高等専門学校学校要覧"</f>
        <v>津山工業高等専門学校学校要覧</v>
      </c>
      <c r="B3759" s="1" t="str">
        <f t="shared" si="195"/>
        <v>津山工業高等専門学校学校要覧</v>
      </c>
      <c r="C3759" t="str">
        <f>"ツヤマ　コウギョウ　コウトウ　センモン　ガッコウ　ガッコウ　ヨウラン"</f>
        <v>ツヤマ　コウギョウ　コウトウ　センモン　ガッコウ　ガッコウ　ヨウラン</v>
      </c>
      <c r="D3759" t="str">
        <f>"津山工業高等専門学校"</f>
        <v>津山工業高等専門学校</v>
      </c>
      <c r="E3759" t="str">
        <f>"ツヤマコウギョウコウトウセンモンガッコウ"</f>
        <v>ツヤマコウギョウコウトウセンモンガッコウ</v>
      </c>
      <c r="F3759" t="str">
        <f t="shared" si="197"/>
        <v>津山</v>
      </c>
      <c r="G3759" t="str">
        <f>"年刊"</f>
        <v>年刊</v>
      </c>
      <c r="H3759" t="str">
        <f>"2002222300589"</f>
        <v>2002222300589</v>
      </c>
      <c r="I3759" t="str">
        <f>HYPERLINK("#", "https://opac.libnet.pref.okayama.jp/licsxp-opac/WOpacMsgNewListToTifTilDetailAction.do?tilcod=2002222300589")</f>
        <v>https://opac.libnet.pref.okayama.jp/licsxp-opac/WOpacMsgNewListToTifTilDetailAction.do?tilcod=2002222300589</v>
      </c>
    </row>
    <row r="3760" spans="1:9" x14ac:dyDescent="0.4">
      <c r="A3760" t="str">
        <f>"津山工業高等専門学校紀要"</f>
        <v>津山工業高等専門学校紀要</v>
      </c>
      <c r="B3760" s="1" t="str">
        <f t="shared" si="195"/>
        <v>津山工業高等専門学校紀要</v>
      </c>
      <c r="C3760" t="str">
        <f>"ツヤマ　コウギョウ　コウトウ　センモン　ガッコウ　キヨウ"</f>
        <v>ツヤマ　コウギョウ　コウトウ　センモン　ガッコウ　キヨウ</v>
      </c>
      <c r="D3760" t="str">
        <f>"津山工業高等専門学校"</f>
        <v>津山工業高等専門学校</v>
      </c>
      <c r="E3760" t="str">
        <f>"ツヤマコウギョウコウトウセンモンガッコウ"</f>
        <v>ツヤマコウギョウコウトウセンモンガッコウ</v>
      </c>
      <c r="F3760" t="str">
        <f t="shared" si="197"/>
        <v>津山</v>
      </c>
      <c r="G3760" t="str">
        <f>"年２回刊"</f>
        <v>年２回刊</v>
      </c>
      <c r="H3760" t="str">
        <f>"2002222293901"</f>
        <v>2002222293901</v>
      </c>
      <c r="I3760" t="str">
        <f>HYPERLINK("#", "https://opac.libnet.pref.okayama.jp/licsxp-opac/WOpacMsgNewListToTifTilDetailAction.do?tilcod=2002222293901")</f>
        <v>https://opac.libnet.pref.okayama.jp/licsxp-opac/WOpacMsgNewListToTifTilDetailAction.do?tilcod=2002222293901</v>
      </c>
    </row>
    <row r="3761" spans="1:9" x14ac:dyDescent="0.4">
      <c r="A3761" t="str">
        <f>"〔津山工業高等専門学校〕教育研究支援センター報"</f>
        <v>〔津山工業高等専門学校〕教育研究支援センター報</v>
      </c>
      <c r="B3761" s="1" t="str">
        <f t="shared" si="195"/>
        <v>〔津山工業高等専門学校〕教育研究支援センター報</v>
      </c>
      <c r="C3761" t="str">
        <f>"ツヤマ　コウギョウ　コウトウ　センモン　ガッコウ＊キョウイク　ケンキュウ　シエン　センター　ホウ"</f>
        <v>ツヤマ　コウギョウ　コウトウ　センモン　ガッコウ＊キョウイク　ケンキュウ　シエン　センター　ホウ</v>
      </c>
      <c r="D3761" t="str">
        <f>"津山工業高等専門学校教育研究支援センター"</f>
        <v>津山工業高等専門学校教育研究支援センター</v>
      </c>
      <c r="E3761" t="str">
        <f>"ツヤマコウギョウコウトウセンモンガッコウキョウイクケンキュウシエンセンター"</f>
        <v>ツヤマコウギョウコウトウセンモンガッコウキョウイクケンキュウシエンセンター</v>
      </c>
      <c r="F3761" t="str">
        <f t="shared" si="197"/>
        <v>津山</v>
      </c>
      <c r="G3761" t="str">
        <f>"頻度不明"</f>
        <v>頻度不明</v>
      </c>
      <c r="H3761" t="str">
        <f>"2002222302051"</f>
        <v>2002222302051</v>
      </c>
      <c r="I3761" t="str">
        <f>HYPERLINK("#", "https://opac.libnet.pref.okayama.jp/licsxp-opac/WOpacMsgNewListToTifTilDetailAction.do?tilcod=2002222302051")</f>
        <v>https://opac.libnet.pref.okayama.jp/licsxp-opac/WOpacMsgNewListToTifTilDetailAction.do?tilcod=2002222302051</v>
      </c>
    </row>
    <row r="3762" spans="1:9" x14ac:dyDescent="0.4">
      <c r="A3762" t="str">
        <f>"〔津山工業高等専門学校〕シラバス"</f>
        <v>〔津山工業高等専門学校〕シラバス</v>
      </c>
      <c r="B3762" s="1" t="str">
        <f t="shared" si="195"/>
        <v>〔津山工業高等専門学校〕シラバス</v>
      </c>
      <c r="C3762" t="str">
        <f>"ツヤマ　コウギョウ　コウトウ　センモン　ガッコウ＊シラバス"</f>
        <v>ツヤマ　コウギョウ　コウトウ　センモン　ガッコウ＊シラバス</v>
      </c>
      <c r="D3762" t="str">
        <f>"津山工業高等専門学校"</f>
        <v>津山工業高等専門学校</v>
      </c>
      <c r="E3762" t="str">
        <f>"ツヤマコウギョウコウトウセンモンガッコウ"</f>
        <v>ツヤマコウギョウコウトウセンモンガッコウ</v>
      </c>
      <c r="F3762" t="str">
        <f t="shared" si="197"/>
        <v>津山</v>
      </c>
      <c r="G3762" t="str">
        <f>"年刊"</f>
        <v>年刊</v>
      </c>
      <c r="H3762" t="str">
        <f>"2002222300734"</f>
        <v>2002222300734</v>
      </c>
      <c r="I3762" t="str">
        <f>HYPERLINK("#", "https://opac.libnet.pref.okayama.jp/licsxp-opac/WOpacMsgNewListToTifTilDetailAction.do?tilcod=2002222300734")</f>
        <v>https://opac.libnet.pref.okayama.jp/licsxp-opac/WOpacMsgNewListToTifTilDetailAction.do?tilcod=2002222300734</v>
      </c>
    </row>
    <row r="3763" spans="1:9" x14ac:dyDescent="0.4">
      <c r="A3763" t="str">
        <f>"〔津山工業高等専門学校〕総合情報センター報"</f>
        <v>〔津山工業高等専門学校〕総合情報センター報</v>
      </c>
      <c r="B3763" s="1" t="str">
        <f t="shared" si="195"/>
        <v>〔津山工業高等専門学校〕総合情報センター報</v>
      </c>
      <c r="C3763" t="str">
        <f>"ツヤマ　コウギョウ　コウトウ　センモン　ガッコウ＊ソウゴウ　ジョウホウ　センターホウ"</f>
        <v>ツヤマ　コウギョウ　コウトウ　センモン　ガッコウ＊ソウゴウ　ジョウホウ　センターホウ</v>
      </c>
      <c r="D3763" t="str">
        <f>"津山工業高等専門学校総合情報センター"</f>
        <v>津山工業高等専門学校総合情報センター</v>
      </c>
      <c r="E3763" t="str">
        <f>"ツヤマコウギョウコウトウセンモンガッコウソウゴウジョウホウセンター"</f>
        <v>ツヤマコウギョウコウトウセンモンガッコウソウゴウジョウホウセンター</v>
      </c>
      <c r="F3763" t="str">
        <f t="shared" si="197"/>
        <v>津山</v>
      </c>
      <c r="G3763" t="str">
        <f>"年刊"</f>
        <v>年刊</v>
      </c>
      <c r="H3763" t="str">
        <f>"2002222301086"</f>
        <v>2002222301086</v>
      </c>
      <c r="I3763" t="str">
        <f>HYPERLINK("#", "https://opac.libnet.pref.okayama.jp/licsxp-opac/WOpacMsgNewListToTifTilDetailAction.do?tilcod=2002222301086")</f>
        <v>https://opac.libnet.pref.okayama.jp/licsxp-opac/WOpacMsgNewListToTifTilDetailAction.do?tilcod=2002222301086</v>
      </c>
    </row>
    <row r="3764" spans="1:9" x14ac:dyDescent="0.4">
      <c r="A3764" t="str">
        <f>"〔津山工業・林野高等学校〕合同機関誌　波紋"</f>
        <v>〔津山工業・林野高等学校〕合同機関誌　波紋</v>
      </c>
      <c r="B3764" s="1" t="str">
        <f t="shared" si="195"/>
        <v>〔津山工業・林野高等学校〕合同機関誌　波紋</v>
      </c>
      <c r="C3764" t="str">
        <f>"ツヤマ　コウギョウ　ハヤシノ　コウトウ　ガッコウ　ゴウドウ　キカンシ　ハモン"</f>
        <v>ツヤマ　コウギョウ　ハヤシノ　コウトウ　ガッコウ　ゴウドウ　キカンシ　ハモン</v>
      </c>
      <c r="D3764" t="str">
        <f>"津山工業高等学校文学部"</f>
        <v>津山工業高等学校文学部</v>
      </c>
      <c r="E3764" t="str">
        <f>"ツヤマコウギョウコウトウガッコウブンガクブ"</f>
        <v>ツヤマコウギョウコウトウガッコウブンガクブ</v>
      </c>
      <c r="F3764" t="str">
        <f t="shared" si="197"/>
        <v>津山</v>
      </c>
      <c r="G3764" t="str">
        <f>"頻度不明"</f>
        <v>頻度不明</v>
      </c>
      <c r="H3764" t="str">
        <f>"2002222301447"</f>
        <v>2002222301447</v>
      </c>
      <c r="I3764" t="str">
        <f>HYPERLINK("#", "https://opac.libnet.pref.okayama.jp/licsxp-opac/WOpacMsgNewListToTifTilDetailAction.do?tilcod=2002222301447")</f>
        <v>https://opac.libnet.pref.okayama.jp/licsxp-opac/WOpacMsgNewListToTifTilDetailAction.do?tilcod=2002222301447</v>
      </c>
    </row>
    <row r="3765" spans="1:9" x14ac:dyDescent="0.4">
      <c r="A3765" t="str">
        <f>"津山高専図書館だより"</f>
        <v>津山高専図書館だより</v>
      </c>
      <c r="B3765" s="1" t="str">
        <f t="shared" si="195"/>
        <v>津山高専図書館だより</v>
      </c>
      <c r="C3765" t="str">
        <f>"ツヤマ　コウセン　トショカン　ダヨリ"</f>
        <v>ツヤマ　コウセン　トショカン　ダヨリ</v>
      </c>
      <c r="D3765" t="str">
        <f>"図書館だより制作委員会"</f>
        <v>図書館だより制作委員会</v>
      </c>
      <c r="E3765" t="str">
        <f>"トショカンダヨリセイサクイインカイ"</f>
        <v>トショカンダヨリセイサクイインカイ</v>
      </c>
      <c r="F3765" t="str">
        <f t="shared" si="197"/>
        <v>津山</v>
      </c>
      <c r="G3765" t="str">
        <f>"頻度不明"</f>
        <v>頻度不明</v>
      </c>
      <c r="H3765" t="str">
        <f>"2002222301468"</f>
        <v>2002222301468</v>
      </c>
      <c r="I3765" t="str">
        <f>HYPERLINK("#", "https://opac.libnet.pref.okayama.jp/licsxp-opac/WOpacMsgNewListToTifTilDetailAction.do?tilcod=2002222301468")</f>
        <v>https://opac.libnet.pref.okayama.jp/licsxp-opac/WOpacMsgNewListToTifTilDetailAction.do?tilcod=2002222301468</v>
      </c>
    </row>
    <row r="3766" spans="1:9" x14ac:dyDescent="0.4">
      <c r="A3766" t="str">
        <f>"津山高専図書館報"</f>
        <v>津山高専図書館報</v>
      </c>
      <c r="B3766" s="1" t="str">
        <f t="shared" si="195"/>
        <v>津山高専図書館報</v>
      </c>
      <c r="C3766" t="str">
        <f>"ツヤマ　コウセン　トショカンポウ"</f>
        <v>ツヤマ　コウセン　トショカンポウ</v>
      </c>
      <c r="D3766" t="str">
        <f>"津山工業高等専門学校"</f>
        <v>津山工業高等専門学校</v>
      </c>
      <c r="E3766" t="str">
        <f>"ツヤマコウギョウコウトウセンモンガッコウ"</f>
        <v>ツヤマコウギョウコウトウセンモンガッコウ</v>
      </c>
      <c r="F3766" t="str">
        <f t="shared" si="197"/>
        <v>津山</v>
      </c>
      <c r="G3766" t="str">
        <f>"年刊"</f>
        <v>年刊</v>
      </c>
      <c r="H3766" t="str">
        <f>"2002222284603"</f>
        <v>2002222284603</v>
      </c>
      <c r="I3766" t="str">
        <f>HYPERLINK("#", "https://opac.libnet.pref.okayama.jp/licsxp-opac/WOpacMsgNewListToTifTilDetailAction.do?tilcod=2002222284603")</f>
        <v>https://opac.libnet.pref.okayama.jp/licsxp-opac/WOpacMsgNewListToTifTilDetailAction.do?tilcod=2002222284603</v>
      </c>
    </row>
    <row r="3767" spans="1:9" x14ac:dyDescent="0.4">
      <c r="A3767" t="str">
        <f>"津山高等学校学校案内"</f>
        <v>津山高等学校学校案内</v>
      </c>
      <c r="B3767" s="1" t="str">
        <f t="shared" si="195"/>
        <v>津山高等学校学校案内</v>
      </c>
      <c r="C3767" t="str">
        <f>"ツヤマ　コウトウ　ガッコウ　ガッコウ　アンナイ"</f>
        <v>ツヤマ　コウトウ　ガッコウ　ガッコウ　アンナイ</v>
      </c>
      <c r="D3767" t="str">
        <f>"津山高等学校"</f>
        <v>津山高等学校</v>
      </c>
      <c r="E3767" t="str">
        <f>"ツヤマコウトウガッコウ"</f>
        <v>ツヤマコウトウガッコウ</v>
      </c>
      <c r="F3767" t="str">
        <f t="shared" si="197"/>
        <v>津山</v>
      </c>
      <c r="G3767" t="str">
        <f>"年刊"</f>
        <v>年刊</v>
      </c>
      <c r="H3767" t="str">
        <f>"2002222301280"</f>
        <v>2002222301280</v>
      </c>
      <c r="I3767" t="str">
        <f>HYPERLINK("#", "https://opac.libnet.pref.okayama.jp/licsxp-opac/WOpacMsgNewListToTifTilDetailAction.do?tilcod=2002222301280")</f>
        <v>https://opac.libnet.pref.okayama.jp/licsxp-opac/WOpacMsgNewListToTifTilDetailAction.do?tilcod=2002222301280</v>
      </c>
    </row>
    <row r="3768" spans="1:9" x14ac:dyDescent="0.4">
      <c r="A3768" t="str">
        <f>"津山高等学校学校要覧；津山高等学校学校概要"</f>
        <v>津山高等学校学校要覧；津山高等学校学校概要</v>
      </c>
      <c r="B3768" s="1" t="str">
        <f t="shared" si="195"/>
        <v>津山高等学校学校要覧；津山高等学校学校概要</v>
      </c>
      <c r="C3768" t="str">
        <f>"ツヤマ　コウトウ　ガッコウ　ガッコウ　ヨウラン＊ツヤマ　コウトウ　ガッコウ　ガッコウ　ガイヨウ"</f>
        <v>ツヤマ　コウトウ　ガッコウ　ガッコウ　ヨウラン＊ツヤマ　コウトウ　ガッコウ　ガッコウ　ガイヨウ</v>
      </c>
      <c r="D3768" t="str">
        <f>"津山高等学校"</f>
        <v>津山高等学校</v>
      </c>
      <c r="E3768" t="str">
        <f>"ツヤマ コウトウ ガッコウ"</f>
        <v>ツヤマ コウトウ ガッコウ</v>
      </c>
      <c r="F3768" t="str">
        <f t="shared" si="197"/>
        <v>津山</v>
      </c>
      <c r="G3768" t="str">
        <f>"年刊"</f>
        <v>年刊</v>
      </c>
      <c r="H3768" t="str">
        <f>"2002222300508"</f>
        <v>2002222300508</v>
      </c>
      <c r="I3768" t="str">
        <f>HYPERLINK("#", "https://opac.libnet.pref.okayama.jp/licsxp-opac/WOpacMsgNewListToTifTilDetailAction.do?tilcod=2002222300508")</f>
        <v>https://opac.libnet.pref.okayama.jp/licsxp-opac/WOpacMsgNewListToTifTilDetailAction.do?tilcod=2002222300508</v>
      </c>
    </row>
    <row r="3769" spans="1:9" x14ac:dyDescent="0.4">
      <c r="A3769" t="str">
        <f>"〔津山高等学校〕成美文芸"</f>
        <v>〔津山高等学校〕成美文芸</v>
      </c>
      <c r="B3769" s="1" t="str">
        <f t="shared" si="195"/>
        <v>〔津山高等学校〕成美文芸</v>
      </c>
      <c r="C3769" t="str">
        <f>"ツヤマ　コウトウ　ガッコウ　セイビ　ブンゲイ"</f>
        <v>ツヤマ　コウトウ　ガッコウ　セイビ　ブンゲイ</v>
      </c>
      <c r="D3769" t="str">
        <f>"津山高等学校文学部"</f>
        <v>津山高等学校文学部</v>
      </c>
      <c r="E3769" t="str">
        <f>"ツヤマコウトウガッコウブンガクブ"</f>
        <v>ツヤマコウトウガッコウブンガクブ</v>
      </c>
      <c r="F3769" t="str">
        <f t="shared" si="197"/>
        <v>津山</v>
      </c>
      <c r="G3769" t="str">
        <f>"頻度不明"</f>
        <v>頻度不明</v>
      </c>
      <c r="H3769" t="str">
        <f>"2002222300615"</f>
        <v>2002222300615</v>
      </c>
      <c r="I3769" t="str">
        <f>HYPERLINK("#", "https://opac.libnet.pref.okayama.jp/licsxp-opac/WOpacMsgNewListToTifTilDetailAction.do?tilcod=2002222300615")</f>
        <v>https://opac.libnet.pref.okayama.jp/licsxp-opac/WOpacMsgNewListToTifTilDetailAction.do?tilcod=2002222300615</v>
      </c>
    </row>
    <row r="3770" spans="1:9" x14ac:dyDescent="0.4">
      <c r="A3770" t="str">
        <f>"〔津山高等学校〕紀要"</f>
        <v>〔津山高等学校〕紀要</v>
      </c>
      <c r="B3770" s="1" t="str">
        <f t="shared" si="195"/>
        <v>〔津山高等学校〕紀要</v>
      </c>
      <c r="C3770" t="str">
        <f>"ツヤマ　コウトウ　ガッコウ＊キヨウ"</f>
        <v>ツヤマ　コウトウ　ガッコウ＊キヨウ</v>
      </c>
      <c r="D3770" t="str">
        <f>"津山高等学校"</f>
        <v>津山高等学校</v>
      </c>
      <c r="E3770" t="str">
        <f>"ツヤマコウトウガッコウ"</f>
        <v>ツヤマコウトウガッコウ</v>
      </c>
      <c r="F3770" t="str">
        <f t="shared" si="197"/>
        <v>津山</v>
      </c>
      <c r="G3770" t="str">
        <f>"年刊"</f>
        <v>年刊</v>
      </c>
      <c r="H3770" t="str">
        <f>"2002222280291"</f>
        <v>2002222280291</v>
      </c>
      <c r="I3770" t="str">
        <f>HYPERLINK("#", "https://opac.libnet.pref.okayama.jp/licsxp-opac/WOpacMsgNewListToTifTilDetailAction.do?tilcod=2002222280291")</f>
        <v>https://opac.libnet.pref.okayama.jp/licsxp-opac/WOpacMsgNewListToTifTilDetailAction.do?tilcod=2002222280291</v>
      </c>
    </row>
    <row r="3771" spans="1:9" x14ac:dyDescent="0.4">
      <c r="A3771" t="str">
        <f>"〔津山高等学校〕成美学園新聞"</f>
        <v>〔津山高等学校〕成美学園新聞</v>
      </c>
      <c r="B3771" s="1" t="str">
        <f t="shared" si="195"/>
        <v>〔津山高等学校〕成美学園新聞</v>
      </c>
      <c r="C3771" t="str">
        <f>"ツヤマ　コウトウ　ガッコウ＊セイビ　ガクエン　シンブン"</f>
        <v>ツヤマ　コウトウ　ガッコウ＊セイビ　ガクエン　シンブン</v>
      </c>
      <c r="D3771" t="str">
        <f>"津山高等学校新聞部"</f>
        <v>津山高等学校新聞部</v>
      </c>
      <c r="E3771" t="str">
        <f>"ツヤマ コウトウ ガッコウ シンブンブ"</f>
        <v>ツヤマ コウトウ ガッコウ シンブンブ</v>
      </c>
      <c r="F3771" t="str">
        <f t="shared" si="197"/>
        <v>津山</v>
      </c>
      <c r="G3771" t="str">
        <f>"不定期刊"</f>
        <v>不定期刊</v>
      </c>
      <c r="H3771" t="str">
        <f>"2002222301844"</f>
        <v>2002222301844</v>
      </c>
      <c r="I3771" t="str">
        <f>HYPERLINK("#", "https://opac.libnet.pref.okayama.jp/licsxp-opac/WOpacMsgNewListToTifTilDetailAction.do?tilcod=2002222301844")</f>
        <v>https://opac.libnet.pref.okayama.jp/licsxp-opac/WOpacMsgNewListToTifTilDetailAction.do?tilcod=2002222301844</v>
      </c>
    </row>
    <row r="3772" spans="1:9" x14ac:dyDescent="0.4">
      <c r="A3772" t="str">
        <f>"〔津山高等学校〕津高ライブラリー"</f>
        <v>〔津山高等学校〕津高ライブラリー</v>
      </c>
      <c r="B3772" s="1" t="str">
        <f t="shared" si="195"/>
        <v>〔津山高等学校〕津高ライブラリー</v>
      </c>
      <c r="C3772" t="str">
        <f>"ツヤマ　コウトウ　ガッコウ＊ツコウ　ライブラリー"</f>
        <v>ツヤマ　コウトウ　ガッコウ＊ツコウ　ライブラリー</v>
      </c>
      <c r="D3772" t="str">
        <f>"津山高等学校図書部"</f>
        <v>津山高等学校図書部</v>
      </c>
      <c r="E3772" t="str">
        <f>"ツヤマコウトウガッコウトショブ"</f>
        <v>ツヤマコウトウガッコウトショブ</v>
      </c>
      <c r="F3772" t="str">
        <f t="shared" si="197"/>
        <v>津山</v>
      </c>
      <c r="G3772" t="str">
        <f>"不定期刊"</f>
        <v>不定期刊</v>
      </c>
      <c r="H3772" t="str">
        <f>"2002222301928"</f>
        <v>2002222301928</v>
      </c>
      <c r="I3772" t="str">
        <f>HYPERLINK("#", "https://opac.libnet.pref.okayama.jp/licsxp-opac/WOpacMsgNewListToTifTilDetailAction.do?tilcod=2002222301928")</f>
        <v>https://opac.libnet.pref.okayama.jp/licsxp-opac/WOpacMsgNewListToTifTilDetailAction.do?tilcod=2002222301928</v>
      </c>
    </row>
    <row r="3773" spans="1:9" x14ac:dyDescent="0.4">
      <c r="A3773" t="str">
        <f>"[津山高等学校]椿陵"</f>
        <v>[津山高等学校]椿陵</v>
      </c>
      <c r="B3773" s="1" t="str">
        <f t="shared" si="195"/>
        <v>[津山高等学校]椿陵</v>
      </c>
      <c r="C3773" t="str">
        <f>"ツヤマ コウトウ ガッコウ＊ツバキガオカ"</f>
        <v>ツヤマ コウトウ ガッコウ＊ツバキガオカ</v>
      </c>
      <c r="D3773" t="str">
        <f>"津山高等学校・中学校生徒会"</f>
        <v>津山高等学校・中学校生徒会</v>
      </c>
      <c r="E3773" t="str">
        <f>"ツヤマ コウトウ ガッコウ チュウガッコウ セイトカイ"</f>
        <v>ツヤマ コウトウ ガッコウ チュウガッコウ セイトカイ</v>
      </c>
      <c r="F3773" t="str">
        <f t="shared" si="197"/>
        <v>津山</v>
      </c>
      <c r="G3773" t="str">
        <f>"年刊"</f>
        <v>年刊</v>
      </c>
      <c r="H3773" t="str">
        <f>"2002222300565"</f>
        <v>2002222300565</v>
      </c>
      <c r="I3773" t="str">
        <f>HYPERLINK("#", "https://opac.libnet.pref.okayama.jp/licsxp-opac/WOpacMsgNewListToTifTilDetailAction.do?tilcod=2002222300565")</f>
        <v>https://opac.libnet.pref.okayama.jp/licsxp-opac/WOpacMsgNewListToTifTilDetailAction.do?tilcod=2002222300565</v>
      </c>
    </row>
    <row r="3774" spans="1:9" x14ac:dyDescent="0.4">
      <c r="A3774" t="str">
        <f>"つやま済世の心"</f>
        <v>つやま済世の心</v>
      </c>
      <c r="B3774" s="1" t="str">
        <f t="shared" si="195"/>
        <v>つやま済世の心</v>
      </c>
      <c r="C3774" t="str">
        <f>"ツヤマ サイセイ ノ ココロ"</f>
        <v>ツヤマ サイセイ ノ ココロ</v>
      </c>
      <c r="D3774" t="str">
        <f>"津山市民生児童委員連合協議会"</f>
        <v>津山市民生児童委員連合協議会</v>
      </c>
      <c r="E3774" t="str">
        <f>"ツヤマシ ミンセイ ジドウ イイン レンゴウ キョウギカイ"</f>
        <v>ツヤマシ ミンセイ ジドウ イイン レンゴウ キョウギカイ</v>
      </c>
      <c r="F3774" t="str">
        <f t="shared" si="197"/>
        <v>津山</v>
      </c>
      <c r="G3774" t="str">
        <f>"年刊"</f>
        <v>年刊</v>
      </c>
      <c r="H3774" t="str">
        <f>"2002222337530"</f>
        <v>2002222337530</v>
      </c>
      <c r="I3774" t="str">
        <f>HYPERLINK("#", "https://opac.libnet.pref.okayama.jp/licsxp-opac/WOpacMsgNewListToTifTilDetailAction.do?tilcod=2002222337530")</f>
        <v>https://opac.libnet.pref.okayama.jp/licsxp-opac/WOpacMsgNewListToTifTilDetailAction.do?tilcod=2002222337530</v>
      </c>
    </row>
    <row r="3775" spans="1:9" x14ac:dyDescent="0.4">
      <c r="A3775" t="str">
        <f>"つやま市議会だより"</f>
        <v>つやま市議会だより</v>
      </c>
      <c r="B3775" s="1" t="str">
        <f t="shared" si="195"/>
        <v>つやま市議会だより</v>
      </c>
      <c r="C3775" t="str">
        <f>"ツヤマ シギカイ ダヨリ"</f>
        <v>ツヤマ シギカイ ダヨリ</v>
      </c>
      <c r="D3775" t="str">
        <f>"津山市議会"</f>
        <v>津山市議会</v>
      </c>
      <c r="E3775" t="str">
        <f>"ツヤマシギカイ"</f>
        <v>ツヤマシギカイ</v>
      </c>
      <c r="F3775" t="str">
        <f t="shared" si="197"/>
        <v>津山</v>
      </c>
      <c r="G3775" t="str">
        <f>"頻度不明"</f>
        <v>頻度不明</v>
      </c>
      <c r="H3775" t="str">
        <f>"2002222282151"</f>
        <v>2002222282151</v>
      </c>
      <c r="I3775" t="str">
        <f>HYPERLINK("#", "https://opac.libnet.pref.okayama.jp/licsxp-opac/WOpacMsgNewListToTifTilDetailAction.do?tilcod=2002222282151")</f>
        <v>https://opac.libnet.pref.okayama.jp/licsxp-opac/WOpacMsgNewListToTifTilDetailAction.do?tilcod=2002222282151</v>
      </c>
    </row>
    <row r="3776" spans="1:9" x14ac:dyDescent="0.4">
      <c r="A3776" t="str">
        <f>"津山市史研究"</f>
        <v>津山市史研究</v>
      </c>
      <c r="B3776" s="1" t="str">
        <f t="shared" si="195"/>
        <v>津山市史研究</v>
      </c>
      <c r="C3776" t="str">
        <f>"ツヤマ　シシ　ケンキュウ"</f>
        <v>ツヤマ　シシ　ケンキュウ</v>
      </c>
      <c r="D3776" t="str">
        <f>"津山市史編さん室"</f>
        <v>津山市史編さん室</v>
      </c>
      <c r="E3776" t="str">
        <f>"ツヤマシシ ヘンサンシツ"</f>
        <v>ツヤマシシ ヘンサンシツ</v>
      </c>
      <c r="F3776" t="str">
        <f t="shared" si="197"/>
        <v>津山</v>
      </c>
      <c r="G3776" t="str">
        <f>"頻度不明"</f>
        <v>頻度不明</v>
      </c>
      <c r="H3776" t="str">
        <f>"2002222323286"</f>
        <v>2002222323286</v>
      </c>
      <c r="I3776" t="str">
        <f>HYPERLINK("#", "https://opac.libnet.pref.okayama.jp/licsxp-opac/WOpacMsgNewListToTifTilDetailAction.do?tilcod=2002222323286")</f>
        <v>https://opac.libnet.pref.okayama.jp/licsxp-opac/WOpacMsgNewListToTifTilDetailAction.do?tilcod=2002222323286</v>
      </c>
    </row>
    <row r="3777" spans="1:9" x14ac:dyDescent="0.4">
      <c r="A3777" t="str">
        <f>"津山社会保険時報"</f>
        <v>津山社会保険時報</v>
      </c>
      <c r="B3777" s="1" t="str">
        <f t="shared" si="195"/>
        <v>津山社会保険時報</v>
      </c>
      <c r="C3777" t="str">
        <f>"ツヤマ シャカイ ホケン ジホウ"</f>
        <v>ツヤマ シャカイ ホケン ジホウ</v>
      </c>
      <c r="D3777" t="str">
        <f>"津山社会保険事務所"</f>
        <v>津山社会保険事務所</v>
      </c>
      <c r="E3777" t="str">
        <f>"ツヤマ シャカイ ホケン ジムショ"</f>
        <v>ツヤマ シャカイ ホケン ジムショ</v>
      </c>
      <c r="F3777" t="str">
        <f t="shared" si="197"/>
        <v>津山</v>
      </c>
      <c r="G3777" t="str">
        <f>"頻度不明"</f>
        <v>頻度不明</v>
      </c>
      <c r="H3777" t="str">
        <f>"2002222330106"</f>
        <v>2002222330106</v>
      </c>
      <c r="I3777" t="str">
        <f>HYPERLINK("#", "https://opac.libnet.pref.okayama.jp/licsxp-opac/WOpacMsgNewListToTifTilDetailAction.do?tilcod=2002222330106")</f>
        <v>https://opac.libnet.pref.okayama.jp/licsxp-opac/WOpacMsgNewListToTifTilDetailAction.do?tilcod=2002222330106</v>
      </c>
    </row>
    <row r="3778" spans="1:9" x14ac:dyDescent="0.4">
      <c r="A3778" t="str">
        <f>"〔津山商業高等学校〕津商新聞"</f>
        <v>〔津山商業高等学校〕津商新聞</v>
      </c>
      <c r="B3778" s="1" t="str">
        <f t="shared" si="195"/>
        <v>〔津山商業高等学校〕津商新聞</v>
      </c>
      <c r="C3778" t="str">
        <f>"ツヤマ　ショウギョウ　コウトウ　ガッコウ　＊ツショウ　シンブン"</f>
        <v>ツヤマ　ショウギョウ　コウトウ　ガッコウ　＊ツショウ　シンブン</v>
      </c>
      <c r="D3778" t="str">
        <f>"津山商業高等学校新聞部"</f>
        <v>津山商業高等学校新聞部</v>
      </c>
      <c r="E3778" t="str">
        <f>"ツヤマショウギョウコウトウガッコウシンブンブ"</f>
        <v>ツヤマショウギョウコウトウガッコウシンブンブ</v>
      </c>
      <c r="F3778" t="str">
        <f t="shared" si="197"/>
        <v>津山</v>
      </c>
      <c r="G3778" t="str">
        <f>"頻度不明"</f>
        <v>頻度不明</v>
      </c>
      <c r="H3778" t="str">
        <f>"2002222301957"</f>
        <v>2002222301957</v>
      </c>
      <c r="I3778" t="str">
        <f>HYPERLINK("#", "https://opac.libnet.pref.okayama.jp/licsxp-opac/WOpacMsgNewListToTifTilDetailAction.do?tilcod=2002222301957")</f>
        <v>https://opac.libnet.pref.okayama.jp/licsxp-opac/WOpacMsgNewListToTifTilDetailAction.do?tilcod=2002222301957</v>
      </c>
    </row>
    <row r="3779" spans="1:9" x14ac:dyDescent="0.4">
      <c r="A3779" t="str">
        <f>"[津山商業高等学校] 学校案内"</f>
        <v>[津山商業高等学校] 学校案内</v>
      </c>
      <c r="B3779" s="1" t="str">
        <f t="shared" si="195"/>
        <v>[津山商業高等学校] 学校案内</v>
      </c>
      <c r="C3779" t="str">
        <f>"ツヤマ　ショウギョウ　コウトウ　ガッコウ　ガッコウ　アンナイ"</f>
        <v>ツヤマ　ショウギョウ　コウトウ　ガッコウ　ガッコウ　アンナイ</v>
      </c>
      <c r="D3779" t="str">
        <f>"津山商業高等学校"</f>
        <v>津山商業高等学校</v>
      </c>
      <c r="E3779" t="str">
        <f>"ツヤマ ショウギョウ コウトウ ガッコウ"</f>
        <v>ツヤマ ショウギョウ コウトウ ガッコウ</v>
      </c>
      <c r="F3779" t="str">
        <f t="shared" si="197"/>
        <v>津山</v>
      </c>
      <c r="G3779" t="str">
        <f>"年刊"</f>
        <v>年刊</v>
      </c>
      <c r="H3779" t="str">
        <f>"2002222301281"</f>
        <v>2002222301281</v>
      </c>
      <c r="I3779" t="str">
        <f>HYPERLINK("#", "https://opac.libnet.pref.okayama.jp/licsxp-opac/WOpacMsgNewListToTifTilDetailAction.do?tilcod=2002222301281")</f>
        <v>https://opac.libnet.pref.okayama.jp/licsxp-opac/WOpacMsgNewListToTifTilDetailAction.do?tilcod=2002222301281</v>
      </c>
    </row>
    <row r="3780" spans="1:9" x14ac:dyDescent="0.4">
      <c r="A3780" t="str">
        <f>"[津山商業高等学校] 学校要覧"</f>
        <v>[津山商業高等学校] 学校要覧</v>
      </c>
      <c r="B3780" s="1" t="str">
        <f t="shared" ref="B3780:B3843" si="198">HYPERLINK("#", A3780)</f>
        <v>[津山商業高等学校] 学校要覧</v>
      </c>
      <c r="C3780" t="str">
        <f>"ツヤマ　ショウギョウ　コウトウ　ガッコウ　ガッコウ　ヨウラン"</f>
        <v>ツヤマ　ショウギョウ　コウトウ　ガッコウ　ガッコウ　ヨウラン</v>
      </c>
      <c r="D3780" t="str">
        <f>"津山商業高等学校"</f>
        <v>津山商業高等学校</v>
      </c>
      <c r="E3780" t="str">
        <f>"ツヤマ ショウギョウ コウトウ ガッコウ"</f>
        <v>ツヤマ ショウギョウ コウトウ ガッコウ</v>
      </c>
      <c r="F3780" t="str">
        <f t="shared" si="197"/>
        <v>津山</v>
      </c>
      <c r="G3780" t="str">
        <f>"年刊"</f>
        <v>年刊</v>
      </c>
      <c r="H3780" t="str">
        <f>"2002222300723"</f>
        <v>2002222300723</v>
      </c>
      <c r="I3780" t="str">
        <f>HYPERLINK("#", "https://opac.libnet.pref.okayama.jp/licsxp-opac/WOpacMsgNewListToTifTilDetailAction.do?tilcod=2002222300723")</f>
        <v>https://opac.libnet.pref.okayama.jp/licsxp-opac/WOpacMsgNewListToTifTilDetailAction.do?tilcod=2002222300723</v>
      </c>
    </row>
    <row r="3781" spans="1:9" x14ac:dyDescent="0.4">
      <c r="A3781" t="str">
        <f>"津山女性しんぶん"</f>
        <v>津山女性しんぶん</v>
      </c>
      <c r="B3781" s="1" t="str">
        <f t="shared" si="198"/>
        <v>津山女性しんぶん</v>
      </c>
      <c r="C3781" t="str">
        <f>"ツヤマ　ジョセイ　シンブン"</f>
        <v>ツヤマ　ジョセイ　シンブン</v>
      </c>
      <c r="D3781" t="str">
        <f>"津山市青少年婦人室"</f>
        <v>津山市青少年婦人室</v>
      </c>
      <c r="E3781" t="str">
        <f>"ツヤマシセイショウネンフジンシツ"</f>
        <v>ツヤマシセイショウネンフジンシツ</v>
      </c>
      <c r="F3781" t="str">
        <f t="shared" si="197"/>
        <v>津山</v>
      </c>
      <c r="G3781" t="str">
        <f>"頻度不明"</f>
        <v>頻度不明</v>
      </c>
      <c r="H3781" t="str">
        <f>"2002222284633"</f>
        <v>2002222284633</v>
      </c>
      <c r="I3781" t="str">
        <f>HYPERLINK("#", "https://opac.libnet.pref.okayama.jp/licsxp-opac/WOpacMsgNewListToTifTilDetailAction.do?tilcod=2002222284633")</f>
        <v>https://opac.libnet.pref.okayama.jp/licsxp-opac/WOpacMsgNewListToTifTilDetailAction.do?tilcod=2002222284633</v>
      </c>
    </row>
    <row r="3782" spans="1:9" x14ac:dyDescent="0.4">
      <c r="A3782" t="str">
        <f>"つやま振興局だより"</f>
        <v>つやま振興局だより</v>
      </c>
      <c r="B3782" s="1" t="str">
        <f t="shared" si="198"/>
        <v>つやま振興局だより</v>
      </c>
      <c r="C3782" t="str">
        <f>"ツヤマ　シンコウキョク　ダヨリ"</f>
        <v>ツヤマ　シンコウキョク　ダヨリ</v>
      </c>
      <c r="D3782" t="str">
        <f>"岡山県津山地方振興局"</f>
        <v>岡山県津山地方振興局</v>
      </c>
      <c r="E3782" t="str">
        <f>"オカヤマケンツヤマチホウシンコウキョク"</f>
        <v>オカヤマケンツヤマチホウシンコウキョク</v>
      </c>
      <c r="F3782" t="str">
        <f t="shared" si="197"/>
        <v>津山</v>
      </c>
      <c r="G3782" t="str">
        <f>"頻度不明"</f>
        <v>頻度不明</v>
      </c>
      <c r="H3782" t="str">
        <f>"2002222284623"</f>
        <v>2002222284623</v>
      </c>
      <c r="I3782" t="str">
        <f>HYPERLINK("#", "https://opac.libnet.pref.okayama.jp/licsxp-opac/WOpacMsgNewListToTifTilDetailAction.do?tilcod=2002222284623")</f>
        <v>https://opac.libnet.pref.okayama.jp/licsxp-opac/WOpacMsgNewListToTifTilDetailAction.do?tilcod=2002222284623</v>
      </c>
    </row>
    <row r="3783" spans="1:9" x14ac:dyDescent="0.4">
      <c r="A3783" t="str">
        <f>"津山振興局だよりつやまエリアナウ"</f>
        <v>津山振興局だよりつやまエリアナウ</v>
      </c>
      <c r="B3783" s="1" t="str">
        <f t="shared" si="198"/>
        <v>津山振興局だよりつやまエリアナウ</v>
      </c>
      <c r="C3783" t="str">
        <f>"ツヤマ　シンコウキョク　ダヨリ　ツヤマ　エリア　ナウ"</f>
        <v>ツヤマ　シンコウキョク　ダヨリ　ツヤマ　エリア　ナウ</v>
      </c>
      <c r="D3783" t="str">
        <f>"岡山県津山地方振興局"</f>
        <v>岡山県津山地方振興局</v>
      </c>
      <c r="E3783" t="str">
        <f>"オカヤマケンツヤマチホウシンコウキョク"</f>
        <v>オカヤマケンツヤマチホウシンコウキョク</v>
      </c>
      <c r="F3783" t="str">
        <f t="shared" si="197"/>
        <v>津山</v>
      </c>
      <c r="G3783" t="str">
        <f>"年３回刊"</f>
        <v>年３回刊</v>
      </c>
      <c r="H3783" t="str">
        <f>"2002222300893"</f>
        <v>2002222300893</v>
      </c>
      <c r="I3783" t="str">
        <f>HYPERLINK("#", "https://opac.libnet.pref.okayama.jp/licsxp-opac/WOpacMsgNewListToTifTilDetailAction.do?tilcod=2002222300893")</f>
        <v>https://opac.libnet.pref.okayama.jp/licsxp-opac/WOpacMsgNewListToTifTilDetailAction.do?tilcod=2002222300893</v>
      </c>
    </row>
    <row r="3784" spans="1:9" x14ac:dyDescent="0.4">
      <c r="A3784" t="str">
        <f>"津山地域合併協議会だより；津山市・加茂町・阿波村・勝北町・中央町・久米町"</f>
        <v>津山地域合併協議会だより；津山市・加茂町・阿波村・勝北町・中央町・久米町</v>
      </c>
      <c r="B3784" s="1" t="str">
        <f t="shared" si="198"/>
        <v>津山地域合併協議会だより；津山市・加茂町・阿波村・勝北町・中央町・久米町</v>
      </c>
      <c r="C3784" t="str">
        <f>"ツヤマ　チイキ　ガッペイ　キョウギカイ　ダヨリ＊ツヤマシ　カモチョウ　アバソン　ショウボクチョウ　チュウオウチョウ　チュウオウチョウ　クメチョウ　クメチョウ"</f>
        <v>ツヤマ　チイキ　ガッペイ　キョウギカイ　ダヨリ＊ツヤマシ　カモチョウ　アバソン　ショウボクチョウ　チュウオウチョウ　チュウオウチョウ　クメチョウ　クメチョウ</v>
      </c>
      <c r="D3784" t="str">
        <f>"津山地域合併協議会"</f>
        <v>津山地域合併協議会</v>
      </c>
      <c r="E3784" t="str">
        <f>"ツヤマ チイキ ガッペイ キョウギカイ"</f>
        <v>ツヤマ チイキ ガッペイ キョウギカイ</v>
      </c>
      <c r="F3784" t="str">
        <f t="shared" si="197"/>
        <v>津山</v>
      </c>
      <c r="G3784" t="str">
        <f>"頻度不明"</f>
        <v>頻度不明</v>
      </c>
      <c r="H3784" t="str">
        <f>"2002222282014"</f>
        <v>2002222282014</v>
      </c>
      <c r="I3784" t="str">
        <f>HYPERLINK("#", "https://opac.libnet.pref.okayama.jp/licsxp-opac/WOpacMsgNewListToTifTilDetailAction.do?tilcod=2002222282014")</f>
        <v>https://opac.libnet.pref.okayama.jp/licsxp-opac/WOpacMsgNewListToTifTilDetailAction.do?tilcod=2002222282014</v>
      </c>
    </row>
    <row r="3785" spans="1:9" x14ac:dyDescent="0.4">
      <c r="A3785" t="str">
        <f>"津山中央病院医学雑誌"</f>
        <v>津山中央病院医学雑誌</v>
      </c>
      <c r="B3785" s="1" t="str">
        <f t="shared" si="198"/>
        <v>津山中央病院医学雑誌</v>
      </c>
      <c r="C3785" t="str">
        <f>"ツヤマ チュウオウ ビョウイン イガク ザッシ"</f>
        <v>ツヤマ チュウオウ ビョウイン イガク ザッシ</v>
      </c>
      <c r="D3785" t="str">
        <f>"津山中央病院"</f>
        <v>津山中央病院</v>
      </c>
      <c r="E3785" t="str">
        <f>"ツヤマ チュウオウ ビョウイン"</f>
        <v>ツヤマ チュウオウ ビョウイン</v>
      </c>
      <c r="F3785" t="str">
        <f t="shared" si="197"/>
        <v>津山</v>
      </c>
      <c r="G3785" t="str">
        <f>"年刊"</f>
        <v>年刊</v>
      </c>
      <c r="H3785" t="str">
        <f>"2002222294011"</f>
        <v>2002222294011</v>
      </c>
      <c r="I3785" t="str">
        <f>HYPERLINK("#", "https://opac.libnet.pref.okayama.jp/licsxp-opac/WOpacMsgNewListToTifTilDetailAction.do?tilcod=2002222294011")</f>
        <v>https://opac.libnet.pref.okayama.jp/licsxp-opac/WOpacMsgNewListToTifTilDetailAction.do?tilcod=2002222294011</v>
      </c>
    </row>
    <row r="3786" spans="1:9" x14ac:dyDescent="0.4">
      <c r="A3786" t="str">
        <f>"[津山農業改良普及所]普及だより : 地域を育てる農業と生活"</f>
        <v>[津山農業改良普及所]普及だより : 地域を育てる農業と生活</v>
      </c>
      <c r="B3786" s="1" t="str">
        <f t="shared" si="198"/>
        <v>[津山農業改良普及所]普及だより : 地域を育てる農業と生活</v>
      </c>
      <c r="C3786" t="str">
        <f>"ツヤマ ノウギョウ カイリョウ フキュウショ フキュウ ダヨリ : チイキ オ ソダテル ノウギョウ ト セイカツ"</f>
        <v>ツヤマ ノウギョウ カイリョウ フキュウショ フキュウ ダヨリ : チイキ オ ソダテル ノウギョウ ト セイカツ</v>
      </c>
      <c r="D3786" t="str">
        <f>"津山農業改良普及所"</f>
        <v>津山農業改良普及所</v>
      </c>
      <c r="E3786" t="str">
        <f>"ツヤマノウギョウカイリョウフキュウショ"</f>
        <v>ツヤマノウギョウカイリョウフキュウショ</v>
      </c>
      <c r="F3786" t="str">
        <f t="shared" si="197"/>
        <v>津山</v>
      </c>
      <c r="G3786" t="str">
        <f>"頻度不明"</f>
        <v>頻度不明</v>
      </c>
      <c r="H3786" t="str">
        <f>"2002222337066"</f>
        <v>2002222337066</v>
      </c>
      <c r="I3786" t="str">
        <f>HYPERLINK("#", "https://opac.libnet.pref.okayama.jp/licsxp-opac/WOpacMsgNewListToTifTilDetailAction.do?tilcod=2002222337066")</f>
        <v>https://opac.libnet.pref.okayama.jp/licsxp-opac/WOpacMsgNewListToTifTilDetailAction.do?tilcod=2002222337066</v>
      </c>
    </row>
    <row r="3787" spans="1:9" x14ac:dyDescent="0.4">
      <c r="A3787" t="str">
        <f>"〔津山農業改良普及所〕普及だより"</f>
        <v>〔津山農業改良普及所〕普及だより</v>
      </c>
      <c r="B3787" s="1" t="str">
        <f t="shared" si="198"/>
        <v>〔津山農業改良普及所〕普及だより</v>
      </c>
      <c r="C3787" t="str">
        <f>"ツヤマ　ノウギョウ　カイリョウ　フキュウショ＊フキュウ　ダヨリ"</f>
        <v>ツヤマ　ノウギョウ　カイリョウ　フキュウショ＊フキュウ　ダヨリ</v>
      </c>
      <c r="D3787" t="str">
        <f>"津山農業改良普及所"</f>
        <v>津山農業改良普及所</v>
      </c>
      <c r="E3787" t="str">
        <f>"ツヤマノウギョウカイリョウフキュウショ"</f>
        <v>ツヤマノウギョウカイリョウフキュウショ</v>
      </c>
      <c r="F3787" t="str">
        <f t="shared" si="197"/>
        <v>津山</v>
      </c>
      <c r="G3787" t="str">
        <f>"頻度不明"</f>
        <v>頻度不明</v>
      </c>
      <c r="H3787" t="str">
        <f>"2002222285631"</f>
        <v>2002222285631</v>
      </c>
      <c r="I3787" t="str">
        <f>HYPERLINK("#", "https://opac.libnet.pref.okayama.jp/licsxp-opac/WOpacMsgNewListToTifTilDetailAction.do?tilcod=2002222285631")</f>
        <v>https://opac.libnet.pref.okayama.jp/licsxp-opac/WOpacMsgNewListToTifTilDetailAction.do?tilcod=2002222285631</v>
      </c>
    </row>
    <row r="3788" spans="1:9" x14ac:dyDescent="0.4">
      <c r="A3788" t="str">
        <f>"〔津山農業普及指導センター〕普及だより"</f>
        <v>〔津山農業普及指導センター〕普及だより</v>
      </c>
      <c r="B3788" s="1" t="str">
        <f t="shared" si="198"/>
        <v>〔津山農業普及指導センター〕普及だより</v>
      </c>
      <c r="C3788" t="str">
        <f>"ツヤマ　ノウギョウ　フキュウ　シドウ　センター＊フキュウ　ダヨリ"</f>
        <v>ツヤマ　ノウギョウ　フキュウ　シドウ　センター＊フキュウ　ダヨリ</v>
      </c>
      <c r="D3788" t="str">
        <f>"津山農業普及指導センター"</f>
        <v>津山農業普及指導センター</v>
      </c>
      <c r="E3788" t="str">
        <f>"ツヤマ ノウギョウ フキュウ シドウ センター"</f>
        <v>ツヤマ ノウギョウ フキュウ シドウ センター</v>
      </c>
      <c r="F3788" t="str">
        <f t="shared" si="197"/>
        <v>津山</v>
      </c>
      <c r="G3788" t="str">
        <f>"年２回刊"</f>
        <v>年２回刊</v>
      </c>
      <c r="H3788" t="str">
        <f>"2002222301085"</f>
        <v>2002222301085</v>
      </c>
      <c r="I3788" t="str">
        <f>HYPERLINK("#", "https://opac.libnet.pref.okayama.jp/licsxp-opac/WOpacMsgNewListToTifTilDetailAction.do?tilcod=2002222301085")</f>
        <v>https://opac.libnet.pref.okayama.jp/licsxp-opac/WOpacMsgNewListToTifTilDetailAction.do?tilcod=2002222301085</v>
      </c>
    </row>
    <row r="3789" spans="1:9" x14ac:dyDescent="0.4">
      <c r="A3789" t="str">
        <f>"津山東高等学校学校案内"</f>
        <v>津山東高等学校学校案内</v>
      </c>
      <c r="B3789" s="1" t="str">
        <f t="shared" si="198"/>
        <v>津山東高等学校学校案内</v>
      </c>
      <c r="C3789" t="str">
        <f>"ツヤマ　ヒガシ　コウトウ　ガッコウ　ガッコウ　アンナイ"</f>
        <v>ツヤマ　ヒガシ　コウトウ　ガッコウ　ガッコウ　アンナイ</v>
      </c>
      <c r="D3789" t="str">
        <f>"津山東高等学校"</f>
        <v>津山東高等学校</v>
      </c>
      <c r="E3789" t="str">
        <f>"ツヤマヒガシコウトウガッコウ"</f>
        <v>ツヤマヒガシコウトウガッコウ</v>
      </c>
      <c r="F3789" t="str">
        <f t="shared" si="197"/>
        <v>津山</v>
      </c>
      <c r="G3789" t="str">
        <f>"年刊"</f>
        <v>年刊</v>
      </c>
      <c r="H3789" t="str">
        <f>"2002222301282"</f>
        <v>2002222301282</v>
      </c>
      <c r="I3789" t="str">
        <f>HYPERLINK("#", "https://opac.libnet.pref.okayama.jp/licsxp-opac/WOpacMsgNewListToTifTilDetailAction.do?tilcod=2002222301282")</f>
        <v>https://opac.libnet.pref.okayama.jp/licsxp-opac/WOpacMsgNewListToTifTilDetailAction.do?tilcod=2002222301282</v>
      </c>
    </row>
    <row r="3790" spans="1:9" x14ac:dyDescent="0.4">
      <c r="A3790" t="str">
        <f>"津山東高等学校学校要覧"</f>
        <v>津山東高等学校学校要覧</v>
      </c>
      <c r="B3790" s="1" t="str">
        <f t="shared" si="198"/>
        <v>津山東高等学校学校要覧</v>
      </c>
      <c r="C3790" t="str">
        <f>"ツヤマ　ヒガシ　コウトウ　ガッコウ　ガッコウ　ヨウラン"</f>
        <v>ツヤマ　ヒガシ　コウトウ　ガッコウ　ガッコウ　ヨウラン</v>
      </c>
      <c r="D3790" t="str">
        <f>"津山東高等学校"</f>
        <v>津山東高等学校</v>
      </c>
      <c r="E3790" t="str">
        <f>"ツヤマヒガシコウトウガッコウ"</f>
        <v>ツヤマヒガシコウトウガッコウ</v>
      </c>
      <c r="F3790" t="str">
        <f t="shared" si="197"/>
        <v>津山</v>
      </c>
      <c r="G3790" t="str">
        <f>"年刊"</f>
        <v>年刊</v>
      </c>
      <c r="H3790" t="str">
        <f>"2002222300511"</f>
        <v>2002222300511</v>
      </c>
      <c r="I3790" t="str">
        <f>HYPERLINK("#", "https://opac.libnet.pref.okayama.jp/licsxp-opac/WOpacMsgNewListToTifTilDetailAction.do?tilcod=2002222300511")</f>
        <v>https://opac.libnet.pref.okayama.jp/licsxp-opac/WOpacMsgNewListToTifTilDetailAction.do?tilcod=2002222300511</v>
      </c>
    </row>
    <row r="3791" spans="1:9" x14ac:dyDescent="0.4">
      <c r="A3791" t="str">
        <f>"〔津山東高等学校〕津山東高同窓会報"</f>
        <v>〔津山東高等学校〕津山東高同窓会報</v>
      </c>
      <c r="B3791" s="1" t="str">
        <f t="shared" si="198"/>
        <v>〔津山東高等学校〕津山東高同窓会報</v>
      </c>
      <c r="C3791" t="str">
        <f>"ツヤマ　ヒガシ　コウトウ　ガッコウ＊ツヤマヒガシ　ドウソウカイ　ホウ"</f>
        <v>ツヤマ　ヒガシ　コウトウ　ガッコウ＊ツヤマヒガシ　ドウソウカイ　ホウ</v>
      </c>
      <c r="D3791" t="str">
        <f>"津山東高等学校同窓会"</f>
        <v>津山東高等学校同窓会</v>
      </c>
      <c r="E3791" t="str">
        <f>"ツヤマヒガシコウトウガッコウドウソウカイ"</f>
        <v>ツヤマヒガシコウトウガッコウドウソウカイ</v>
      </c>
      <c r="F3791" t="str">
        <f t="shared" si="197"/>
        <v>津山</v>
      </c>
      <c r="G3791" t="str">
        <f>"頻度不明"</f>
        <v>頻度不明</v>
      </c>
      <c r="H3791" t="str">
        <f>"2002222301936"</f>
        <v>2002222301936</v>
      </c>
      <c r="I3791" t="str">
        <f>HYPERLINK("#", "https://opac.libnet.pref.okayama.jp/licsxp-opac/WOpacMsgNewListToTifTilDetailAction.do?tilcod=2002222301936")</f>
        <v>https://opac.libnet.pref.okayama.jp/licsxp-opac/WOpacMsgNewListToTifTilDetailAction.do?tilcod=2002222301936</v>
      </c>
    </row>
    <row r="3792" spans="1:9" x14ac:dyDescent="0.4">
      <c r="A3792" t="str">
        <f>"つやまファミリー・サポート・センターだより"</f>
        <v>つやまファミリー・サポート・センターだより</v>
      </c>
      <c r="B3792" s="1" t="str">
        <f t="shared" si="198"/>
        <v>つやまファミリー・サポート・センターだより</v>
      </c>
      <c r="C3792" t="str">
        <f>"ツヤマ　ファミリー　サポート　センター　ダヨリ"</f>
        <v>ツヤマ　ファミリー　サポート　センター　ダヨリ</v>
      </c>
      <c r="D3792" t="str">
        <f>"津山ファミリー・サポート・センター"</f>
        <v>津山ファミリー・サポート・センター</v>
      </c>
      <c r="E3792" t="str">
        <f>"ツヤマファミリーサポートセンター"</f>
        <v>ツヤマファミリーサポートセンター</v>
      </c>
      <c r="F3792" t="str">
        <f>"津山市"</f>
        <v>津山市</v>
      </c>
      <c r="G3792" t="str">
        <f>"その他"</f>
        <v>その他</v>
      </c>
      <c r="H3792" t="str">
        <f>"2002222294771"</f>
        <v>2002222294771</v>
      </c>
      <c r="I3792" t="str">
        <f>HYPERLINK("#", "https://opac.libnet.pref.okayama.jp/licsxp-opac/WOpacMsgNewListToTifTilDetailAction.do?tilcod=2002222294771")</f>
        <v>https://opac.libnet.pref.okayama.jp/licsxp-opac/WOpacMsgNewListToTifTilDetailAction.do?tilcod=2002222294771</v>
      </c>
    </row>
    <row r="3793" spans="1:9" x14ac:dyDescent="0.4">
      <c r="A3793" t="str">
        <f>"津山文化センターだより"</f>
        <v>津山文化センターだより</v>
      </c>
      <c r="B3793" s="1" t="str">
        <f t="shared" si="198"/>
        <v>津山文化センターだより</v>
      </c>
      <c r="C3793" t="str">
        <f>"ツヤマ　ブンカ　センター　ダヨリ"</f>
        <v>ツヤマ　ブンカ　センター　ダヨリ</v>
      </c>
      <c r="D3793" t="str">
        <f>"津山文化センター"</f>
        <v>津山文化センター</v>
      </c>
      <c r="E3793" t="str">
        <f>"ツヤマブンカセンター"</f>
        <v>ツヤマブンカセンター</v>
      </c>
      <c r="F3793" t="str">
        <f>"津山"</f>
        <v>津山</v>
      </c>
      <c r="G3793" t="str">
        <f>"月刊"</f>
        <v>月刊</v>
      </c>
      <c r="H3793" t="str">
        <f>"2002222293571"</f>
        <v>2002222293571</v>
      </c>
      <c r="I3793" t="str">
        <f>HYPERLINK("#", "https://opac.libnet.pref.okayama.jp/licsxp-opac/WOpacMsgNewListToTifTilDetailAction.do?tilcod=2002222293571")</f>
        <v>https://opac.libnet.pref.okayama.jp/licsxp-opac/WOpacMsgNewListToTifTilDetailAction.do?tilcod=2002222293571</v>
      </c>
    </row>
    <row r="3794" spans="1:9" x14ac:dyDescent="0.4">
      <c r="A3794" t="str">
        <f>"洋学資料館"</f>
        <v>洋学資料館</v>
      </c>
      <c r="B3794" s="1" t="str">
        <f t="shared" si="198"/>
        <v>洋学資料館</v>
      </c>
      <c r="C3794" t="str">
        <f>"ツヤマ　ヨウガク　シリョウカン"</f>
        <v>ツヤマ　ヨウガク　シリョウカン</v>
      </c>
      <c r="D3794" t="str">
        <f>"津山洋学資料館"</f>
        <v>津山洋学資料館</v>
      </c>
      <c r="E3794" t="str">
        <f>"ツヤマ ヨウガク シリョウカン"</f>
        <v>ツヤマ ヨウガク シリョウカン</v>
      </c>
      <c r="F3794" t="str">
        <f>"津山"</f>
        <v>津山</v>
      </c>
      <c r="G3794" t="str">
        <f>"頻度不明"</f>
        <v>頻度不明</v>
      </c>
      <c r="H3794" t="str">
        <f>"2002222302223"</f>
        <v>2002222302223</v>
      </c>
      <c r="I3794" t="str">
        <f>HYPERLINK("#", "https://opac.libnet.pref.okayama.jp/licsxp-opac/WOpacMsgNewListToTifTilDetailAction.do?tilcod=2002222302223")</f>
        <v>https://opac.libnet.pref.okayama.jp/licsxp-opac/WOpacMsgNewListToTifTilDetailAction.do?tilcod=2002222302223</v>
      </c>
    </row>
    <row r="3795" spans="1:9" x14ac:dyDescent="0.4">
      <c r="A3795" t="str">
        <f>"津山洋学資料館　資料館だより"</f>
        <v>津山洋学資料館　資料館だより</v>
      </c>
      <c r="B3795" s="1" t="str">
        <f t="shared" si="198"/>
        <v>津山洋学資料館　資料館だより</v>
      </c>
      <c r="C3795" t="str">
        <f>"ツヤマ　ヨウガク　シリョウカン　シリョウカン　ダヨリ"</f>
        <v>ツヤマ　ヨウガク　シリョウカン　シリョウカン　ダヨリ</v>
      </c>
      <c r="D3795" t="str">
        <f>"津山洋学資料館"</f>
        <v>津山洋学資料館</v>
      </c>
      <c r="E3795" t="str">
        <f>"ツヤマ ヨウガク シリョウカン"</f>
        <v>ツヤマ ヨウガク シリョウカン</v>
      </c>
      <c r="F3795" t="str">
        <f>"津山"</f>
        <v>津山</v>
      </c>
      <c r="G3795" t="str">
        <f>"頻度不明"</f>
        <v>頻度不明</v>
      </c>
      <c r="H3795" t="str">
        <f>"2002222284653"</f>
        <v>2002222284653</v>
      </c>
      <c r="I3795" t="str">
        <f>HYPERLINK("#", "https://opac.libnet.pref.okayama.jp/licsxp-opac/WOpacMsgNewListToTifTilDetailAction.do?tilcod=2002222284653")</f>
        <v>https://opac.libnet.pref.okayama.jp/licsxp-opac/WOpacMsgNewListToTifTilDetailAction.do?tilcod=2002222284653</v>
      </c>
    </row>
    <row r="3796" spans="1:9" x14ac:dyDescent="0.4">
      <c r="A3796" t="str">
        <f>"津山洋学資料館友の会だより"</f>
        <v>津山洋学資料館友の会だより</v>
      </c>
      <c r="B3796" s="1" t="str">
        <f t="shared" si="198"/>
        <v>津山洋学資料館友の会だより</v>
      </c>
      <c r="C3796" t="str">
        <f>"ツヤマ　ヨウガク　シリョウカン　トモ　ノ　カイ　ダヨリ"</f>
        <v>ツヤマ　ヨウガク　シリョウカン　トモ　ノ　カイ　ダヨリ</v>
      </c>
      <c r="D3796" t="str">
        <f>"津山洋学資料館友の会事務局"</f>
        <v>津山洋学資料館友の会事務局</v>
      </c>
      <c r="E3796" t="str">
        <f>"ツヤマヨウガクシリョウカントモノカイジムキョク"</f>
        <v>ツヤマヨウガクシリョウカントモノカイジムキョク</v>
      </c>
      <c r="F3796" t="str">
        <f>"津山"</f>
        <v>津山</v>
      </c>
      <c r="G3796" t="str">
        <f>"年２回刊"</f>
        <v>年２回刊</v>
      </c>
      <c r="H3796" t="str">
        <f>"2002222293061"</f>
        <v>2002222293061</v>
      </c>
      <c r="I3796" t="str">
        <f>HYPERLINK("#", "https://opac.libnet.pref.okayama.jp/licsxp-opac/WOpacMsgNewListToTifTilDetailAction.do?tilcod=2002222293061")</f>
        <v>https://opac.libnet.pref.okayama.jp/licsxp-opac/WOpacMsgNewListToTifTilDetailAction.do?tilcod=2002222293061</v>
      </c>
    </row>
    <row r="3797" spans="1:9" x14ac:dyDescent="0.4">
      <c r="A3797" t="str">
        <f>"〔津山洋学資料館〕講演会記録"</f>
        <v>〔津山洋学資料館〕講演会記録</v>
      </c>
      <c r="B3797" s="1" t="str">
        <f t="shared" si="198"/>
        <v>〔津山洋学資料館〕講演会記録</v>
      </c>
      <c r="C3797" t="str">
        <f>"ツヤマ　ヨウガク　シリョウカン＊コウエンカイ　キロク"</f>
        <v>ツヤマ　ヨウガク　シリョウカン＊コウエンカイ　キロク</v>
      </c>
      <c r="D3797" t="str">
        <f>"津山洋学資料館"</f>
        <v>津山洋学資料館</v>
      </c>
      <c r="E3797" t="str">
        <f>"ツヤマ ヨウガク シリョウカン"</f>
        <v>ツヤマ ヨウガク シリョウカン</v>
      </c>
      <c r="F3797" t="str">
        <f>""</f>
        <v/>
      </c>
      <c r="G3797" t="str">
        <f>"不定期刊"</f>
        <v>不定期刊</v>
      </c>
      <c r="H3797" t="str">
        <f>"2002222282913"</f>
        <v>2002222282913</v>
      </c>
      <c r="I3797" t="str">
        <f>HYPERLINK("#", "https://opac.libnet.pref.okayama.jp/licsxp-opac/WOpacMsgNewListToTifTilDetailAction.do?tilcod=2002222282913")</f>
        <v>https://opac.libnet.pref.okayama.jp/licsxp-opac/WOpacMsgNewListToTifTilDetailAction.do?tilcod=2002222282913</v>
      </c>
    </row>
    <row r="3798" spans="1:9" x14ac:dyDescent="0.4">
      <c r="A3798" t="str">
        <f>"津山ライオンズクラブ会報"</f>
        <v>津山ライオンズクラブ会報</v>
      </c>
      <c r="B3798" s="1" t="str">
        <f t="shared" si="198"/>
        <v>津山ライオンズクラブ会報</v>
      </c>
      <c r="C3798" t="str">
        <f>"ツヤマ ライオンズ クラブ カイホウ"</f>
        <v>ツヤマ ライオンズ クラブ カイホウ</v>
      </c>
      <c r="D3798" t="str">
        <f>"国際ライオンズ津山クラブ"</f>
        <v>国際ライオンズ津山クラブ</v>
      </c>
      <c r="E3798" t="str">
        <f>"コクサイ ライオンズ ツヤマ クラブ"</f>
        <v>コクサイ ライオンズ ツヤマ クラブ</v>
      </c>
      <c r="F3798" t="str">
        <f t="shared" ref="F3798:F3803" si="199">"津山"</f>
        <v>津山</v>
      </c>
      <c r="G3798" t="str">
        <f>"頻度不明"</f>
        <v>頻度不明</v>
      </c>
      <c r="H3798" t="str">
        <f>"2002222336771"</f>
        <v>2002222336771</v>
      </c>
      <c r="I3798" t="str">
        <f>HYPERLINK("#", "https://opac.libnet.pref.okayama.jp/licsxp-opac/WOpacMsgNewListToTifTilDetailAction.do?tilcod=2002222336771")</f>
        <v>https://opac.libnet.pref.okayama.jp/licsxp-opac/WOpacMsgNewListToTifTilDetailAction.do?tilcod=2002222336771</v>
      </c>
    </row>
    <row r="3799" spans="1:9" x14ac:dyDescent="0.4">
      <c r="A3799" t="str">
        <f>"ＴｓｕｙａｍＡＲＴ（ツヤマート）"</f>
        <v>ＴｓｕｙａｍＡＲＴ（ツヤマート）</v>
      </c>
      <c r="B3799" s="1" t="str">
        <f t="shared" si="198"/>
        <v>ＴｓｕｙａｍＡＲＴ（ツヤマート）</v>
      </c>
      <c r="C3799" t="str">
        <f>"ツヤマート"</f>
        <v>ツヤマート</v>
      </c>
      <c r="D3799" t="str">
        <f>"津山文化振興財団"</f>
        <v>津山文化振興財団</v>
      </c>
      <c r="E3799" t="str">
        <f>"ツヤマブンカシンコウザイダン"</f>
        <v>ツヤマブンカシンコウザイダン</v>
      </c>
      <c r="F3799" t="str">
        <f t="shared" si="199"/>
        <v>津山</v>
      </c>
      <c r="G3799" t="str">
        <f>"月刊"</f>
        <v>月刊</v>
      </c>
      <c r="H3799" t="str">
        <f>"2002222281704"</f>
        <v>2002222281704</v>
      </c>
      <c r="I3799" t="str">
        <f>HYPERLINK("#", "https://opac.libnet.pref.okayama.jp/licsxp-opac/WOpacMsgNewListToTifTilDetailAction.do?tilcod=2002222281704")</f>
        <v>https://opac.libnet.pref.okayama.jp/licsxp-opac/WOpacMsgNewListToTifTilDetailAction.do?tilcod=2002222281704</v>
      </c>
    </row>
    <row r="3800" spans="1:9" x14ac:dyDescent="0.4">
      <c r="A3800" t="str">
        <f>"津山市水道公報"</f>
        <v>津山市水道公報</v>
      </c>
      <c r="B3800" s="1" t="str">
        <f t="shared" si="198"/>
        <v>津山市水道公報</v>
      </c>
      <c r="C3800" t="str">
        <f>"ツヤマシ　スイドウ　コウホウ"</f>
        <v>ツヤマシ　スイドウ　コウホウ</v>
      </c>
      <c r="D3800" t="str">
        <f>"津山市水道局"</f>
        <v>津山市水道局</v>
      </c>
      <c r="E3800" t="str">
        <f>"ツヤマシ スイドウキョク"</f>
        <v>ツヤマシ スイドウキョク</v>
      </c>
      <c r="F3800" t="str">
        <f t="shared" si="199"/>
        <v>津山</v>
      </c>
      <c r="G3800" t="str">
        <f>"頻度不明"</f>
        <v>頻度不明</v>
      </c>
      <c r="H3800" t="str">
        <f>"2002222282991"</f>
        <v>2002222282991</v>
      </c>
      <c r="I3800" t="str">
        <f>HYPERLINK("#", "https://opac.libnet.pref.okayama.jp/licsxp-opac/WOpacMsgNewListToTifTilDetailAction.do?tilcod=2002222282991")</f>
        <v>https://opac.libnet.pref.okayama.jp/licsxp-opac/WOpacMsgNewListToTifTilDetailAction.do?tilcod=2002222282991</v>
      </c>
    </row>
    <row r="3801" spans="1:9" x14ac:dyDescent="0.4">
      <c r="A3801" t="str">
        <f>"津山市納税組合だより"</f>
        <v>津山市納税組合だより</v>
      </c>
      <c r="B3801" s="1" t="str">
        <f t="shared" si="198"/>
        <v>津山市納税組合だより</v>
      </c>
      <c r="C3801" t="str">
        <f>"ツヤマシ　ノウゼイ　クミアイ　ダヨリ"</f>
        <v>ツヤマシ　ノウゼイ　クミアイ　ダヨリ</v>
      </c>
      <c r="D3801" t="str">
        <f>"津山市納税貯蓄組合連合会"</f>
        <v>津山市納税貯蓄組合連合会</v>
      </c>
      <c r="E3801" t="str">
        <f>"ツヤマシノウゼイチョチククミアイレンゴウカイ"</f>
        <v>ツヤマシノウゼイチョチククミアイレンゴウカイ</v>
      </c>
      <c r="F3801" t="str">
        <f t="shared" si="199"/>
        <v>津山</v>
      </c>
      <c r="G3801" t="str">
        <f>"年刊"</f>
        <v>年刊</v>
      </c>
      <c r="H3801" t="str">
        <f>"2002222281211"</f>
        <v>2002222281211</v>
      </c>
      <c r="I3801" t="str">
        <f>HYPERLINK("#", "https://opac.libnet.pref.okayama.jp/licsxp-opac/WOpacMsgNewListToTifTilDetailAction.do?tilcod=2002222281211")</f>
        <v>https://opac.libnet.pref.okayama.jp/licsxp-opac/WOpacMsgNewListToTifTilDetailAction.do?tilcod=2002222281211</v>
      </c>
    </row>
    <row r="3802" spans="1:9" x14ac:dyDescent="0.4">
      <c r="A3802" t="str">
        <f>"津山市史だより"</f>
        <v>津山市史だより</v>
      </c>
      <c r="B3802" s="1" t="str">
        <f t="shared" si="198"/>
        <v>津山市史だより</v>
      </c>
      <c r="C3802" t="str">
        <f>"ツヤマシシ ダヨリ"</f>
        <v>ツヤマシシ ダヨリ</v>
      </c>
      <c r="D3802" t="str">
        <f>"津山市史編さん室"</f>
        <v>津山市史編さん室</v>
      </c>
      <c r="E3802" t="str">
        <f>"ツヤマシシ ヘンサンシツ"</f>
        <v>ツヤマシシ ヘンサンシツ</v>
      </c>
      <c r="F3802" t="str">
        <f t="shared" si="199"/>
        <v>津山</v>
      </c>
      <c r="G3802" t="str">
        <f>"頻度不明"</f>
        <v>頻度不明</v>
      </c>
      <c r="H3802" t="str">
        <f>"2002222321627"</f>
        <v>2002222321627</v>
      </c>
      <c r="I3802" t="str">
        <f>HYPERLINK("#", "https://opac.libnet.pref.okayama.jp/licsxp-opac/WOpacMsgNewListToTifTilDetailAction.do?tilcod=2002222321627")</f>
        <v>https://opac.libnet.pref.okayama.jp/licsxp-opac/WOpacMsgNewListToTifTilDetailAction.do?tilcod=2002222321627</v>
      </c>
    </row>
    <row r="3803" spans="1:9" x14ac:dyDescent="0.4">
      <c r="A3803" t="str">
        <f>"津山城だより"</f>
        <v>津山城だより</v>
      </c>
      <c r="B3803" s="1" t="str">
        <f t="shared" si="198"/>
        <v>津山城だより</v>
      </c>
      <c r="C3803" t="str">
        <f>"ツヤマジョウ ダヨリ"</f>
        <v>ツヤマジョウ ダヨリ</v>
      </c>
      <c r="D3803" t="str">
        <f>"津山市教育委員会"</f>
        <v>津山市教育委員会</v>
      </c>
      <c r="E3803" t="str">
        <f>"ツヤマシ キョウイク イインカイ"</f>
        <v>ツヤマシ キョウイク イインカイ</v>
      </c>
      <c r="F3803" t="str">
        <f t="shared" si="199"/>
        <v>津山</v>
      </c>
      <c r="G3803" t="str">
        <f>"頻度不明"</f>
        <v>頻度不明</v>
      </c>
      <c r="H3803" t="str">
        <f>"2002222282471"</f>
        <v>2002222282471</v>
      </c>
      <c r="I3803" t="str">
        <f>HYPERLINK("#", "https://opac.libnet.pref.okayama.jp/licsxp-opac/WOpacMsgNewListToTifTilDetailAction.do?tilcod=2002222282471")</f>
        <v>https://opac.libnet.pref.okayama.jp/licsxp-opac/WOpacMsgNewListToTifTilDetailAction.do?tilcod=2002222282471</v>
      </c>
    </row>
    <row r="3804" spans="1:9" x14ac:dyDescent="0.4">
      <c r="A3804" t="str">
        <f>"津山青年協和会雑誌"</f>
        <v>津山青年協和会雑誌</v>
      </c>
      <c r="B3804" s="1" t="str">
        <f t="shared" si="198"/>
        <v>津山青年協和会雑誌</v>
      </c>
      <c r="C3804" t="str">
        <f>"ツヤマセイネン　キョウワカイ　ザッシ"</f>
        <v>ツヤマセイネン　キョウワカイ　ザッシ</v>
      </c>
      <c r="D3804" t="str">
        <f>"津山青年協和会"</f>
        <v>津山青年協和会</v>
      </c>
      <c r="E3804" t="str">
        <f>"ツヤマセイネンキョウワカイ"</f>
        <v>ツヤマセイネンキョウワカイ</v>
      </c>
      <c r="F3804" t="str">
        <f>""</f>
        <v/>
      </c>
      <c r="G3804" t="str">
        <f>"頻度不明"</f>
        <v>頻度不明</v>
      </c>
      <c r="H3804" t="str">
        <f>"2002222284643"</f>
        <v>2002222284643</v>
      </c>
      <c r="I3804" t="str">
        <f>HYPERLINK("#", "https://opac.libnet.pref.okayama.jp/licsxp-opac/WOpacMsgNewListToTifTilDetailAction.do?tilcod=2002222284643")</f>
        <v>https://opac.libnet.pref.okayama.jp/licsxp-opac/WOpacMsgNewListToTifTilDetailAction.do?tilcod=2002222284643</v>
      </c>
    </row>
    <row r="3805" spans="1:9" x14ac:dyDescent="0.4">
      <c r="A3805" t="str">
        <f>"つゆくさ"</f>
        <v>つゆくさ</v>
      </c>
      <c r="B3805" s="1" t="str">
        <f t="shared" si="198"/>
        <v>つゆくさ</v>
      </c>
      <c r="C3805" t="str">
        <f>"ツユクサ"</f>
        <v>ツユクサ</v>
      </c>
      <c r="D3805" t="str">
        <f>"被爆の記録を贈る会岡山グループ"</f>
        <v>被爆の記録を贈る会岡山グループ</v>
      </c>
      <c r="E3805" t="str">
        <f>"ヒバクノキロクヲオクルカイオカヤマグループ"</f>
        <v>ヒバクノキロクヲオクルカイオカヤマグループ</v>
      </c>
      <c r="F3805" t="str">
        <f>"岡山"</f>
        <v>岡山</v>
      </c>
      <c r="G3805" t="str">
        <f>"季刊"</f>
        <v>季刊</v>
      </c>
      <c r="H3805" t="str">
        <f>"2002222302079"</f>
        <v>2002222302079</v>
      </c>
      <c r="I3805" t="str">
        <f>HYPERLINK("#", "https://opac.libnet.pref.okayama.jp/licsxp-opac/WOpacMsgNewListToTifTilDetailAction.do?tilcod=2002222302079")</f>
        <v>https://opac.libnet.pref.okayama.jp/licsxp-opac/WOpacMsgNewListToTifTilDetailAction.do?tilcod=2002222302079</v>
      </c>
    </row>
    <row r="3806" spans="1:9" x14ac:dyDescent="0.4">
      <c r="A3806" t="str">
        <f>"連中タイムス"</f>
        <v>連中タイムス</v>
      </c>
      <c r="B3806" s="1" t="str">
        <f t="shared" si="198"/>
        <v>連中タイムス</v>
      </c>
      <c r="C3806" t="str">
        <f>"ツラチュウ タイムス"</f>
        <v>ツラチュウ タイムス</v>
      </c>
      <c r="D3806" t="str">
        <f>"連島中学校新聞部"</f>
        <v>連島中学校新聞部</v>
      </c>
      <c r="E3806" t="str">
        <f>"ツラジマ チュウガッコウ シンブンブ"</f>
        <v>ツラジマ チュウガッコウ シンブンブ</v>
      </c>
      <c r="F3806" t="str">
        <f>"浅口郡"</f>
        <v>浅口郡</v>
      </c>
      <c r="G3806" t="str">
        <f>"頻度不明"</f>
        <v>頻度不明</v>
      </c>
      <c r="H3806" t="str">
        <f>"2002222309567"</f>
        <v>2002222309567</v>
      </c>
      <c r="I3806" t="str">
        <f>HYPERLINK("#", "https://opac.libnet.pref.okayama.jp/licsxp-opac/WOpacMsgNewListToTifTilDetailAction.do?tilcod=2002222309567")</f>
        <v>https://opac.libnet.pref.okayama.jp/licsxp-opac/WOpacMsgNewListToTifTilDetailAction.do?tilcod=2002222309567</v>
      </c>
    </row>
    <row r="3807" spans="1:9" x14ac:dyDescent="0.4">
      <c r="A3807" t="str">
        <f>"連南だより"</f>
        <v>連南だより</v>
      </c>
      <c r="B3807" s="1" t="str">
        <f t="shared" si="198"/>
        <v>連南だより</v>
      </c>
      <c r="C3807" t="str">
        <f>"ツラミナミ ダヨリ"</f>
        <v>ツラミナミ ダヨリ</v>
      </c>
      <c r="D3807" t="str">
        <f>"倉敷市立連島南小学校"</f>
        <v>倉敷市立連島南小学校</v>
      </c>
      <c r="E3807" t="str">
        <f>"クラシキシリツ ツラジマ ミナミ ショウガッコウ"</f>
        <v>クラシキシリツ ツラジマ ミナミ ショウガッコウ</v>
      </c>
      <c r="F3807" t="str">
        <f>"倉敷"</f>
        <v>倉敷</v>
      </c>
      <c r="G3807" t="str">
        <f>"頻度不明"</f>
        <v>頻度不明</v>
      </c>
      <c r="H3807" t="str">
        <f>"2002222331027"</f>
        <v>2002222331027</v>
      </c>
      <c r="I3807" t="str">
        <f>HYPERLINK("#", "https://opac.libnet.pref.okayama.jp/licsxp-opac/WOpacMsgNewListToTifTilDetailAction.do?tilcod=2002222331027")</f>
        <v>https://opac.libnet.pref.okayama.jp/licsxp-opac/WOpacMsgNewListToTifTilDetailAction.do?tilcod=2002222331027</v>
      </c>
    </row>
    <row r="3808" spans="1:9" x14ac:dyDescent="0.4">
      <c r="A3808" t="str">
        <f>"釣り画報"</f>
        <v>釣り画報</v>
      </c>
      <c r="B3808" s="1" t="str">
        <f t="shared" si="198"/>
        <v>釣り画報</v>
      </c>
      <c r="C3808" t="str">
        <f>"ツリ　ガホウ"</f>
        <v>ツリ　ガホウ</v>
      </c>
      <c r="D3808" t="str">
        <f>"ミリオンエコー出版"</f>
        <v>ミリオンエコー出版</v>
      </c>
      <c r="E3808" t="str">
        <f>"ミリオンエコーシュッパン"</f>
        <v>ミリオンエコーシュッパン</v>
      </c>
      <c r="F3808" t="str">
        <f>"広島"</f>
        <v>広島</v>
      </c>
      <c r="G3808" t="str">
        <f>"月刊"</f>
        <v>月刊</v>
      </c>
      <c r="H3808" t="str">
        <f>"2002222334149"</f>
        <v>2002222334149</v>
      </c>
      <c r="I3808" t="str">
        <f>HYPERLINK("#", "https://opac.libnet.pref.okayama.jp/licsxp-opac/WOpacMsgNewListToTifTilDetailAction.do?tilcod=2002222334149")</f>
        <v>https://opac.libnet.pref.okayama.jp/licsxp-opac/WOpacMsgNewListToTifTilDetailAction.do?tilcod=2002222334149</v>
      </c>
    </row>
    <row r="3809" spans="1:9" x14ac:dyDescent="0.4">
      <c r="A3809" t="str">
        <f>"釣り画報　岡山・山陰版"</f>
        <v>釣り画報　岡山・山陰版</v>
      </c>
      <c r="B3809" s="1" t="str">
        <f t="shared" si="198"/>
        <v>釣り画報　岡山・山陰版</v>
      </c>
      <c r="C3809" t="str">
        <f>"ツリ　ガホウ　オカヤマ　サンインバン"</f>
        <v>ツリ　ガホウ　オカヤマ　サンインバン</v>
      </c>
      <c r="D3809" t="str">
        <f>"ミリオンエコー出版"</f>
        <v>ミリオンエコー出版</v>
      </c>
      <c r="E3809" t="str">
        <f>"ミリオンエコーシュッパン"</f>
        <v>ミリオンエコーシュッパン</v>
      </c>
      <c r="F3809" t="str">
        <f>"広島"</f>
        <v>広島</v>
      </c>
      <c r="G3809" t="str">
        <f>"月刊"</f>
        <v>月刊</v>
      </c>
      <c r="H3809" t="str">
        <f>"2002222301649"</f>
        <v>2002222301649</v>
      </c>
      <c r="I3809" t="str">
        <f>HYPERLINK("#", "https://opac.libnet.pref.okayama.jp/licsxp-opac/WOpacMsgNewListToTifTilDetailAction.do?tilcod=2002222301649")</f>
        <v>https://opac.libnet.pref.okayama.jp/licsxp-opac/WOpacMsgNewListToTifTilDetailAction.do?tilcod=2002222301649</v>
      </c>
    </row>
    <row r="3810" spans="1:9" x14ac:dyDescent="0.4">
      <c r="A3810" t="str">
        <f>"釣り画報　中国地方版"</f>
        <v>釣り画報　中国地方版</v>
      </c>
      <c r="B3810" s="1" t="str">
        <f t="shared" si="198"/>
        <v>釣り画報　中国地方版</v>
      </c>
      <c r="C3810" t="str">
        <f>"ツリ　ガホウ　チュウゴク　チホウバン"</f>
        <v>ツリ　ガホウ　チュウゴク　チホウバン</v>
      </c>
      <c r="D3810" t="str">
        <f>"ミリオンエコー出版"</f>
        <v>ミリオンエコー出版</v>
      </c>
      <c r="E3810" t="str">
        <f>"ミリオンエコーシュッパン"</f>
        <v>ミリオンエコーシュッパン</v>
      </c>
      <c r="F3810" t="str">
        <f>"広島"</f>
        <v>広島</v>
      </c>
      <c r="G3810" t="str">
        <f>"月刊"</f>
        <v>月刊</v>
      </c>
      <c r="H3810" t="str">
        <f>"2002222314666"</f>
        <v>2002222314666</v>
      </c>
      <c r="I3810" t="str">
        <f>HYPERLINK("#", "https://opac.libnet.pref.okayama.jp/licsxp-opac/WOpacMsgNewListToTifTilDetailAction.do?tilcod=2002222314666")</f>
        <v>https://opac.libnet.pref.okayama.jp/licsxp-opac/WOpacMsgNewListToTifTilDetailAction.do?tilcod=2002222314666</v>
      </c>
    </row>
    <row r="3811" spans="1:9" x14ac:dyDescent="0.4">
      <c r="A3811" t="str">
        <f>"釣り情報　岡山・兵庫・山陰版"</f>
        <v>釣り情報　岡山・兵庫・山陰版</v>
      </c>
      <c r="B3811" s="1" t="str">
        <f t="shared" si="198"/>
        <v>釣り情報　岡山・兵庫・山陰版</v>
      </c>
      <c r="C3811" t="str">
        <f>"ツリ　ジョウホウ　オカヤマ　ヒョウゴ　サンインバン"</f>
        <v>ツリ　ジョウホウ　オカヤマ　ヒョウゴ　サンインバン</v>
      </c>
      <c r="D3811" t="str">
        <f>"ミリオンエコー出版"</f>
        <v>ミリオンエコー出版</v>
      </c>
      <c r="E3811" t="str">
        <f>"ミリオンエコーシュッパン"</f>
        <v>ミリオンエコーシュッパン</v>
      </c>
      <c r="F3811" t="str">
        <f>"広島"</f>
        <v>広島</v>
      </c>
      <c r="G3811" t="str">
        <f>"月刊"</f>
        <v>月刊</v>
      </c>
      <c r="H3811" t="str">
        <f>"2002222301925"</f>
        <v>2002222301925</v>
      </c>
      <c r="I3811" t="str">
        <f>HYPERLINK("#", "https://opac.libnet.pref.okayama.jp/licsxp-opac/WOpacMsgNewListToTifTilDetailAction.do?tilcod=2002222301925")</f>
        <v>https://opac.libnet.pref.okayama.jp/licsxp-opac/WOpacMsgNewListToTifTilDetailAction.do?tilcod=2002222301925</v>
      </c>
    </row>
    <row r="3812" spans="1:9" x14ac:dyDescent="0.4">
      <c r="A3812" t="str">
        <f>"つるさき；鶴崎神社社報"</f>
        <v>つるさき；鶴崎神社社報</v>
      </c>
      <c r="B3812" s="1" t="str">
        <f t="shared" si="198"/>
        <v>つるさき；鶴崎神社社報</v>
      </c>
      <c r="C3812" t="str">
        <f>"ツルサキ＊ツルサキ　ジンジャ　シャホウ"</f>
        <v>ツルサキ＊ツルサキ　ジンジャ　シャホウ</v>
      </c>
      <c r="D3812" t="str">
        <f>"鶴崎神社"</f>
        <v>鶴崎神社</v>
      </c>
      <c r="E3812" t="str">
        <f>"ツルサキジンジャ"</f>
        <v>ツルサキジンジャ</v>
      </c>
      <c r="F3812" t="str">
        <f>"早島"</f>
        <v>早島</v>
      </c>
      <c r="G3812" t="str">
        <f>"年２回刊"</f>
        <v>年２回刊</v>
      </c>
      <c r="H3812" t="str">
        <f>"2002222329106"</f>
        <v>2002222329106</v>
      </c>
      <c r="I3812" t="str">
        <f>HYPERLINK("#", "https://opac.libnet.pref.okayama.jp/licsxp-opac/WOpacMsgNewListToTifTilDetailAction.do?tilcod=2002222329106")</f>
        <v>https://opac.libnet.pref.okayama.jp/licsxp-opac/WOpacMsgNewListToTifTilDetailAction.do?tilcod=2002222329106</v>
      </c>
    </row>
    <row r="3813" spans="1:9" x14ac:dyDescent="0.4">
      <c r="A3813" t="str">
        <f>"であい"</f>
        <v>であい</v>
      </c>
      <c r="B3813" s="1" t="str">
        <f t="shared" si="198"/>
        <v>であい</v>
      </c>
      <c r="C3813" t="str">
        <f>"デアイ"</f>
        <v>デアイ</v>
      </c>
      <c r="D3813" t="str">
        <f>"総社青年会議所"</f>
        <v>総社青年会議所</v>
      </c>
      <c r="E3813" t="str">
        <f>"ソウジャセイネンカイギショ"</f>
        <v>ソウジャセイネンカイギショ</v>
      </c>
      <c r="F3813" t="str">
        <f>"総社"</f>
        <v>総社</v>
      </c>
      <c r="G3813" t="str">
        <f>"不定期刊"</f>
        <v>不定期刊</v>
      </c>
      <c r="H3813" t="str">
        <f>"2002222300947"</f>
        <v>2002222300947</v>
      </c>
      <c r="I3813" t="str">
        <f>HYPERLINK("#", "https://opac.libnet.pref.okayama.jp/licsxp-opac/WOpacMsgNewListToTifTilDetailAction.do?tilcod=2002222300947")</f>
        <v>https://opac.libnet.pref.okayama.jp/licsxp-opac/WOpacMsgNewListToTifTilDetailAction.do?tilcod=2002222300947</v>
      </c>
    </row>
    <row r="3814" spans="1:9" x14ac:dyDescent="0.4">
      <c r="A3814" t="str">
        <f>"であい；プラザ山南"</f>
        <v>であい；プラザ山南</v>
      </c>
      <c r="B3814" s="1" t="str">
        <f t="shared" si="198"/>
        <v>であい；プラザ山南</v>
      </c>
      <c r="C3814" t="str">
        <f>"デアイ＊プラザ サンナン"</f>
        <v>デアイ＊プラザ サンナン</v>
      </c>
      <c r="D3814" t="str">
        <f>"岡山市福祉交流プラザ山南"</f>
        <v>岡山市福祉交流プラザ山南</v>
      </c>
      <c r="E3814" t="str">
        <f>"オカヤマシ フクシ コウリュウ プラザ サンナン"</f>
        <v>オカヤマシ フクシ コウリュウ プラザ サンナン</v>
      </c>
      <c r="F3814" t="str">
        <f>"岡山"</f>
        <v>岡山</v>
      </c>
      <c r="G3814" t="str">
        <f>"季刊"</f>
        <v>季刊</v>
      </c>
      <c r="H3814" t="str">
        <f>"2002222336186"</f>
        <v>2002222336186</v>
      </c>
      <c r="I3814" t="str">
        <f>HYPERLINK("#", "https://opac.libnet.pref.okayama.jp/licsxp-opac/WOpacMsgNewListToTifTilDetailAction.do?tilcod=2002222336186")</f>
        <v>https://opac.libnet.pref.okayama.jp/licsxp-opac/WOpacMsgNewListToTifTilDetailAction.do?tilcod=2002222336186</v>
      </c>
    </row>
    <row r="3815" spans="1:9" x14ac:dyDescent="0.4">
      <c r="A3815" t="str">
        <f>"TEI(Takahashi Educatinal Institution)"</f>
        <v>TEI(Takahashi Educatinal Institution)</v>
      </c>
      <c r="B3815" s="1" t="str">
        <f t="shared" si="198"/>
        <v>TEI(Takahashi Educatinal Institution)</v>
      </c>
      <c r="C3815" t="str">
        <f>"ティー イー アイ"</f>
        <v>ティー イー アイ</v>
      </c>
      <c r="D3815" t="str">
        <f>"高梁学園"</f>
        <v>高梁学園</v>
      </c>
      <c r="E3815" t="str">
        <f>"タカハシ ガクエン"</f>
        <v>タカハシ ガクエン</v>
      </c>
      <c r="F3815" t="str">
        <f>"高梁市"</f>
        <v>高梁市</v>
      </c>
      <c r="G3815" t="str">
        <f>"年刊"</f>
        <v>年刊</v>
      </c>
      <c r="H3815" t="str">
        <f>"2002222283161"</f>
        <v>2002222283161</v>
      </c>
      <c r="I3815" t="str">
        <f>HYPERLINK("#", "https://opac.libnet.pref.okayama.jp/licsxp-opac/WOpacMsgNewListToTifTilDetailAction.do?tilcod=2002222283161")</f>
        <v>https://opac.libnet.pref.okayama.jp/licsxp-opac/WOpacMsgNewListToTifTilDetailAction.do?tilcod=2002222283161</v>
      </c>
    </row>
    <row r="3816" spans="1:9" x14ac:dyDescent="0.4">
      <c r="A3816" t="str">
        <f>"DV防止サポートシステムをつなぐ会ニュース"</f>
        <v>DV防止サポートシステムをつなぐ会ニュース</v>
      </c>
      <c r="B3816" s="1" t="str">
        <f t="shared" si="198"/>
        <v>DV防止サポートシステムをつなぐ会ニュース</v>
      </c>
      <c r="C3816" t="str">
        <f>"ディーヴィ ボウシ サポート システム オ ツナグカイ ニュース"</f>
        <v>ディーヴィ ボウシ サポート システム オ ツナグカイ ニュース</v>
      </c>
      <c r="D3816" t="str">
        <f>"DV防止サポートシステムをつなぐ会・岡山"</f>
        <v>DV防止サポートシステムをつなぐ会・岡山</v>
      </c>
      <c r="E3816" t="str">
        <f>"ディーヴイ ボウシ サポート システム オ ツナグカイ オカヤマ"</f>
        <v>ディーヴイ ボウシ サポート システム オ ツナグカイ オカヤマ</v>
      </c>
      <c r="F3816" t="str">
        <f>"岡山"</f>
        <v>岡山</v>
      </c>
      <c r="G3816" t="str">
        <f>"年２回刊"</f>
        <v>年２回刊</v>
      </c>
      <c r="H3816" t="str">
        <f>"2002222331419"</f>
        <v>2002222331419</v>
      </c>
      <c r="I3816" t="str">
        <f>HYPERLINK("#", "https://opac.libnet.pref.okayama.jp/licsxp-opac/WOpacMsgNewListToTifTilDetailAction.do?tilcod=2002222331419")</f>
        <v>https://opac.libnet.pref.okayama.jp/licsxp-opac/WOpacMsgNewListToTifTilDetailAction.do?tilcod=2002222331419</v>
      </c>
    </row>
    <row r="3817" spans="1:9" x14ac:dyDescent="0.4">
      <c r="A3817" t="str">
        <f>"D♯mag"</f>
        <v>D♯mag</v>
      </c>
      <c r="B3817" s="1" t="str">
        <f t="shared" si="198"/>
        <v>D♯mag</v>
      </c>
      <c r="C3817" t="str">
        <f>"ディーシャープマグ"</f>
        <v>ディーシャープマグ</v>
      </c>
      <c r="D3817" t="str">
        <f>"井原被服協同組合"</f>
        <v>井原被服協同組合</v>
      </c>
      <c r="E3817" t="str">
        <f>"イバラヒフクキョウドウクミアイ"</f>
        <v>イバラヒフクキョウドウクミアイ</v>
      </c>
      <c r="F3817" t="str">
        <f>"井原"</f>
        <v>井原</v>
      </c>
      <c r="G3817" t="str">
        <f>"頻度不明"</f>
        <v>頻度不明</v>
      </c>
      <c r="H3817" t="str">
        <f>"2002222322007"</f>
        <v>2002222322007</v>
      </c>
      <c r="I3817" t="str">
        <f>HYPERLINK("#", "https://opac.libnet.pref.okayama.jp/licsxp-opac/WOpacMsgNewListToTifTilDetailAction.do?tilcod=2002222322007")</f>
        <v>https://opac.libnet.pref.okayama.jp/licsxp-opac/WOpacMsgNewListToTifTilDetailAction.do?tilcod=2002222322007</v>
      </c>
    </row>
    <row r="3818" spans="1:9" x14ac:dyDescent="0.4">
      <c r="A3818" t="str">
        <f>"Teen's通信(ティーンズ通信)"</f>
        <v>Teen's通信(ティーンズ通信)</v>
      </c>
      <c r="B3818" s="1" t="str">
        <f t="shared" si="198"/>
        <v>Teen's通信(ティーンズ通信)</v>
      </c>
      <c r="C3818" t="str">
        <f>"ティーンズ　ツウシン"</f>
        <v>ティーンズ　ツウシン</v>
      </c>
      <c r="D3818" t="str">
        <f>"岡山県立図書館"</f>
        <v>岡山県立図書館</v>
      </c>
      <c r="E3818" t="str">
        <f>"オカヤマケンリツ トショカン"</f>
        <v>オカヤマケンリツ トショカン</v>
      </c>
      <c r="F3818" t="str">
        <f>"岡山"</f>
        <v>岡山</v>
      </c>
      <c r="G3818" t="str">
        <f>"季刊"</f>
        <v>季刊</v>
      </c>
      <c r="H3818" t="str">
        <f>"2002222301128"</f>
        <v>2002222301128</v>
      </c>
      <c r="I3818" t="str">
        <f>HYPERLINK("#", "https://opac.libnet.pref.okayama.jp/licsxp-opac/WOpacMsgNewListToTifTilDetailAction.do?tilcod=2002222301128")</f>
        <v>https://opac.libnet.pref.okayama.jp/licsxp-opac/WOpacMsgNewListToTifTilDetailAction.do?tilcod=2002222301128</v>
      </c>
    </row>
    <row r="3819" spans="1:9" x14ac:dyDescent="0.4">
      <c r="A3819" t="str">
        <f>"ティーンズのひろば"</f>
        <v>ティーンズのひろば</v>
      </c>
      <c r="B3819" s="1" t="str">
        <f t="shared" si="198"/>
        <v>ティーンズのひろば</v>
      </c>
      <c r="C3819" t="str">
        <f>"ティーンズ　ノ　ヒロバ"</f>
        <v>ティーンズ　ノ　ヒロバ</v>
      </c>
      <c r="D3819" t="str">
        <f>"岡山県立図書館サービス第一課人文科学班"</f>
        <v>岡山県立図書館サービス第一課人文科学班</v>
      </c>
      <c r="E3819" t="str">
        <f>"オカヤマケンリツトショカンサービスダイイッカジンブンカガクハン"</f>
        <v>オカヤマケンリツトショカンサービスダイイッカジンブンカガクハン</v>
      </c>
      <c r="F3819" t="str">
        <f>"岡山"</f>
        <v>岡山</v>
      </c>
      <c r="G3819" t="str">
        <f>"不定期刊"</f>
        <v>不定期刊</v>
      </c>
      <c r="H3819" t="str">
        <f>"2002222302446"</f>
        <v>2002222302446</v>
      </c>
      <c r="I3819" t="str">
        <f>HYPERLINK("#", "https://opac.libnet.pref.okayama.jp/licsxp-opac/WOpacMsgNewListToTifTilDetailAction.do?tilcod=2002222302446")</f>
        <v>https://opac.libnet.pref.okayama.jp/licsxp-opac/WOpacMsgNewListToTifTilDetailAction.do?tilcod=2002222302446</v>
      </c>
    </row>
    <row r="3820" spans="1:9" x14ac:dyDescent="0.4">
      <c r="A3820" t="str">
        <f>"帝国在郷軍人会岡山支部報"</f>
        <v>帝国在郷軍人会岡山支部報</v>
      </c>
      <c r="B3820" s="1" t="str">
        <f t="shared" si="198"/>
        <v>帝国在郷軍人会岡山支部報</v>
      </c>
      <c r="C3820" t="str">
        <f>"テイコク　ザイゴウ　グンジンカイ　オカヤマ　シブホウ"</f>
        <v>テイコク　ザイゴウ　グンジンカイ　オカヤマ　シブホウ</v>
      </c>
      <c r="D3820" t="str">
        <f>"帝国在郷軍人会岡山支部"</f>
        <v>帝国在郷軍人会岡山支部</v>
      </c>
      <c r="E3820" t="str">
        <f>"テイコク ザイゴウ グンジンカイ オカヤマ シブ"</f>
        <v>テイコク ザイゴウ グンジンカイ オカヤマ シブ</v>
      </c>
      <c r="F3820" t="str">
        <f>"岡山"</f>
        <v>岡山</v>
      </c>
      <c r="G3820" t="str">
        <f>"月刊"</f>
        <v>月刊</v>
      </c>
      <c r="H3820" t="str">
        <f>"2002222301378"</f>
        <v>2002222301378</v>
      </c>
      <c r="I3820" t="str">
        <f>HYPERLINK("#", "https://opac.libnet.pref.okayama.jp/licsxp-opac/WOpacMsgNewListToTifTilDetailAction.do?tilcod=2002222301378")</f>
        <v>https://opac.libnet.pref.okayama.jp/licsxp-opac/WOpacMsgNewListToTifTilDetailAction.do?tilcod=2002222301378</v>
      </c>
    </row>
    <row r="3821" spans="1:9" x14ac:dyDescent="0.4">
      <c r="A3821" t="str">
        <f>"艇友"</f>
        <v>艇友</v>
      </c>
      <c r="B3821" s="1" t="str">
        <f t="shared" si="198"/>
        <v>艇友</v>
      </c>
      <c r="C3821" t="str">
        <f>"テイユウ"</f>
        <v>テイユウ</v>
      </c>
      <c r="D3821" t="str">
        <f>"第六高等学校艇友会"</f>
        <v>第六高等学校艇友会</v>
      </c>
      <c r="E3821" t="str">
        <f>"ダイロクコウトウガッコウテイユウカイ"</f>
        <v>ダイロクコウトウガッコウテイユウカイ</v>
      </c>
      <c r="F3821" t="str">
        <f>"京都"</f>
        <v>京都</v>
      </c>
      <c r="G3821" t="str">
        <f>"年刊"</f>
        <v>年刊</v>
      </c>
      <c r="H3821" t="str">
        <f>"2002222280694"</f>
        <v>2002222280694</v>
      </c>
      <c r="I3821" t="str">
        <f>HYPERLINK("#", "https://opac.libnet.pref.okayama.jp/licsxp-opac/WOpacMsgNewListToTifTilDetailAction.do?tilcod=2002222280694")</f>
        <v>https://opac.libnet.pref.okayama.jp/licsxp-opac/WOpacMsgNewListToTifTilDetailAction.do?tilcod=2002222280694</v>
      </c>
    </row>
    <row r="3822" spans="1:9" x14ac:dyDescent="0.4">
      <c r="A3822" t="str">
        <f>"定例的教員研修会研究収録"</f>
        <v>定例的教員研修会研究収録</v>
      </c>
      <c r="B3822" s="1" t="str">
        <f t="shared" si="198"/>
        <v>定例的教員研修会研究収録</v>
      </c>
      <c r="C3822" t="str">
        <f>"テイレイテキ　キョウイン　ケンシュウカイ　ケンキュウ　シュウロク"</f>
        <v>テイレイテキ　キョウイン　ケンシュウカイ　ケンキュウ　シュウロク</v>
      </c>
      <c r="D3822" t="str">
        <f>"岡山県商業教育共同実習所"</f>
        <v>岡山県商業教育共同実習所</v>
      </c>
      <c r="E3822" t="str">
        <f>"オカヤマケンショウギョウキョウイクキョウドウジッシュウジョ"</f>
        <v>オカヤマケンショウギョウキョウイクキョウドウジッシュウジョ</v>
      </c>
      <c r="F3822" t="str">
        <f>""</f>
        <v/>
      </c>
      <c r="G3822" t="str">
        <f>"頻度不明"</f>
        <v>頻度不明</v>
      </c>
      <c r="H3822" t="str">
        <f>"2002222284783"</f>
        <v>2002222284783</v>
      </c>
      <c r="I3822" t="str">
        <f>HYPERLINK("#", "https://opac.libnet.pref.okayama.jp/licsxp-opac/WOpacMsgNewListToTifTilDetailAction.do?tilcod=2002222284783")</f>
        <v>https://opac.libnet.pref.okayama.jp/licsxp-opac/WOpacMsgNewListToTifTilDetailAction.do?tilcod=2002222284783</v>
      </c>
    </row>
    <row r="3823" spans="1:9" x14ac:dyDescent="0.4">
      <c r="A3823" t="str">
        <f>"Techknow KONAN"</f>
        <v>Techknow KONAN</v>
      </c>
      <c r="B3823" s="1" t="str">
        <f t="shared" si="198"/>
        <v>Techknow KONAN</v>
      </c>
      <c r="C3823" t="str">
        <f>"テクノ　コウナン"</f>
        <v>テクノ　コウナン</v>
      </c>
      <c r="D3823" t="str">
        <f>"玉野光南高等学校情報電子科"</f>
        <v>玉野光南高等学校情報電子科</v>
      </c>
      <c r="E3823" t="str">
        <f>"タマノ コウナン コウトウ ガッコウ ジョウホウ デンシカ"</f>
        <v>タマノ コウナン コウトウ ガッコウ ジョウホウ デンシカ</v>
      </c>
      <c r="F3823" t="str">
        <f>"玉野"</f>
        <v>玉野</v>
      </c>
      <c r="G3823" t="str">
        <f>"年刊"</f>
        <v>年刊</v>
      </c>
      <c r="H3823" t="str">
        <f>"2002222319734"</f>
        <v>2002222319734</v>
      </c>
      <c r="I3823" t="str">
        <f>HYPERLINK("#", "https://opac.libnet.pref.okayama.jp/licsxp-opac/WOpacMsgNewListToTifTilDetailAction.do?tilcod=2002222319734")</f>
        <v>https://opac.libnet.pref.okayama.jp/licsxp-opac/WOpacMsgNewListToTifTilDetailAction.do?tilcod=2002222319734</v>
      </c>
    </row>
    <row r="3824" spans="1:9" x14ac:dyDescent="0.4">
      <c r="A3824" t="str">
        <f>"てご"</f>
        <v>てご</v>
      </c>
      <c r="B3824" s="1" t="str">
        <f t="shared" si="198"/>
        <v>てご</v>
      </c>
      <c r="C3824" t="str">
        <f>"テゴ"</f>
        <v>テゴ</v>
      </c>
      <c r="D3824" t="str">
        <f>"おかやま観光コンベンション協会"</f>
        <v>おかやま観光コンベンション協会</v>
      </c>
      <c r="E3824" t="str">
        <f>"オカヤマ カンコウ コンベンション キョウカイ"</f>
        <v>オカヤマ カンコウ コンベンション キョウカイ</v>
      </c>
      <c r="F3824" t="str">
        <f>"岡山"</f>
        <v>岡山</v>
      </c>
      <c r="G3824" t="str">
        <f>"頻度不明"</f>
        <v>頻度不明</v>
      </c>
      <c r="H3824" t="str">
        <f>"2002222302305"</f>
        <v>2002222302305</v>
      </c>
      <c r="I3824" t="str">
        <f>HYPERLINK("#", "https://opac.libnet.pref.okayama.jp/licsxp-opac/WOpacMsgNewListToTifTilDetailAction.do?tilcod=2002222302305")</f>
        <v>https://opac.libnet.pref.okayama.jp/licsxp-opac/WOpacMsgNewListToTifTilDetailAction.do?tilcod=2002222302305</v>
      </c>
    </row>
    <row r="3825" spans="1:9" x14ac:dyDescent="0.4">
      <c r="A3825" t="str">
        <f>"でこぼこ"</f>
        <v>でこぼこ</v>
      </c>
      <c r="B3825" s="1" t="str">
        <f t="shared" si="198"/>
        <v>でこぼこ</v>
      </c>
      <c r="C3825" t="str">
        <f>"デコボコ"</f>
        <v>デコボコ</v>
      </c>
      <c r="D3825" t="str">
        <f>"岡山市中学校事務研究会"</f>
        <v>岡山市中学校事務研究会</v>
      </c>
      <c r="E3825" t="str">
        <f>"オカヤマシチュウガッコウジムケンキュウカイ"</f>
        <v>オカヤマシチュウガッコウジムケンキュウカイ</v>
      </c>
      <c r="F3825" t="str">
        <f>"岡山"</f>
        <v>岡山</v>
      </c>
      <c r="G3825" t="str">
        <f>"頻度不明"</f>
        <v>頻度不明</v>
      </c>
      <c r="H3825" t="str">
        <f>"2002222284673"</f>
        <v>2002222284673</v>
      </c>
      <c r="I3825" t="str">
        <f>HYPERLINK("#", "https://opac.libnet.pref.okayama.jp/licsxp-opac/WOpacMsgNewListToTifTilDetailAction.do?tilcod=2002222284673")</f>
        <v>https://opac.libnet.pref.okayama.jp/licsxp-opac/WOpacMsgNewListToTifTilDetailAction.do?tilcod=2002222284673</v>
      </c>
    </row>
    <row r="3826" spans="1:9" x14ac:dyDescent="0.4">
      <c r="A3826" t="str">
        <f>"デザイン倉シキ"</f>
        <v>デザイン倉シキ</v>
      </c>
      <c r="B3826" s="1" t="str">
        <f t="shared" si="198"/>
        <v>デザイン倉シキ</v>
      </c>
      <c r="C3826" t="str">
        <f>"デザイン　クラシキ"</f>
        <v>デザイン　クラシキ</v>
      </c>
      <c r="D3826" t="str">
        <f>"倉敷産業デザイン研究会"</f>
        <v>倉敷産業デザイン研究会</v>
      </c>
      <c r="E3826" t="str">
        <f>"クラシキサンギョウデザインケンキュウカイ"</f>
        <v>クラシキサンギョウデザインケンキュウカイ</v>
      </c>
      <c r="F3826" t="str">
        <f>"倉敷"</f>
        <v>倉敷</v>
      </c>
      <c r="G3826" t="str">
        <f>"年刊"</f>
        <v>年刊</v>
      </c>
      <c r="H3826" t="str">
        <f>"2002222300419"</f>
        <v>2002222300419</v>
      </c>
      <c r="I3826" t="str">
        <f>HYPERLINK("#", "https://opac.libnet.pref.okayama.jp/licsxp-opac/WOpacMsgNewListToTifTilDetailAction.do?tilcod=2002222300419")</f>
        <v>https://opac.libnet.pref.okayama.jp/licsxp-opac/WOpacMsgNewListToTifTilDetailAction.do?tilcod=2002222300419</v>
      </c>
    </row>
    <row r="3827" spans="1:9" x14ac:dyDescent="0.4">
      <c r="A3827" t="str">
        <f>"デザインくらしき"</f>
        <v>デザインくらしき</v>
      </c>
      <c r="B3827" s="1" t="str">
        <f t="shared" si="198"/>
        <v>デザインくらしき</v>
      </c>
      <c r="C3827" t="str">
        <f>"デザイン　クラシキ"</f>
        <v>デザイン　クラシキ</v>
      </c>
      <c r="D3827" t="str">
        <f>"倉敷産業デザイン研究会"</f>
        <v>倉敷産業デザイン研究会</v>
      </c>
      <c r="E3827" t="str">
        <f>"クラシキサンギョウデザインケンキュウカイ"</f>
        <v>クラシキサンギョウデザインケンキュウカイ</v>
      </c>
      <c r="F3827" t="str">
        <f>"倉敷"</f>
        <v>倉敷</v>
      </c>
      <c r="G3827" t="str">
        <f>"年刊"</f>
        <v>年刊</v>
      </c>
      <c r="H3827" t="str">
        <f>"2002222292961"</f>
        <v>2002222292961</v>
      </c>
      <c r="I3827" t="str">
        <f>HYPERLINK("#", "https://opac.libnet.pref.okayama.jp/licsxp-opac/WOpacMsgNewListToTifTilDetailAction.do?tilcod=2002222292961")</f>
        <v>https://opac.libnet.pref.okayama.jp/licsxp-opac/WOpacMsgNewListToTifTilDetailAction.do?tilcod=2002222292961</v>
      </c>
    </row>
    <row r="3828" spans="1:9" x14ac:dyDescent="0.4">
      <c r="A3828" t="str">
        <f>"てっせいだより"</f>
        <v>てっせいだより</v>
      </c>
      <c r="B3828" s="1" t="str">
        <f t="shared" si="198"/>
        <v>てっせいだより</v>
      </c>
      <c r="C3828" t="str">
        <f>"テッセイ　ダヨリ"</f>
        <v>テッセイ　ダヨリ</v>
      </c>
      <c r="D3828" t="str">
        <f>"哲西町"</f>
        <v>哲西町</v>
      </c>
      <c r="E3828" t="str">
        <f>"テッセイチョウ"</f>
        <v>テッセイチョウ</v>
      </c>
      <c r="F3828" t="str">
        <f>"哲西町（阿哲郡）"</f>
        <v>哲西町（阿哲郡）</v>
      </c>
      <c r="G3828" t="str">
        <f>"月刊"</f>
        <v>月刊</v>
      </c>
      <c r="H3828" t="str">
        <f>"2002222301681"</f>
        <v>2002222301681</v>
      </c>
      <c r="I3828" t="str">
        <f>HYPERLINK("#", "https://opac.libnet.pref.okayama.jp/licsxp-opac/WOpacMsgNewListToTifTilDetailAction.do?tilcod=2002222301681")</f>
        <v>https://opac.libnet.pref.okayama.jp/licsxp-opac/WOpacMsgNewListToTifTilDetailAction.do?tilcod=2002222301681</v>
      </c>
    </row>
    <row r="3829" spans="1:9" x14ac:dyDescent="0.4">
      <c r="A3829" t="str">
        <f>"哲西町ふるさと通信鯉が窪"</f>
        <v>哲西町ふるさと通信鯉が窪</v>
      </c>
      <c r="B3829" s="1" t="str">
        <f t="shared" si="198"/>
        <v>哲西町ふるさと通信鯉が窪</v>
      </c>
      <c r="C3829" t="str">
        <f>"テッセイチョウ　フルサト　ツウシン　コイガクボ"</f>
        <v>テッセイチョウ　フルサト　ツウシン　コイガクボ</v>
      </c>
      <c r="D3829" t="str">
        <f>"哲西町"</f>
        <v>哲西町</v>
      </c>
      <c r="E3829" t="str">
        <f>"テッセイチョウ"</f>
        <v>テッセイチョウ</v>
      </c>
      <c r="F3829" t="str">
        <f>"阿哲郡哲西町"</f>
        <v>阿哲郡哲西町</v>
      </c>
      <c r="G3829" t="str">
        <f>"年３回刊"</f>
        <v>年３回刊</v>
      </c>
      <c r="H3829" t="str">
        <f>"2002222281311"</f>
        <v>2002222281311</v>
      </c>
      <c r="I3829" t="str">
        <f>HYPERLINK("#", "https://opac.libnet.pref.okayama.jp/licsxp-opac/WOpacMsgNewListToTifTilDetailAction.do?tilcod=2002222281311")</f>
        <v>https://opac.libnet.pref.okayama.jp/licsxp-opac/WOpacMsgNewListToTifTilDetailAction.do?tilcod=2002222281311</v>
      </c>
    </row>
    <row r="3830" spans="1:9" x14ac:dyDescent="0.4">
      <c r="A3830" t="str">
        <f>"テニス春秋"</f>
        <v>テニス春秋</v>
      </c>
      <c r="B3830" s="1" t="str">
        <f t="shared" si="198"/>
        <v>テニス春秋</v>
      </c>
      <c r="C3830" t="str">
        <f>"テニス シュンジュウ"</f>
        <v>テニス シュンジュウ</v>
      </c>
      <c r="D3830" t="str">
        <f>"岡山大学軟式庭球部"</f>
        <v>岡山大学軟式庭球部</v>
      </c>
      <c r="E3830" t="str">
        <f>"オカヤマ ダイガク ナンシキ テイキュウブ"</f>
        <v>オカヤマ ダイガク ナンシキ テイキュウブ</v>
      </c>
      <c r="F3830" t="str">
        <f>"[岡山]"</f>
        <v>[岡山]</v>
      </c>
      <c r="G3830" t="str">
        <f>"頻度不明"</f>
        <v>頻度不明</v>
      </c>
      <c r="H3830" t="str">
        <f>"2002222334106"</f>
        <v>2002222334106</v>
      </c>
      <c r="I3830" t="str">
        <f>HYPERLINK("#", "https://opac.libnet.pref.okayama.jp/licsxp-opac/WOpacMsgNewListToTifTilDetailAction.do?tilcod=2002222334106")</f>
        <v>https://opac.libnet.pref.okayama.jp/licsxp-opac/WOpacMsgNewListToTifTilDetailAction.do?tilcod=2002222334106</v>
      </c>
    </row>
    <row r="3831" spans="1:9" x14ac:dyDescent="0.4">
      <c r="A3831" t="str">
        <f>"てのひら"</f>
        <v>てのひら</v>
      </c>
      <c r="B3831" s="1" t="str">
        <f t="shared" si="198"/>
        <v>てのひら</v>
      </c>
      <c r="C3831" t="str">
        <f>"テノヒラ"</f>
        <v>テノヒラ</v>
      </c>
      <c r="D3831" t="str">
        <f>"てのひら同人"</f>
        <v>てのひら同人</v>
      </c>
      <c r="E3831" t="str">
        <f>"テノヒラ ドウジン"</f>
        <v>テノヒラ ドウジン</v>
      </c>
      <c r="F3831" t="str">
        <f>"総社"</f>
        <v>総社</v>
      </c>
      <c r="G3831" t="str">
        <f>"頻度不明"</f>
        <v>頻度不明</v>
      </c>
      <c r="H3831" t="str">
        <f>"2002222319609"</f>
        <v>2002222319609</v>
      </c>
      <c r="I3831" t="str">
        <f>HYPERLINK("#", "https://opac.libnet.pref.okayama.jp/licsxp-opac/WOpacMsgNewListToTifTilDetailAction.do?tilcod=2002222319609")</f>
        <v>https://opac.libnet.pref.okayama.jp/licsxp-opac/WOpacMsgNewListToTifTilDetailAction.do?tilcod=2002222319609</v>
      </c>
    </row>
    <row r="3832" spans="1:9" x14ac:dyDescent="0.4">
      <c r="A3832" t="str">
        <f>"掌；現代語歌"</f>
        <v>掌；現代語歌</v>
      </c>
      <c r="B3832" s="1" t="str">
        <f t="shared" si="198"/>
        <v>掌；現代語歌</v>
      </c>
      <c r="C3832" t="str">
        <f>"テノヒラ＊ゲンダイゴカ"</f>
        <v>テノヒラ＊ゲンダイゴカ</v>
      </c>
      <c r="D3832" t="str">
        <f>"掌の会"</f>
        <v>掌の会</v>
      </c>
      <c r="E3832" t="str">
        <f>"テノヒラノカイ"</f>
        <v>テノヒラノカイ</v>
      </c>
      <c r="F3832" t="str">
        <f>"笠岡"</f>
        <v>笠岡</v>
      </c>
      <c r="G3832" t="str">
        <f>"季刊"</f>
        <v>季刊</v>
      </c>
      <c r="H3832" t="str">
        <f>"2002222274951"</f>
        <v>2002222274951</v>
      </c>
      <c r="I3832" t="str">
        <f>HYPERLINK("#", "https://opac.libnet.pref.okayama.jp/licsxp-opac/WOpacMsgNewListToTifTilDetailAction.do?tilcod=2002222274951")</f>
        <v>https://opac.libnet.pref.okayama.jp/licsxp-opac/WOpacMsgNewListToTifTilDetailAction.do?tilcod=2002222274951</v>
      </c>
    </row>
    <row r="3833" spans="1:9" x14ac:dyDescent="0.4">
      <c r="A3833" t="str">
        <f>"でぼん紀"</f>
        <v>でぼん紀</v>
      </c>
      <c r="B3833" s="1" t="str">
        <f t="shared" si="198"/>
        <v>でぼん紀</v>
      </c>
      <c r="C3833" t="str">
        <f>"デボンキ"</f>
        <v>デボンキ</v>
      </c>
      <c r="D3833" t="str">
        <f>"堀野富子"</f>
        <v>堀野富子</v>
      </c>
      <c r="E3833" t="str">
        <f>"ホリノトミコ"</f>
        <v>ホリノトミコ</v>
      </c>
      <c r="F3833" t="str">
        <f>""</f>
        <v/>
      </c>
      <c r="G3833" t="str">
        <f>"頻度不明"</f>
        <v>頻度不明</v>
      </c>
      <c r="H3833" t="str">
        <f>"2002222284683"</f>
        <v>2002222284683</v>
      </c>
      <c r="I3833" t="str">
        <f>HYPERLINK("#", "https://opac.libnet.pref.okayama.jp/licsxp-opac/WOpacMsgNewListToTifTilDetailAction.do?tilcod=2002222284683")</f>
        <v>https://opac.libnet.pref.okayama.jp/licsxp-opac/WOpacMsgNewListToTifTilDetailAction.do?tilcod=2002222284683</v>
      </c>
    </row>
    <row r="3834" spans="1:9" x14ac:dyDescent="0.4">
      <c r="A3834" t="str">
        <f>"出美田"</f>
        <v>出美田</v>
      </c>
      <c r="B3834" s="1" t="str">
        <f t="shared" si="198"/>
        <v>出美田</v>
      </c>
      <c r="C3834" t="str">
        <f>"デミータ"</f>
        <v>デミータ</v>
      </c>
      <c r="D3834" t="str">
        <f>"大原高等学校農業・家庭クラブ"</f>
        <v>大原高等学校農業・家庭クラブ</v>
      </c>
      <c r="E3834" t="str">
        <f>"オオハラコウトウガッコウノウギョウカテイクラブ"</f>
        <v>オオハラコウトウガッコウノウギョウカテイクラブ</v>
      </c>
      <c r="F3834" t="str">
        <f>"大原町（英田郡）"</f>
        <v>大原町（英田郡）</v>
      </c>
      <c r="G3834" t="str">
        <f>"年刊"</f>
        <v>年刊</v>
      </c>
      <c r="H3834" t="str">
        <f>"2002222301482"</f>
        <v>2002222301482</v>
      </c>
      <c r="I3834" t="str">
        <f>HYPERLINK("#", "https://opac.libnet.pref.okayama.jp/licsxp-opac/WOpacMsgNewListToTifTilDetailAction.do?tilcod=2002222301482")</f>
        <v>https://opac.libnet.pref.okayama.jp/licsxp-opac/WOpacMsgNewListToTifTilDetailAction.do?tilcod=2002222301482</v>
      </c>
    </row>
    <row r="3835" spans="1:9" x14ac:dyDescent="0.4">
      <c r="A3835" t="str">
        <f>"ＤＵＯ（デュオ）"</f>
        <v>ＤＵＯ（デュオ）</v>
      </c>
      <c r="B3835" s="1" t="str">
        <f t="shared" si="198"/>
        <v>ＤＵＯ（デュオ）</v>
      </c>
      <c r="C3835" t="str">
        <f>"デュオ"</f>
        <v>デュオ</v>
      </c>
      <c r="D3835" t="str">
        <f>"岡山市市民協働局女性が輝くまちづくり推進課"</f>
        <v>岡山市市民協働局女性が輝くまちづくり推進課</v>
      </c>
      <c r="E3835" t="str">
        <f>"オカヤマシ シミン キョウドウキョク ジョセイ ガ カガヤク マチズクリ スイシンカ"</f>
        <v>オカヤマシ シミン キョウドウキョク ジョセイ ガ カガヤク マチズクリ スイシンカ</v>
      </c>
      <c r="F3835" t="str">
        <f>"岡山"</f>
        <v>岡山</v>
      </c>
      <c r="G3835" t="str">
        <f>"年２回刊"</f>
        <v>年２回刊</v>
      </c>
      <c r="H3835" t="str">
        <f>"2002222281201"</f>
        <v>2002222281201</v>
      </c>
      <c r="I3835" t="str">
        <f>HYPERLINK("#", "https://opac.libnet.pref.okayama.jp/licsxp-opac/WOpacMsgNewListToTifTilDetailAction.do?tilcod=2002222281201")</f>
        <v>https://opac.libnet.pref.okayama.jp/licsxp-opac/WOpacMsgNewListToTifTilDetailAction.do?tilcod=2002222281201</v>
      </c>
    </row>
    <row r="3836" spans="1:9" x14ac:dyDescent="0.4">
      <c r="A3836" t="str">
        <f>"テレビ岡山ニュース速報"</f>
        <v>テレビ岡山ニュース速報</v>
      </c>
      <c r="B3836" s="1" t="str">
        <f t="shared" si="198"/>
        <v>テレビ岡山ニュース速報</v>
      </c>
      <c r="C3836" t="str">
        <f>"テレビ　オカヤマ　ニュース　ソクホウ"</f>
        <v>テレビ　オカヤマ　ニュース　ソクホウ</v>
      </c>
      <c r="D3836" t="str">
        <f>"岡山放送"</f>
        <v>岡山放送</v>
      </c>
      <c r="E3836" t="str">
        <f>"オカヤマホウソウ"</f>
        <v>オカヤマホウソウ</v>
      </c>
      <c r="F3836" t="str">
        <f>"岡山"</f>
        <v>岡山</v>
      </c>
      <c r="G3836" t="str">
        <f>"月刊"</f>
        <v>月刊</v>
      </c>
      <c r="H3836" t="str">
        <f>"2002222284703"</f>
        <v>2002222284703</v>
      </c>
      <c r="I3836" t="str">
        <f>HYPERLINK("#", "https://opac.libnet.pref.okayama.jp/licsxp-opac/WOpacMsgNewListToTifTilDetailAction.do?tilcod=2002222284703")</f>
        <v>https://opac.libnet.pref.okayama.jp/licsxp-opac/WOpacMsgNewListToTifTilDetailAction.do?tilcod=2002222284703</v>
      </c>
    </row>
    <row r="3837" spans="1:9" x14ac:dyDescent="0.4">
      <c r="A3837" t="str">
        <f>"てれびおかやま；ＯＨＫ社内報"</f>
        <v>てれびおかやま；ＯＨＫ社内報</v>
      </c>
      <c r="B3837" s="1" t="str">
        <f t="shared" si="198"/>
        <v>てれびおかやま；ＯＨＫ社内報</v>
      </c>
      <c r="C3837" t="str">
        <f>"テレビ　オカヤマ＊オーエイチケー　シャナイホウ"</f>
        <v>テレビ　オカヤマ＊オーエイチケー　シャナイホウ</v>
      </c>
      <c r="D3837" t="str">
        <f>"岡山放送"</f>
        <v>岡山放送</v>
      </c>
      <c r="E3837" t="str">
        <f>"オカヤマホウソウ"</f>
        <v>オカヤマホウソウ</v>
      </c>
      <c r="F3837" t="str">
        <f>"岡山"</f>
        <v>岡山</v>
      </c>
      <c r="G3837" t="str">
        <f>"頻度不明"</f>
        <v>頻度不明</v>
      </c>
      <c r="H3837" t="str">
        <f>"2002222284693"</f>
        <v>2002222284693</v>
      </c>
      <c r="I3837" t="str">
        <f>HYPERLINK("#", "https://opac.libnet.pref.okayama.jp/licsxp-opac/WOpacMsgNewListToTifTilDetailAction.do?tilcod=2002222284693")</f>
        <v>https://opac.libnet.pref.okayama.jp/licsxp-opac/WOpacMsgNewListToTifTilDetailAction.do?tilcod=2002222284693</v>
      </c>
    </row>
    <row r="3838" spans="1:9" x14ac:dyDescent="0.4">
      <c r="A3838" t="str">
        <f>"テレビ時評"</f>
        <v>テレビ時評</v>
      </c>
      <c r="B3838" s="1" t="str">
        <f t="shared" si="198"/>
        <v>テレビ時評</v>
      </c>
      <c r="C3838" t="str">
        <f>"テレビ　ジヒョウ"</f>
        <v>テレビ　ジヒョウ</v>
      </c>
      <c r="D3838" t="str">
        <f>"テレビジョンエイジクラブ"</f>
        <v>テレビジョンエイジクラブ</v>
      </c>
      <c r="E3838" t="str">
        <f>"テレビジョンエイジクラブ"</f>
        <v>テレビジョンエイジクラブ</v>
      </c>
      <c r="F3838" t="str">
        <f>"岡山"</f>
        <v>岡山</v>
      </c>
      <c r="G3838" t="str">
        <f>"隔月刊"</f>
        <v>隔月刊</v>
      </c>
      <c r="H3838" t="str">
        <f>"2002222292981"</f>
        <v>2002222292981</v>
      </c>
      <c r="I3838" t="str">
        <f>HYPERLINK("#", "https://opac.libnet.pref.okayama.jp/licsxp-opac/WOpacMsgNewListToTifTilDetailAction.do?tilcod=2002222292981")</f>
        <v>https://opac.libnet.pref.okayama.jp/licsxp-opac/WOpacMsgNewListToTifTilDetailAction.do?tilcod=2002222292981</v>
      </c>
    </row>
    <row r="3839" spans="1:9" x14ac:dyDescent="0.4">
      <c r="A3839" t="str">
        <f>"田園"</f>
        <v>田園</v>
      </c>
      <c r="B3839" s="1" t="str">
        <f t="shared" si="198"/>
        <v>田園</v>
      </c>
      <c r="C3839" t="str">
        <f>"デンエン"</f>
        <v>デンエン</v>
      </c>
      <c r="D3839" t="str">
        <f>"田園倶楽部"</f>
        <v>田園倶楽部</v>
      </c>
      <c r="E3839" t="str">
        <f>"デンエンクラブ"</f>
        <v>デンエンクラブ</v>
      </c>
      <c r="F3839" t="str">
        <f>""</f>
        <v/>
      </c>
      <c r="G3839" t="str">
        <f>"頻度不明"</f>
        <v>頻度不明</v>
      </c>
      <c r="H3839" t="str">
        <f>"2002222283963"</f>
        <v>2002222283963</v>
      </c>
      <c r="I3839" t="str">
        <f>HYPERLINK("#", "https://opac.libnet.pref.okayama.jp/licsxp-opac/WOpacMsgNewListToTifTilDetailAction.do?tilcod=2002222283963")</f>
        <v>https://opac.libnet.pref.okayama.jp/licsxp-opac/WOpacMsgNewListToTifTilDetailAction.do?tilcod=2002222283963</v>
      </c>
    </row>
    <row r="3840" spans="1:9" x14ac:dyDescent="0.4">
      <c r="A3840" t="str">
        <f>"田園之趣味"</f>
        <v>田園之趣味</v>
      </c>
      <c r="B3840" s="1" t="str">
        <f t="shared" si="198"/>
        <v>田園之趣味</v>
      </c>
      <c r="C3840" t="str">
        <f>"デンエン　ノ　シュミ"</f>
        <v>デンエン　ノ　シュミ</v>
      </c>
      <c r="D3840" t="str">
        <f>"小西屋商店"</f>
        <v>小西屋商店</v>
      </c>
      <c r="E3840" t="str">
        <f>"コニシヤショウテン"</f>
        <v>コニシヤショウテン</v>
      </c>
      <c r="F3840" t="str">
        <f>"円城村（御津郡）"</f>
        <v>円城村（御津郡）</v>
      </c>
      <c r="G3840" t="str">
        <f>"月刊"</f>
        <v>月刊</v>
      </c>
      <c r="H3840" t="str">
        <f>"2002222301831"</f>
        <v>2002222301831</v>
      </c>
      <c r="I3840" t="str">
        <f>HYPERLINK("#", "https://opac.libnet.pref.okayama.jp/licsxp-opac/WOpacMsgNewListToTifTilDetailAction.do?tilcod=2002222301831")</f>
        <v>https://opac.libnet.pref.okayama.jp/licsxp-opac/WOpacMsgNewListToTifTilDetailAction.do?tilcod=2002222301831</v>
      </c>
    </row>
    <row r="3841" spans="1:9" x14ac:dyDescent="0.4">
      <c r="A3841" t="str">
        <f>"天鼓（てんく）"</f>
        <v>天鼓（てんく）</v>
      </c>
      <c r="B3841" s="1" t="str">
        <f t="shared" si="198"/>
        <v>天鼓（てんく）</v>
      </c>
      <c r="C3841" t="str">
        <f>"テンク"</f>
        <v>テンク</v>
      </c>
      <c r="D3841" t="str">
        <f>"天鼓社"</f>
        <v>天鼓社</v>
      </c>
      <c r="E3841" t="str">
        <f>"テンクシャ"</f>
        <v>テンクシャ</v>
      </c>
      <c r="F3841" t="str">
        <f>""</f>
        <v/>
      </c>
      <c r="G3841" t="str">
        <f>"頻度不明"</f>
        <v>頻度不明</v>
      </c>
      <c r="H3841" t="str">
        <f>"2002222284793"</f>
        <v>2002222284793</v>
      </c>
      <c r="I3841" t="str">
        <f>HYPERLINK("#", "https://opac.libnet.pref.okayama.jp/licsxp-opac/WOpacMsgNewListToTifTilDetailAction.do?tilcod=2002222284793")</f>
        <v>https://opac.libnet.pref.okayama.jp/licsxp-opac/WOpacMsgNewListToTifTilDetailAction.do?tilcod=2002222284793</v>
      </c>
    </row>
    <row r="3842" spans="1:9" x14ac:dyDescent="0.4">
      <c r="A3842" t="str">
        <f>"伝建かわら版"</f>
        <v>伝建かわら版</v>
      </c>
      <c r="B3842" s="1" t="str">
        <f t="shared" si="198"/>
        <v>伝建かわら版</v>
      </c>
      <c r="C3842" t="str">
        <f>"デンケン カワラバン"</f>
        <v>デンケン カワラバン</v>
      </c>
      <c r="D3842" t="str">
        <f>"倉敷伝建地区をまもり育てる会広報部"</f>
        <v>倉敷伝建地区をまもり育てる会広報部</v>
      </c>
      <c r="E3842" t="str">
        <f>"クラシキ デンケン チク オ マモリ ソダテル カイ コウホウブ"</f>
        <v>クラシキ デンケン チク オ マモリ ソダテル カイ コウホウブ</v>
      </c>
      <c r="F3842" t="str">
        <f>"倉敷"</f>
        <v>倉敷</v>
      </c>
      <c r="G3842" t="str">
        <f>"頻度不明"</f>
        <v>頻度不明</v>
      </c>
      <c r="H3842" t="str">
        <f>"2002222321866"</f>
        <v>2002222321866</v>
      </c>
      <c r="I3842" t="str">
        <f>HYPERLINK("#", "https://opac.libnet.pref.okayama.jp/licsxp-opac/WOpacMsgNewListToTifTilDetailAction.do?tilcod=2002222321866")</f>
        <v>https://opac.libnet.pref.okayama.jp/licsxp-opac/WOpacMsgNewListToTifTilDetailAction.do?tilcod=2002222321866</v>
      </c>
    </row>
    <row r="3843" spans="1:9" x14ac:dyDescent="0.4">
      <c r="A3843" t="str">
        <f>"天山"</f>
        <v>天山</v>
      </c>
      <c r="B3843" s="1" t="str">
        <f t="shared" si="198"/>
        <v>天山</v>
      </c>
      <c r="C3843" t="str">
        <f>"テンザン"</f>
        <v>テンザン</v>
      </c>
      <c r="D3843" t="str">
        <f>"天山発行所"</f>
        <v>天山発行所</v>
      </c>
      <c r="E3843" t="str">
        <f>"テンザンハッコウジョ"</f>
        <v>テンザンハッコウジョ</v>
      </c>
      <c r="F3843" t="str">
        <f>""</f>
        <v/>
      </c>
      <c r="G3843" t="str">
        <f>"隔月刊"</f>
        <v>隔月刊</v>
      </c>
      <c r="H3843" t="str">
        <f>"2002222284713"</f>
        <v>2002222284713</v>
      </c>
      <c r="I3843" t="str">
        <f>HYPERLINK("#", "https://opac.libnet.pref.okayama.jp/licsxp-opac/WOpacMsgNewListToTifTilDetailAction.do?tilcod=2002222284713")</f>
        <v>https://opac.libnet.pref.okayama.jp/licsxp-opac/WOpacMsgNewListToTifTilDetailAction.do?tilcod=2002222284713</v>
      </c>
    </row>
    <row r="3844" spans="1:9" x14ac:dyDescent="0.4">
      <c r="A3844" t="str">
        <f>"点字愛生"</f>
        <v>点字愛生</v>
      </c>
      <c r="B3844" s="1" t="str">
        <f t="shared" ref="B3844:B3907" si="200">HYPERLINK("#", A3844)</f>
        <v>点字愛生</v>
      </c>
      <c r="C3844" t="str">
        <f>"テンジ　アイセイ"</f>
        <v>テンジ　アイセイ</v>
      </c>
      <c r="D3844" t="str">
        <f>"長島愛生園盲人会"</f>
        <v>長島愛生園盲人会</v>
      </c>
      <c r="E3844" t="str">
        <f>"ナガシマアイセイエンモウジンカイ"</f>
        <v>ナガシマアイセイエンモウジンカイ</v>
      </c>
      <c r="F3844" t="str">
        <f>"瀬戸内"</f>
        <v>瀬戸内</v>
      </c>
      <c r="G3844" t="str">
        <f>"年３回刊"</f>
        <v>年３回刊</v>
      </c>
      <c r="H3844" t="str">
        <f>"2002222292991"</f>
        <v>2002222292991</v>
      </c>
      <c r="I3844" t="str">
        <f>HYPERLINK("#", "https://opac.libnet.pref.okayama.jp/licsxp-opac/WOpacMsgNewListToTifTilDetailAction.do?tilcod=2002222292991")</f>
        <v>https://opac.libnet.pref.okayama.jp/licsxp-opac/WOpacMsgNewListToTifTilDetailAction.do?tilcod=2002222292991</v>
      </c>
    </row>
    <row r="3845" spans="1:9" x14ac:dyDescent="0.4">
      <c r="A3845" t="str">
        <f>"点字愛生復刻版"</f>
        <v>点字愛生復刻版</v>
      </c>
      <c r="B3845" s="1" t="str">
        <f t="shared" si="200"/>
        <v>点字愛生復刻版</v>
      </c>
      <c r="C3845" t="str">
        <f>"テンジ　アイセイ　フッコクバン"</f>
        <v>テンジ　アイセイ　フッコクバン</v>
      </c>
      <c r="D3845" t="str">
        <f>"長島愛生園盲人会"</f>
        <v>長島愛生園盲人会</v>
      </c>
      <c r="E3845" t="str">
        <f>"ナガシマアイセイエンモウジンカイ"</f>
        <v>ナガシマアイセイエンモウジンカイ</v>
      </c>
      <c r="F3845" t="str">
        <f>"邑久郡邑久町"</f>
        <v>邑久郡邑久町</v>
      </c>
      <c r="G3845" t="str">
        <f>"月刊"</f>
        <v>月刊</v>
      </c>
      <c r="H3845" t="str">
        <f>"2002222284981"</f>
        <v>2002222284981</v>
      </c>
      <c r="I3845" t="str">
        <f>HYPERLINK("#", "https://opac.libnet.pref.okayama.jp/licsxp-opac/WOpacMsgNewListToTifTilDetailAction.do?tilcod=2002222284981")</f>
        <v>https://opac.libnet.pref.okayama.jp/licsxp-opac/WOpacMsgNewListToTifTilDetailAction.do?tilcod=2002222284981</v>
      </c>
    </row>
    <row r="3846" spans="1:9" x14ac:dyDescent="0.4">
      <c r="A3846" t="str">
        <f>"点字愛生（点字本）"</f>
        <v>点字愛生（点字本）</v>
      </c>
      <c r="B3846" s="1" t="str">
        <f t="shared" si="200"/>
        <v>点字愛生（点字本）</v>
      </c>
      <c r="C3846" t="str">
        <f>"テンジ　アイセイ＊テンジボン"</f>
        <v>テンジ　アイセイ＊テンジボン</v>
      </c>
      <c r="D3846" t="str">
        <f>"長島愛生園慰安会"</f>
        <v>長島愛生園慰安会</v>
      </c>
      <c r="E3846" t="str">
        <f>"ナガシマ アイセイエン イアンカイ"</f>
        <v>ナガシマ アイセイエン イアンカイ</v>
      </c>
      <c r="F3846" t="str">
        <f>""</f>
        <v/>
      </c>
      <c r="G3846" t="str">
        <f>"頻度不明"</f>
        <v>頻度不明</v>
      </c>
      <c r="H3846" t="str">
        <f>"2002222280634"</f>
        <v>2002222280634</v>
      </c>
      <c r="I3846" t="str">
        <f>HYPERLINK("#", "https://opac.libnet.pref.okayama.jp/licsxp-opac/WOpacMsgNewListToTifTilDetailAction.do?tilcod=2002222280634")</f>
        <v>https://opac.libnet.pref.okayama.jp/licsxp-opac/WOpacMsgNewListToTifTilDetailAction.do?tilcod=2002222280634</v>
      </c>
    </row>
    <row r="3847" spans="1:9" x14ac:dyDescent="0.4">
      <c r="A3847" t="str">
        <f>"でんしょばと"</f>
        <v>でんしょばと</v>
      </c>
      <c r="B3847" s="1" t="str">
        <f t="shared" si="200"/>
        <v>でんしょばと</v>
      </c>
      <c r="C3847" t="str">
        <f>"デンショバト　"</f>
        <v>デンショバト　</v>
      </c>
      <c r="D3847" t="str">
        <f>"井原市教育委員会生涯学習課"</f>
        <v>井原市教育委員会生涯学習課</v>
      </c>
      <c r="E3847" t="str">
        <f>"イバラシ キョウイク イインカイ ショウガイ ガクシュウカ"</f>
        <v>イバラシ キョウイク イインカイ ショウガイ ガクシュウカ</v>
      </c>
      <c r="F3847" t="str">
        <f>"井原"</f>
        <v>井原</v>
      </c>
      <c r="G3847" t="str">
        <f>"年３回刊"</f>
        <v>年３回刊</v>
      </c>
      <c r="H3847" t="str">
        <f>"2002222285881"</f>
        <v>2002222285881</v>
      </c>
      <c r="I3847" t="str">
        <f>HYPERLINK("#", "https://opac.libnet.pref.okayama.jp/licsxp-opac/WOpacMsgNewListToTifTilDetailAction.do?tilcod=2002222285881")</f>
        <v>https://opac.libnet.pref.okayama.jp/licsxp-opac/WOpacMsgNewListToTifTilDetailAction.do?tilcod=2002222285881</v>
      </c>
    </row>
    <row r="3848" spans="1:9" x14ac:dyDescent="0.4">
      <c r="A3848" t="str">
        <f>"点心"</f>
        <v>点心</v>
      </c>
      <c r="B3848" s="1" t="str">
        <f t="shared" si="200"/>
        <v>点心</v>
      </c>
      <c r="C3848" t="str">
        <f>"テンシン"</f>
        <v>テンシン</v>
      </c>
      <c r="D3848" t="str">
        <f>"岡山栄養科学園"</f>
        <v>岡山栄養科学園</v>
      </c>
      <c r="E3848" t="str">
        <f>"オカヤマ エイヨウカ ガクエン"</f>
        <v>オカヤマ エイヨウカ ガクエン</v>
      </c>
      <c r="F3848" t="str">
        <f>"岡山"</f>
        <v>岡山</v>
      </c>
      <c r="G3848" t="str">
        <f>"頻度不明"</f>
        <v>頻度不明</v>
      </c>
      <c r="H3848" t="str">
        <f>"2002222340990"</f>
        <v>2002222340990</v>
      </c>
      <c r="I3848" t="str">
        <f>HYPERLINK("#", "https://opac.libnet.pref.okayama.jp/licsxp-opac/WOpacMsgNewListToTifTilDetailAction.do?tilcod=2002222340990")</f>
        <v>https://opac.libnet.pref.okayama.jp/licsxp-opac/WOpacMsgNewListToTifTilDetailAction.do?tilcod=2002222340990</v>
      </c>
    </row>
    <row r="3849" spans="1:9" x14ac:dyDescent="0.4">
      <c r="A3849" t="str">
        <f>"天神瓦版"</f>
        <v>天神瓦版</v>
      </c>
      <c r="B3849" s="1" t="str">
        <f t="shared" si="200"/>
        <v>天神瓦版</v>
      </c>
      <c r="C3849" t="str">
        <f>"テンジン カワラバン"</f>
        <v>テンジン カワラバン</v>
      </c>
      <c r="D3849" t="str">
        <f>"串揚山留"</f>
        <v>串揚山留</v>
      </c>
      <c r="E3849" t="str">
        <f>"クシアゲヤマドメ"</f>
        <v>クシアゲヤマドメ</v>
      </c>
      <c r="F3849" t="str">
        <f>""</f>
        <v/>
      </c>
      <c r="G3849" t="str">
        <f>"月２回刊"</f>
        <v>月２回刊</v>
      </c>
      <c r="H3849" t="str">
        <f>"2002222324826"</f>
        <v>2002222324826</v>
      </c>
      <c r="I3849" t="str">
        <f>HYPERLINK("#", "https://opac.libnet.pref.okayama.jp/licsxp-opac/WOpacMsgNewListToTifTilDetailAction.do?tilcod=2002222324826")</f>
        <v>https://opac.libnet.pref.okayama.jp/licsxp-opac/WOpacMsgNewListToTifTilDetailAction.do?tilcod=2002222324826</v>
      </c>
    </row>
    <row r="3850" spans="1:9" x14ac:dyDescent="0.4">
      <c r="A3850" t="str">
        <f>"天神山だより"</f>
        <v>天神山だより</v>
      </c>
      <c r="B3850" s="1" t="str">
        <f t="shared" si="200"/>
        <v>天神山だより</v>
      </c>
      <c r="C3850" t="str">
        <f>"テンジンヤマ　ダヨリ"</f>
        <v>テンジンヤマ　ダヨリ</v>
      </c>
      <c r="D3850" t="str">
        <f>"岡山県天神山文化プラザ"</f>
        <v>岡山県天神山文化プラザ</v>
      </c>
      <c r="E3850" t="str">
        <f>"オカヤマケン テンジンヤマ ブンカ プラザ"</f>
        <v>オカヤマケン テンジンヤマ ブンカ プラザ</v>
      </c>
      <c r="F3850" t="str">
        <f>"岡山"</f>
        <v>岡山</v>
      </c>
      <c r="G3850" t="str">
        <f>"隔月刊"</f>
        <v>隔月刊</v>
      </c>
      <c r="H3850" t="str">
        <f>"2002222300862"</f>
        <v>2002222300862</v>
      </c>
      <c r="I3850" t="str">
        <f>HYPERLINK("#", "https://opac.libnet.pref.okayama.jp/licsxp-opac/WOpacMsgNewListToTifTilDetailAction.do?tilcod=2002222300862")</f>
        <v>https://opac.libnet.pref.okayama.jp/licsxp-opac/WOpacMsgNewListToTifTilDetailAction.do?tilcod=2002222300862</v>
      </c>
    </row>
    <row r="3851" spans="1:9" x14ac:dyDescent="0.4">
      <c r="A3851" t="str">
        <f>"天声"</f>
        <v>天声</v>
      </c>
      <c r="B3851" s="1" t="str">
        <f t="shared" si="200"/>
        <v>天声</v>
      </c>
      <c r="C3851" t="str">
        <f>"テンセイ"</f>
        <v>テンセイ</v>
      </c>
      <c r="D3851" t="str">
        <f>"天声新報社"</f>
        <v>天声新報社</v>
      </c>
      <c r="E3851" t="str">
        <f>"テンセイシンポウシャ"</f>
        <v>テンセイシンポウシャ</v>
      </c>
      <c r="F3851" t="str">
        <f>""</f>
        <v/>
      </c>
      <c r="G3851" t="str">
        <f>"頻度不明"</f>
        <v>頻度不明</v>
      </c>
      <c r="H3851" t="str">
        <f>"2002222284723"</f>
        <v>2002222284723</v>
      </c>
      <c r="I3851" t="str">
        <f>HYPERLINK("#", "https://opac.libnet.pref.okayama.jp/licsxp-opac/WOpacMsgNewListToTifTilDetailAction.do?tilcod=2002222284723")</f>
        <v>https://opac.libnet.pref.okayama.jp/licsxp-opac/WOpacMsgNewListToTifTilDetailAction.do?tilcod=2002222284723</v>
      </c>
    </row>
    <row r="3852" spans="1:9" x14ac:dyDescent="0.4">
      <c r="A3852" t="str">
        <f>"天声民報"</f>
        <v>天声民報</v>
      </c>
      <c r="B3852" s="1" t="str">
        <f t="shared" si="200"/>
        <v>天声民報</v>
      </c>
      <c r="C3852" t="str">
        <f>"テンセイ　ミンポウ"</f>
        <v>テンセイ　ミンポウ</v>
      </c>
      <c r="D3852" t="str">
        <f>"天声民報社"</f>
        <v>天声民報社</v>
      </c>
      <c r="E3852" t="str">
        <f>"テンセイミンポウシャ"</f>
        <v>テンセイミンポウシャ</v>
      </c>
      <c r="F3852" t="str">
        <f>"岡山"</f>
        <v>岡山</v>
      </c>
      <c r="G3852" t="str">
        <f>"旬刊"</f>
        <v>旬刊</v>
      </c>
      <c r="H3852" t="str">
        <f>"2002222300948"</f>
        <v>2002222300948</v>
      </c>
      <c r="I3852" t="str">
        <f>HYPERLINK("#", "https://opac.libnet.pref.okayama.jp/licsxp-opac/WOpacMsgNewListToTifTilDetailAction.do?tilcod=2002222300948")</f>
        <v>https://opac.libnet.pref.okayama.jp/licsxp-opac/WOpacMsgNewListToTifTilDetailAction.do?tilcod=2002222300948</v>
      </c>
    </row>
    <row r="3853" spans="1:9" x14ac:dyDescent="0.4">
      <c r="A3853" t="str">
        <f>"伝道"</f>
        <v>伝道</v>
      </c>
      <c r="B3853" s="1" t="str">
        <f t="shared" si="200"/>
        <v>伝道</v>
      </c>
      <c r="C3853" t="str">
        <f>"デンドウ"</f>
        <v>デンドウ</v>
      </c>
      <c r="D3853" t="str">
        <f>"岡山県真言宗伝道団"</f>
        <v>岡山県真言宗伝道団</v>
      </c>
      <c r="E3853" t="str">
        <f>"オカヤマケン シンゴンシュウ デンドウ ダン"</f>
        <v>オカヤマケン シンゴンシュウ デンドウ ダン</v>
      </c>
      <c r="F3853" t="str">
        <f>"岡山"</f>
        <v>岡山</v>
      </c>
      <c r="G3853" t="str">
        <f>"月刊"</f>
        <v>月刊</v>
      </c>
      <c r="H3853" t="str">
        <f>"2002222337951"</f>
        <v>2002222337951</v>
      </c>
      <c r="I3853" t="str">
        <f>HYPERLINK("#", "https://opac.libnet.pref.okayama.jp/licsxp-opac/WOpacMsgNewListToTifTilDetailAction.do?tilcod=2002222337951")</f>
        <v>https://opac.libnet.pref.okayama.jp/licsxp-opac/WOpacMsgNewListToTifTilDetailAction.do?tilcod=2002222337951</v>
      </c>
    </row>
    <row r="3854" spans="1:9" x14ac:dyDescent="0.4">
      <c r="A3854" t="str">
        <f>"TOY BOX"</f>
        <v>TOY BOX</v>
      </c>
      <c r="B3854" s="1" t="str">
        <f t="shared" si="200"/>
        <v>TOY BOX</v>
      </c>
      <c r="C3854" t="str">
        <f>"トイ ボックス"</f>
        <v>トイ ボックス</v>
      </c>
      <c r="D3854" t="str">
        <f>"トイ･ボックス"</f>
        <v>トイ･ボックス</v>
      </c>
      <c r="E3854" t="str">
        <f>"トイ ボックス"</f>
        <v>トイ ボックス</v>
      </c>
      <c r="F3854" t="str">
        <f>"岡山"</f>
        <v>岡山</v>
      </c>
      <c r="G3854" t="str">
        <f t="shared" ref="G3854:G3859" si="201">"頻度不明"</f>
        <v>頻度不明</v>
      </c>
      <c r="H3854" t="str">
        <f>"2002222319606"</f>
        <v>2002222319606</v>
      </c>
      <c r="I3854" t="str">
        <f>HYPERLINK("#", "https://opac.libnet.pref.okayama.jp/licsxp-opac/WOpacMsgNewListToTifTilDetailAction.do?tilcod=2002222319606")</f>
        <v>https://opac.libnet.pref.okayama.jp/licsxp-opac/WOpacMsgNewListToTifTilDetailAction.do?tilcod=2002222319606</v>
      </c>
    </row>
    <row r="3855" spans="1:9" x14ac:dyDescent="0.4">
      <c r="A3855" t="str">
        <f>"問屋町PRESS"</f>
        <v>問屋町PRESS</v>
      </c>
      <c r="B3855" s="1" t="str">
        <f t="shared" si="200"/>
        <v>問屋町PRESS</v>
      </c>
      <c r="C3855" t="str">
        <f>"トイヤチョウ プレス"</f>
        <v>トイヤチョウ プレス</v>
      </c>
      <c r="D3855" t="str">
        <f>"問屋町テラス"</f>
        <v>問屋町テラス</v>
      </c>
      <c r="E3855" t="str">
        <f>"トイヤチョウ テラス"</f>
        <v>トイヤチョウ テラス</v>
      </c>
      <c r="F3855" t="str">
        <f>"岡山"</f>
        <v>岡山</v>
      </c>
      <c r="G3855" t="str">
        <f t="shared" si="201"/>
        <v>頻度不明</v>
      </c>
      <c r="H3855" t="str">
        <f>"2002222333370"</f>
        <v>2002222333370</v>
      </c>
      <c r="I3855" t="str">
        <f>HYPERLINK("#", "https://opac.libnet.pref.okayama.jp/licsxp-opac/WOpacMsgNewListToTifTilDetailAction.do?tilcod=2002222333370")</f>
        <v>https://opac.libnet.pref.okayama.jp/licsxp-opac/WOpacMsgNewListToTifTilDetailAction.do?tilcod=2002222333370</v>
      </c>
    </row>
    <row r="3856" spans="1:9" x14ac:dyDescent="0.4">
      <c r="A3856" t="str">
        <f>"塔"</f>
        <v>塔</v>
      </c>
      <c r="B3856" s="1" t="str">
        <f t="shared" si="200"/>
        <v>塔</v>
      </c>
      <c r="C3856" t="str">
        <f>"トウ"</f>
        <v>トウ</v>
      </c>
      <c r="D3856" t="str">
        <f>"塔の会"</f>
        <v>塔の会</v>
      </c>
      <c r="E3856" t="str">
        <f>"トウノカイ"</f>
        <v>トウノカイ</v>
      </c>
      <c r="F3856" t="str">
        <f>""</f>
        <v/>
      </c>
      <c r="G3856" t="str">
        <f t="shared" si="201"/>
        <v>頻度不明</v>
      </c>
      <c r="H3856" t="str">
        <f>"2002222285003"</f>
        <v>2002222285003</v>
      </c>
      <c r="I3856" t="str">
        <f>HYPERLINK("#", "https://opac.libnet.pref.okayama.jp/licsxp-opac/WOpacMsgNewListToTifTilDetailAction.do?tilcod=2002222285003")</f>
        <v>https://opac.libnet.pref.okayama.jp/licsxp-opac/WOpacMsgNewListToTifTilDetailAction.do?tilcod=2002222285003</v>
      </c>
    </row>
    <row r="3857" spans="1:9" x14ac:dyDescent="0.4">
      <c r="A3857" t="str">
        <f>"同愛会記事"</f>
        <v>同愛会記事</v>
      </c>
      <c r="B3857" s="1" t="str">
        <f t="shared" si="200"/>
        <v>同愛会記事</v>
      </c>
      <c r="C3857" t="str">
        <f>"ドウアイカイ　キジ"</f>
        <v>ドウアイカイ　キジ</v>
      </c>
      <c r="D3857" t="str">
        <f>"[同愛会]"</f>
        <v>[同愛会]</v>
      </c>
      <c r="E3857" t="str">
        <f>"ドウアイカイ"</f>
        <v>ドウアイカイ</v>
      </c>
      <c r="F3857" t="str">
        <f>"[玉島村(浅口郡)]"</f>
        <v>[玉島村(浅口郡)]</v>
      </c>
      <c r="G3857" t="str">
        <f t="shared" si="201"/>
        <v>頻度不明</v>
      </c>
      <c r="H3857" t="str">
        <f>"2002222285023"</f>
        <v>2002222285023</v>
      </c>
      <c r="I3857" t="str">
        <f>HYPERLINK("#", "https://opac.libnet.pref.okayama.jp/licsxp-opac/WOpacMsgNewListToTifTilDetailAction.do?tilcod=2002222285023")</f>
        <v>https://opac.libnet.pref.okayama.jp/licsxp-opac/WOpacMsgNewListToTifTilDetailAction.do?tilcod=2002222285023</v>
      </c>
    </row>
    <row r="3858" spans="1:9" x14ac:dyDescent="0.4">
      <c r="A3858" t="str">
        <f>"統一　岡山版"</f>
        <v>統一　岡山版</v>
      </c>
      <c r="B3858" s="1" t="str">
        <f t="shared" si="200"/>
        <v>統一　岡山版</v>
      </c>
      <c r="C3858" t="str">
        <f>"トウイツ オカヤマバン"</f>
        <v>トウイツ オカヤマバン</v>
      </c>
      <c r="D3858" t="str">
        <f>"共産主義労働者党岡山県委員会"</f>
        <v>共産主義労働者党岡山県委員会</v>
      </c>
      <c r="E3858" t="str">
        <f>"キョウサン シュギ ロウドウシャトウ オカヤマケン イインカイ"</f>
        <v>キョウサン シュギ ロウドウシャトウ オカヤマケン イインカイ</v>
      </c>
      <c r="F3858" t="str">
        <f>"[岡山]"</f>
        <v>[岡山]</v>
      </c>
      <c r="G3858" t="str">
        <f t="shared" si="201"/>
        <v>頻度不明</v>
      </c>
      <c r="H3858" t="str">
        <f>"2002222331421"</f>
        <v>2002222331421</v>
      </c>
      <c r="I3858" t="str">
        <f>HYPERLINK("#", "https://opac.libnet.pref.okayama.jp/licsxp-opac/WOpacMsgNewListToTifTilDetailAction.do?tilcod=2002222331421")</f>
        <v>https://opac.libnet.pref.okayama.jp/licsxp-opac/WOpacMsgNewListToTifTilDetailAction.do?tilcod=2002222331421</v>
      </c>
    </row>
    <row r="3859" spans="1:9" x14ac:dyDescent="0.4">
      <c r="A3859" t="str">
        <f>"ＤＯＯ（ドゥー）"</f>
        <v>ＤＯＯ（ドゥー）</v>
      </c>
      <c r="B3859" s="1" t="str">
        <f t="shared" si="200"/>
        <v>ＤＯＯ（ドゥー）</v>
      </c>
      <c r="C3859" t="str">
        <f>"ドゥー"</f>
        <v>ドゥー</v>
      </c>
      <c r="D3859" t="str">
        <f>""</f>
        <v/>
      </c>
      <c r="E3859" t="str">
        <f>""</f>
        <v/>
      </c>
      <c r="F3859" t="str">
        <f>""</f>
        <v/>
      </c>
      <c r="G3859" t="str">
        <f t="shared" si="201"/>
        <v>頻度不明</v>
      </c>
      <c r="H3859" t="str">
        <f>"2002222285013"</f>
        <v>2002222285013</v>
      </c>
      <c r="I3859" t="str">
        <f>HYPERLINK("#", "https://opac.libnet.pref.okayama.jp/licsxp-opac/WOpacMsgNewListToTifTilDetailAction.do?tilcod=2002222285013")</f>
        <v>https://opac.libnet.pref.okayama.jp/licsxp-opac/WOpacMsgNewListToTifTilDetailAction.do?tilcod=2002222285013</v>
      </c>
    </row>
    <row r="3860" spans="1:9" x14ac:dyDescent="0.4">
      <c r="A3860" t="str">
        <f>"唐辛子"</f>
        <v>唐辛子</v>
      </c>
      <c r="B3860" s="1" t="str">
        <f t="shared" si="200"/>
        <v>唐辛子</v>
      </c>
      <c r="C3860" t="str">
        <f>"トウガラシ"</f>
        <v>トウガラシ</v>
      </c>
      <c r="D3860" t="str">
        <f>"唐辛子発行所"</f>
        <v>唐辛子発行所</v>
      </c>
      <c r="E3860" t="str">
        <f>"トウガラシハッコウジョ"</f>
        <v>トウガラシハッコウジョ</v>
      </c>
      <c r="F3860" t="str">
        <f>""</f>
        <v/>
      </c>
      <c r="G3860" t="str">
        <f>"月刊"</f>
        <v>月刊</v>
      </c>
      <c r="H3860" t="str">
        <f>"2002222285033"</f>
        <v>2002222285033</v>
      </c>
      <c r="I3860" t="str">
        <f>HYPERLINK("#", "https://opac.libnet.pref.okayama.jp/licsxp-opac/WOpacMsgNewListToTifTilDetailAction.do?tilcod=2002222285033")</f>
        <v>https://opac.libnet.pref.okayama.jp/licsxp-opac/WOpacMsgNewListToTifTilDetailAction.do?tilcod=2002222285033</v>
      </c>
    </row>
    <row r="3861" spans="1:9" x14ac:dyDescent="0.4">
      <c r="A3861" t="str">
        <f>"[道家大門記念会]会報"</f>
        <v>[道家大門記念会]会報</v>
      </c>
      <c r="B3861" s="1" t="str">
        <f t="shared" si="200"/>
        <v>[道家大門記念会]会報</v>
      </c>
      <c r="C3861" t="str">
        <f>"ドウケ ヒロカド キネンカイ＊カイホウ"</f>
        <v>ドウケ ヒロカド キネンカイ＊カイホウ</v>
      </c>
      <c r="D3861" t="str">
        <f>"道家大門記念会"</f>
        <v>道家大門記念会</v>
      </c>
      <c r="E3861" t="str">
        <f>"ドウケ ヒロカド キネンカイ"</f>
        <v>ドウケ ヒロカド キネンカイ</v>
      </c>
      <c r="F3861" t="str">
        <f>"津山"</f>
        <v>津山</v>
      </c>
      <c r="G3861" t="str">
        <f>"頻度不明"</f>
        <v>頻度不明</v>
      </c>
      <c r="H3861" t="str">
        <f>"2002222317147"</f>
        <v>2002222317147</v>
      </c>
      <c r="I3861" t="str">
        <f>HYPERLINK("#", "https://opac.libnet.pref.okayama.jp/licsxp-opac/WOpacMsgNewListToTifTilDetailAction.do?tilcod=2002222317147")</f>
        <v>https://opac.libnet.pref.okayama.jp/licsxp-opac/WOpacMsgNewListToTifTilDetailAction.do?tilcod=2002222317147</v>
      </c>
    </row>
    <row r="3862" spans="1:9" x14ac:dyDescent="0.4">
      <c r="A3862" t="str">
        <f>"統計おかやま"</f>
        <v>統計おかやま</v>
      </c>
      <c r="B3862" s="1" t="str">
        <f t="shared" si="200"/>
        <v>統計おかやま</v>
      </c>
      <c r="C3862" t="str">
        <f>"トウケイ　オカヤマ"</f>
        <v>トウケイ　オカヤマ</v>
      </c>
      <c r="D3862" t="str">
        <f>"岡山農林統計協会"</f>
        <v>岡山農林統計協会</v>
      </c>
      <c r="E3862" t="str">
        <f>"オカヤマノウリントウケイキョウカイ"</f>
        <v>オカヤマノウリントウケイキョウカイ</v>
      </c>
      <c r="F3862" t="str">
        <f>"岡山"</f>
        <v>岡山</v>
      </c>
      <c r="G3862" t="str">
        <f>"季刊"</f>
        <v>季刊</v>
      </c>
      <c r="H3862" t="str">
        <f>"2002222280884"</f>
        <v>2002222280884</v>
      </c>
      <c r="I3862" t="str">
        <f>HYPERLINK("#", "https://opac.libnet.pref.okayama.jp/licsxp-opac/WOpacMsgNewListToTifTilDetailAction.do?tilcod=2002222280884")</f>
        <v>https://opac.libnet.pref.okayama.jp/licsxp-opac/WOpacMsgNewListToTifTilDetailAction.do?tilcod=2002222280884</v>
      </c>
    </row>
    <row r="3863" spans="1:9" x14ac:dyDescent="0.4">
      <c r="A3863" t="str">
        <f>"統計おかやま"</f>
        <v>統計おかやま</v>
      </c>
      <c r="B3863" s="1" t="str">
        <f t="shared" si="200"/>
        <v>統計おかやま</v>
      </c>
      <c r="C3863" t="str">
        <f>"トウケイ　オカヤマ"</f>
        <v>トウケイ　オカヤマ</v>
      </c>
      <c r="D3863" t="str">
        <f>"岡山県統計協会"</f>
        <v>岡山県統計協会</v>
      </c>
      <c r="E3863" t="str">
        <f>"オカヤマケン トウケイ キョウカイ"</f>
        <v>オカヤマケン トウケイ キョウカイ</v>
      </c>
      <c r="F3863" t="str">
        <f>"岡山"</f>
        <v>岡山</v>
      </c>
      <c r="G3863" t="str">
        <f>"月刊"</f>
        <v>月刊</v>
      </c>
      <c r="H3863" t="str">
        <f>"2002222291541"</f>
        <v>2002222291541</v>
      </c>
      <c r="I3863" t="str">
        <f>HYPERLINK("#", "https://opac.libnet.pref.okayama.jp/licsxp-opac/WOpacMsgNewListToTifTilDetailAction.do?tilcod=2002222291541")</f>
        <v>https://opac.libnet.pref.okayama.jp/licsxp-opac/WOpacMsgNewListToTifTilDetailAction.do?tilcod=2002222291541</v>
      </c>
    </row>
    <row r="3864" spans="1:9" x14ac:dyDescent="0.4">
      <c r="A3864" t="str">
        <f>"統計季報くらしき"</f>
        <v>統計季報くらしき</v>
      </c>
      <c r="B3864" s="1" t="str">
        <f t="shared" si="200"/>
        <v>統計季報くらしき</v>
      </c>
      <c r="C3864" t="str">
        <f>"トウケイ　キホウ　クラシキ"</f>
        <v>トウケイ　キホウ　クラシキ</v>
      </c>
      <c r="D3864" t="str">
        <f>"倉敷市企画局"</f>
        <v>倉敷市企画局</v>
      </c>
      <c r="E3864" t="str">
        <f>"クラシキシキカクキョク"</f>
        <v>クラシキシキカクキョク</v>
      </c>
      <c r="F3864" t="str">
        <f>"倉敷"</f>
        <v>倉敷</v>
      </c>
      <c r="G3864" t="str">
        <f>"季刊"</f>
        <v>季刊</v>
      </c>
      <c r="H3864" t="str">
        <f>"2002222301683"</f>
        <v>2002222301683</v>
      </c>
      <c r="I3864" t="str">
        <f>HYPERLINK("#", "https://opac.libnet.pref.okayama.jp/licsxp-opac/WOpacMsgNewListToTifTilDetailAction.do?tilcod=2002222301683")</f>
        <v>https://opac.libnet.pref.okayama.jp/licsxp-opac/WOpacMsgNewListToTifTilDetailAction.do?tilcod=2002222301683</v>
      </c>
    </row>
    <row r="3865" spans="1:9" x14ac:dyDescent="0.4">
      <c r="A3865" t="str">
        <f>"統計だより"</f>
        <v>統計だより</v>
      </c>
      <c r="B3865" s="1" t="str">
        <f t="shared" si="200"/>
        <v>統計だより</v>
      </c>
      <c r="C3865" t="str">
        <f>"トウケイ　ダヨリ"</f>
        <v>トウケイ　ダヨリ</v>
      </c>
      <c r="D3865" t="str">
        <f>"農林省岡山統計調査事務所"</f>
        <v>農林省岡山統計調査事務所</v>
      </c>
      <c r="E3865" t="str">
        <f>"ノウリンショウオカヤマトウケイチョウサジムショ"</f>
        <v>ノウリンショウオカヤマトウケイチョウサジムショ</v>
      </c>
      <c r="F3865" t="str">
        <f>""</f>
        <v/>
      </c>
      <c r="G3865" t="str">
        <f>"頻度不明"</f>
        <v>頻度不明</v>
      </c>
      <c r="H3865" t="str">
        <f>"2002222285073"</f>
        <v>2002222285073</v>
      </c>
      <c r="I3865" t="str">
        <f>HYPERLINK("#", "https://opac.libnet.pref.okayama.jp/licsxp-opac/WOpacMsgNewListToTifTilDetailAction.do?tilcod=2002222285073")</f>
        <v>https://opac.libnet.pref.okayama.jp/licsxp-opac/WOpacMsgNewListToTifTilDetailAction.do?tilcod=2002222285073</v>
      </c>
    </row>
    <row r="3866" spans="1:9" x14ac:dyDescent="0.4">
      <c r="A3866" t="str">
        <f>"陶芸備前"</f>
        <v>陶芸備前</v>
      </c>
      <c r="B3866" s="1" t="str">
        <f t="shared" si="200"/>
        <v>陶芸備前</v>
      </c>
      <c r="C3866" t="str">
        <f>"トウゲイ　ビゼン"</f>
        <v>トウゲイ　ビゼン</v>
      </c>
      <c r="D3866" t="str">
        <f>"備前焼宣揚会"</f>
        <v>備前焼宣揚会</v>
      </c>
      <c r="E3866" t="str">
        <f>"ビゼンヤキセンヨウカイ"</f>
        <v>ビゼンヤキセンヨウカイ</v>
      </c>
      <c r="F3866" t="str">
        <f>""</f>
        <v/>
      </c>
      <c r="G3866" t="str">
        <f>"頻度不明"</f>
        <v>頻度不明</v>
      </c>
      <c r="H3866" t="str">
        <f>"2002222280824"</f>
        <v>2002222280824</v>
      </c>
      <c r="I3866" t="str">
        <f>HYPERLINK("#", "https://opac.libnet.pref.okayama.jp/licsxp-opac/WOpacMsgNewListToTifTilDetailAction.do?tilcod=2002222280824")</f>
        <v>https://opac.libnet.pref.okayama.jp/licsxp-opac/WOpacMsgNewListToTifTilDetailAction.do?tilcod=2002222280824</v>
      </c>
    </row>
    <row r="3867" spans="1:9" x14ac:dyDescent="0.4">
      <c r="A3867" t="str">
        <f>"東児少年会雑誌"</f>
        <v>東児少年会雑誌</v>
      </c>
      <c r="B3867" s="1" t="str">
        <f t="shared" si="200"/>
        <v>東児少年会雑誌</v>
      </c>
      <c r="C3867" t="str">
        <f>"トウジ ショウネン カイ ザッシ"</f>
        <v>トウジ ショウネン カイ ザッシ</v>
      </c>
      <c r="D3867" t="str">
        <f>"東児少年会事務所"</f>
        <v>東児少年会事務所</v>
      </c>
      <c r="E3867" t="str">
        <f>"トウジ ショウネン カイ ジムショ"</f>
        <v>トウジ ショウネン カイ ジムショ</v>
      </c>
      <c r="F3867" t="str">
        <f>"玉井村(児島郡)"</f>
        <v>玉井村(児島郡)</v>
      </c>
      <c r="G3867" t="str">
        <f>"月刊"</f>
        <v>月刊</v>
      </c>
      <c r="H3867" t="str">
        <f>"2002222336971"</f>
        <v>2002222336971</v>
      </c>
      <c r="I3867" t="str">
        <f>HYPERLINK("#", "https://opac.libnet.pref.okayama.jp/licsxp-opac/WOpacMsgNewListToTifTilDetailAction.do?tilcod=2002222336971")</f>
        <v>https://opac.libnet.pref.okayama.jp/licsxp-opac/WOpacMsgNewListToTifTilDetailAction.do?tilcod=2002222336971</v>
      </c>
    </row>
    <row r="3868" spans="1:9" x14ac:dyDescent="0.4">
      <c r="A3868" t="str">
        <f>"同心"</f>
        <v>同心</v>
      </c>
      <c r="B3868" s="1" t="str">
        <f t="shared" si="200"/>
        <v>同心</v>
      </c>
      <c r="C3868" t="str">
        <f>"ドウシン"</f>
        <v>ドウシン</v>
      </c>
      <c r="D3868" t="str">
        <f>"本化青年会"</f>
        <v>本化青年会</v>
      </c>
      <c r="E3868" t="str">
        <f>"ホンカセイネンカイ"</f>
        <v>ホンカセイネンカイ</v>
      </c>
      <c r="F3868" t="str">
        <f>""</f>
        <v/>
      </c>
      <c r="G3868" t="str">
        <f>"頻度不明"</f>
        <v>頻度不明</v>
      </c>
      <c r="H3868" t="str">
        <f>"2002222285103"</f>
        <v>2002222285103</v>
      </c>
      <c r="I3868" t="str">
        <f>HYPERLINK("#", "https://opac.libnet.pref.okayama.jp/licsxp-opac/WOpacMsgNewListToTifTilDetailAction.do?tilcod=2002222285103")</f>
        <v>https://opac.libnet.pref.okayama.jp/licsxp-opac/WOpacMsgNewListToTifTilDetailAction.do?tilcod=2002222285103</v>
      </c>
    </row>
    <row r="3869" spans="1:9" x14ac:dyDescent="0.4">
      <c r="A3869" t="str">
        <f>"同心"</f>
        <v>同心</v>
      </c>
      <c r="B3869" s="1" t="str">
        <f t="shared" si="200"/>
        <v>同心</v>
      </c>
      <c r="C3869" t="str">
        <f>"ドウシン "</f>
        <v xml:space="preserve">ドウシン </v>
      </c>
      <c r="D3869" t="str">
        <f>"鐘紡西大寺工場文化教養委員会"</f>
        <v>鐘紡西大寺工場文化教養委員会</v>
      </c>
      <c r="E3869" t="str">
        <f>"カネボウ　サイダイジ　コウジョウ　ブンカ　キョウヨウ　イインカイ"</f>
        <v>カネボウ　サイダイジ　コウジョウ　ブンカ　キョウヨウ　イインカイ</v>
      </c>
      <c r="F3869" t="str">
        <f>"西大寺町(上房郡)"</f>
        <v>西大寺町(上房郡)</v>
      </c>
      <c r="G3869" t="str">
        <f>"頻度不明"</f>
        <v>頻度不明</v>
      </c>
      <c r="H3869" t="str">
        <f>"2002222325766"</f>
        <v>2002222325766</v>
      </c>
      <c r="I3869" t="str">
        <f>HYPERLINK("#", "https://opac.libnet.pref.okayama.jp/licsxp-opac/WOpacMsgNewListToTifTilDetailAction.do?tilcod=2002222325766")</f>
        <v>https://opac.libnet.pref.okayama.jp/licsxp-opac/WOpacMsgNewListToTifTilDetailAction.do?tilcod=2002222325766</v>
      </c>
    </row>
    <row r="3870" spans="1:9" x14ac:dyDescent="0.4">
      <c r="A3870" t="str">
        <f>"同心;月刊倉敷"</f>
        <v>同心;月刊倉敷</v>
      </c>
      <c r="B3870" s="1" t="str">
        <f t="shared" si="200"/>
        <v>同心;月刊倉敷</v>
      </c>
      <c r="C3870" t="str">
        <f>"ドウシン*ゲッカン クラシキ"</f>
        <v>ドウシン*ゲッカン クラシキ</v>
      </c>
      <c r="D3870" t="str">
        <f>"倉敷時報社"</f>
        <v>倉敷時報社</v>
      </c>
      <c r="E3870" t="str">
        <f>"クラシキジホウシャ"</f>
        <v>クラシキジホウシャ</v>
      </c>
      <c r="F3870" t="str">
        <f>"倉敷"</f>
        <v>倉敷</v>
      </c>
      <c r="G3870" t="str">
        <f>"頻度不明"</f>
        <v>頻度不明</v>
      </c>
      <c r="H3870" t="str">
        <f>"2002222309328"</f>
        <v>2002222309328</v>
      </c>
      <c r="I3870" t="str">
        <f>HYPERLINK("#", "https://opac.libnet.pref.okayama.jp/licsxp-opac/WOpacMsgNewListToTifTilDetailAction.do?tilcod=2002222309328")</f>
        <v>https://opac.libnet.pref.okayama.jp/licsxp-opac/WOpacMsgNewListToTifTilDetailAction.do?tilcod=2002222309328</v>
      </c>
    </row>
    <row r="3871" spans="1:9" x14ac:dyDescent="0.4">
      <c r="A3871" t="str">
        <f>"同窓"</f>
        <v>同窓</v>
      </c>
      <c r="B3871" s="1" t="str">
        <f t="shared" si="200"/>
        <v>同窓</v>
      </c>
      <c r="C3871" t="str">
        <f>"ドウソウ"</f>
        <v>ドウソウ</v>
      </c>
      <c r="D3871" t="str">
        <f>"岡山県第二岡山中学校同窓会"</f>
        <v>岡山県第二岡山中学校同窓会</v>
      </c>
      <c r="E3871" t="str">
        <f>"オカヤマケン ダイニ オカヤマ チュウガッコウ ドウソウカイ"</f>
        <v>オカヤマケン ダイニ オカヤマ チュウガッコウ ドウソウカイ</v>
      </c>
      <c r="F3871" t="str">
        <f>"岡山"</f>
        <v>岡山</v>
      </c>
      <c r="G3871" t="str">
        <f>"頻度不明"</f>
        <v>頻度不明</v>
      </c>
      <c r="H3871" t="str">
        <f>"2002222285061"</f>
        <v>2002222285061</v>
      </c>
      <c r="I3871" t="str">
        <f>HYPERLINK("#", "https://opac.libnet.pref.okayama.jp/licsxp-opac/WOpacMsgNewListToTifTilDetailAction.do?tilcod=2002222285061")</f>
        <v>https://opac.libnet.pref.okayama.jp/licsxp-opac/WOpacMsgNewListToTifTilDetailAction.do?tilcod=2002222285061</v>
      </c>
    </row>
    <row r="3872" spans="1:9" x14ac:dyDescent="0.4">
      <c r="A3872" t="str">
        <f>"同窓"</f>
        <v>同窓</v>
      </c>
      <c r="B3872" s="1" t="str">
        <f t="shared" si="200"/>
        <v>同窓</v>
      </c>
      <c r="C3872" t="str">
        <f>"ドウソウ"</f>
        <v>ドウソウ</v>
      </c>
      <c r="D3872" t="str">
        <f>"岡山県立岡山操山高等学校同窓会"</f>
        <v>岡山県立岡山操山高等学校同窓会</v>
      </c>
      <c r="E3872" t="str">
        <f>"オカヤマ ソウザン コウトウ ガッコウ ドウソウカイ"</f>
        <v>オカヤマ ソウザン コウトウ ガッコウ ドウソウカイ</v>
      </c>
      <c r="F3872" t="str">
        <f>"岡山"</f>
        <v>岡山</v>
      </c>
      <c r="G3872" t="str">
        <f>"頻度不明"</f>
        <v>頻度不明</v>
      </c>
      <c r="H3872" t="str">
        <f>"2002222302385"</f>
        <v>2002222302385</v>
      </c>
      <c r="I3872" t="str">
        <f>HYPERLINK("#", "https://opac.libnet.pref.okayama.jp/licsxp-opac/WOpacMsgNewListToTifTilDetailAction.do?tilcod=2002222302385")</f>
        <v>https://opac.libnet.pref.okayama.jp/licsxp-opac/WOpacMsgNewListToTifTilDetailAction.do?tilcod=2002222302385</v>
      </c>
    </row>
    <row r="3873" spans="1:9" x14ac:dyDescent="0.4">
      <c r="A3873" t="str">
        <f>"同窓共成会誌"</f>
        <v>同窓共成会誌</v>
      </c>
      <c r="B3873" s="1" t="str">
        <f t="shared" si="200"/>
        <v>同窓共成会誌</v>
      </c>
      <c r="C3873" t="str">
        <f>"ドウソウ　キョウセイ　カイシ"</f>
        <v>ドウソウ　キョウセイ　カイシ</v>
      </c>
      <c r="D3873" t="str">
        <f>"岡山県尋常師範学校同窓共成会"</f>
        <v>岡山県尋常師範学校同窓共成会</v>
      </c>
      <c r="E3873" t="str">
        <f>"オカヤマケンジンジョウシハンガッコウドウソウキョウセイカイ"</f>
        <v>オカヤマケンジンジョウシハンガッコウドウソウキョウセイカイ</v>
      </c>
      <c r="F3873" t="str">
        <f>"〔岡山〕"</f>
        <v>〔岡山〕</v>
      </c>
      <c r="G3873" t="str">
        <f>"不定期刊"</f>
        <v>不定期刊</v>
      </c>
      <c r="H3873" t="str">
        <f>"2002222301142"</f>
        <v>2002222301142</v>
      </c>
      <c r="I3873" t="str">
        <f>HYPERLINK("#", "https://opac.libnet.pref.okayama.jp/licsxp-opac/WOpacMsgNewListToTifTilDetailAction.do?tilcod=2002222301142")</f>
        <v>https://opac.libnet.pref.okayama.jp/licsxp-opac/WOpacMsgNewListToTifTilDetailAction.do?tilcod=2002222301142</v>
      </c>
    </row>
    <row r="3874" spans="1:9" x14ac:dyDescent="0.4">
      <c r="A3874" t="str">
        <f>"同窓共成会会誌"</f>
        <v>同窓共成会会誌</v>
      </c>
      <c r="B3874" s="1" t="str">
        <f t="shared" si="200"/>
        <v>同窓共成会会誌</v>
      </c>
      <c r="C3874" t="str">
        <f>"ドウソウ　キョウセイカイ　カイシ"</f>
        <v>ドウソウ　キョウセイカイ　カイシ</v>
      </c>
      <c r="D3874" t="str">
        <f>"岡山県師範学校同窓共成会"</f>
        <v>岡山県師範学校同窓共成会</v>
      </c>
      <c r="E3874" t="str">
        <f>"オカヤマケンシハンガッコウドウソウキョウセイカイ"</f>
        <v>オカヤマケンシハンガッコウドウソウキョウセイカイ</v>
      </c>
      <c r="F3874" t="str">
        <f>"〔岡山〕"</f>
        <v>〔岡山〕</v>
      </c>
      <c r="G3874" t="str">
        <f>"不定期刊"</f>
        <v>不定期刊</v>
      </c>
      <c r="H3874" t="str">
        <f>"2002222285113"</f>
        <v>2002222285113</v>
      </c>
      <c r="I3874" t="str">
        <f>HYPERLINK("#", "https://opac.libnet.pref.okayama.jp/licsxp-opac/WOpacMsgNewListToTifTilDetailAction.do?tilcod=2002222285113")</f>
        <v>https://opac.libnet.pref.okayama.jp/licsxp-opac/WOpacMsgNewListToTifTilDetailAction.do?tilcod=2002222285113</v>
      </c>
    </row>
    <row r="3875" spans="1:9" x14ac:dyDescent="0.4">
      <c r="A3875" t="str">
        <f>"満天星（どうだん）"</f>
        <v>満天星（どうだん）</v>
      </c>
      <c r="B3875" s="1" t="str">
        <f t="shared" si="200"/>
        <v>満天星（どうだん）</v>
      </c>
      <c r="C3875" t="str">
        <f>"ドウダン"</f>
        <v>ドウダン</v>
      </c>
      <c r="D3875" t="str">
        <f>"鏡野町郷公民館"</f>
        <v>鏡野町郷公民館</v>
      </c>
      <c r="E3875" t="str">
        <f>"カガミノチョウキョウコウミンカン"</f>
        <v>カガミノチョウキョウコウミンカン</v>
      </c>
      <c r="F3875" t="str">
        <f>"鏡野町（苫田郡）"</f>
        <v>鏡野町（苫田郡）</v>
      </c>
      <c r="G3875" t="str">
        <f>"月刊"</f>
        <v>月刊</v>
      </c>
      <c r="H3875" t="str">
        <f>"2002222293001"</f>
        <v>2002222293001</v>
      </c>
      <c r="I3875" t="str">
        <f>HYPERLINK("#", "https://opac.libnet.pref.okayama.jp/licsxp-opac/WOpacMsgNewListToTifTilDetailAction.do?tilcod=2002222293001")</f>
        <v>https://opac.libnet.pref.okayama.jp/licsxp-opac/WOpacMsgNewListToTifTilDetailAction.do?tilcod=2002222293001</v>
      </c>
    </row>
    <row r="3876" spans="1:9" x14ac:dyDescent="0.4">
      <c r="A3876" t="str">
        <f>"〔満天星俳句会〕自選合同句集"</f>
        <v>〔満天星俳句会〕自選合同句集</v>
      </c>
      <c r="B3876" s="1" t="str">
        <f t="shared" si="200"/>
        <v>〔満天星俳句会〕自選合同句集</v>
      </c>
      <c r="C3876" t="str">
        <f>"ドウダン　ハイクカイ　ジセン　ゴウドウ　クシュウ"</f>
        <v>ドウダン　ハイクカイ　ジセン　ゴウドウ　クシュウ</v>
      </c>
      <c r="D3876" t="str">
        <f>"満天星俳句会"</f>
        <v>満天星俳句会</v>
      </c>
      <c r="E3876" t="str">
        <f>"ドウダン ハイクカイ"</f>
        <v>ドウダン ハイクカイ</v>
      </c>
      <c r="F3876" t="str">
        <f>"鏡野町（苫田郡）"</f>
        <v>鏡野町（苫田郡）</v>
      </c>
      <c r="G3876" t="str">
        <f>"頻度不明"</f>
        <v>頻度不明</v>
      </c>
      <c r="H3876" t="str">
        <f>"2002222281833"</f>
        <v>2002222281833</v>
      </c>
      <c r="I3876" t="str">
        <f>HYPERLINK("#", "https://opac.libnet.pref.okayama.jp/licsxp-opac/WOpacMsgNewListToTifTilDetailAction.do?tilcod=2002222281833")</f>
        <v>https://opac.libnet.pref.okayama.jp/licsxp-opac/WOpacMsgNewListToTifTilDetailAction.do?tilcod=2002222281833</v>
      </c>
    </row>
    <row r="3877" spans="1:9" x14ac:dyDescent="0.4">
      <c r="A3877" t="str">
        <f>"道通さま"</f>
        <v>道通さま</v>
      </c>
      <c r="B3877" s="1" t="str">
        <f t="shared" si="200"/>
        <v>道通さま</v>
      </c>
      <c r="C3877" t="str">
        <f>"ドウツウ サマ"</f>
        <v>ドウツウ サマ</v>
      </c>
      <c r="D3877" t="str">
        <f>"道通神社社務所"</f>
        <v>道通神社社務所</v>
      </c>
      <c r="E3877" t="str">
        <f>"ドウツウ ジンジャ シャムショ"</f>
        <v>ドウツウ ジンジャ シャムショ</v>
      </c>
      <c r="F3877" t="str">
        <f>"笠岡"</f>
        <v>笠岡</v>
      </c>
      <c r="G3877" t="str">
        <f>"年刊"</f>
        <v>年刊</v>
      </c>
      <c r="H3877" t="str">
        <f>"2002222337047"</f>
        <v>2002222337047</v>
      </c>
      <c r="I3877" t="str">
        <f>HYPERLINK("#", "https://opac.libnet.pref.okayama.jp/licsxp-opac/WOpacMsgNewListToTifTilDetailAction.do?tilcod=2002222337047")</f>
        <v>https://opac.libnet.pref.okayama.jp/licsxp-opac/WOpacMsgNewListToTifTilDetailAction.do?tilcod=2002222337047</v>
      </c>
    </row>
    <row r="3878" spans="1:9" x14ac:dyDescent="0.4">
      <c r="A3878" t="str">
        <f>"Ｔｕｔｔｉ（トゥッティ）；岡山県合唱連盟機関紙"</f>
        <v>Ｔｕｔｔｉ（トゥッティ）；岡山県合唱連盟機関紙</v>
      </c>
      <c r="B3878" s="1" t="str">
        <f t="shared" si="200"/>
        <v>Ｔｕｔｔｉ（トゥッティ）；岡山県合唱連盟機関紙</v>
      </c>
      <c r="C3878" t="str">
        <f>"トゥッティ＊オカヤマケン　ガッショウ　レンメイ　キカンシ"</f>
        <v>トゥッティ＊オカヤマケン　ガッショウ　レンメイ　キカンシ</v>
      </c>
      <c r="D3878" t="str">
        <f>"[岡山県合唱連盟]"</f>
        <v>[岡山県合唱連盟]</v>
      </c>
      <c r="E3878" t="str">
        <f>"オカヤマケン ガッショウ レンメイ"</f>
        <v>オカヤマケン ガッショウ レンメイ</v>
      </c>
      <c r="F3878" t="str">
        <f>"岡山"</f>
        <v>岡山</v>
      </c>
      <c r="G3878" t="str">
        <f>"季刊"</f>
        <v>季刊</v>
      </c>
      <c r="H3878" t="str">
        <f>"2002222281544"</f>
        <v>2002222281544</v>
      </c>
      <c r="I3878" t="str">
        <f>HYPERLINK("#", "https://opac.libnet.pref.okayama.jp/licsxp-opac/WOpacMsgNewListToTifTilDetailAction.do?tilcod=2002222281544")</f>
        <v>https://opac.libnet.pref.okayama.jp/licsxp-opac/WOpacMsgNewListToTifTilDetailAction.do?tilcod=2002222281544</v>
      </c>
    </row>
    <row r="3879" spans="1:9" x14ac:dyDescent="0.4">
      <c r="A3879" t="str">
        <f>"道程"</f>
        <v>道程</v>
      </c>
      <c r="B3879" s="1" t="str">
        <f t="shared" si="200"/>
        <v>道程</v>
      </c>
      <c r="C3879" t="str">
        <f>"ドウテイ"</f>
        <v>ドウテイ</v>
      </c>
      <c r="D3879" t="str">
        <f>"岡山刑務所教育課"</f>
        <v>岡山刑務所教育課</v>
      </c>
      <c r="E3879" t="str">
        <f>"オカヤマ　ケイムショ　キョウイク　カ"</f>
        <v>オカヤマ　ケイムショ　キョウイク　カ</v>
      </c>
      <c r="F3879" t="str">
        <f>""</f>
        <v/>
      </c>
      <c r="G3879" t="str">
        <f>"頻度不明"</f>
        <v>頻度不明</v>
      </c>
      <c r="H3879" t="str">
        <f>"2002222285123"</f>
        <v>2002222285123</v>
      </c>
      <c r="I3879" t="str">
        <f>HYPERLINK("#", "https://opac.libnet.pref.okayama.jp/licsxp-opac/WOpacMsgNewListToTifTilDetailAction.do?tilcod=2002222285123")</f>
        <v>https://opac.libnet.pref.okayama.jp/licsxp-opac/WOpacMsgNewListToTifTilDetailAction.do?tilcod=2002222285123</v>
      </c>
    </row>
    <row r="3880" spans="1:9" x14ac:dyDescent="0.4">
      <c r="A3880" t="str">
        <f>"東天"</f>
        <v>東天</v>
      </c>
      <c r="B3880" s="1" t="str">
        <f t="shared" si="200"/>
        <v>東天</v>
      </c>
      <c r="C3880" t="str">
        <f>"トウテン"</f>
        <v>トウテン</v>
      </c>
      <c r="D3880" t="str">
        <f>"岡工俳句会"</f>
        <v>岡工俳句会</v>
      </c>
      <c r="E3880" t="str">
        <f>"オカコウ ハイクカイ"</f>
        <v>オカコウ ハイクカイ</v>
      </c>
      <c r="F3880" t="str">
        <f>"岡山"</f>
        <v>岡山</v>
      </c>
      <c r="G3880" t="str">
        <f>"頻度不明"</f>
        <v>頻度不明</v>
      </c>
      <c r="H3880" t="str">
        <f>"2002222319688"</f>
        <v>2002222319688</v>
      </c>
      <c r="I3880" t="str">
        <f>HYPERLINK("#", "https://opac.libnet.pref.okayama.jp/licsxp-opac/WOpacMsgNewListToTifTilDetailAction.do?tilcod=2002222319688")</f>
        <v>https://opac.libnet.pref.okayama.jp/licsxp-opac/WOpacMsgNewListToTifTilDetailAction.do?tilcod=2002222319688</v>
      </c>
    </row>
    <row r="3881" spans="1:9" x14ac:dyDescent="0.4">
      <c r="A3881" t="str">
        <f>"陶美"</f>
        <v>陶美</v>
      </c>
      <c r="B3881" s="1" t="str">
        <f t="shared" si="200"/>
        <v>陶美</v>
      </c>
      <c r="C3881" t="str">
        <f>"トウビ"</f>
        <v>トウビ</v>
      </c>
      <c r="D3881" t="str">
        <f>"日本陶磁協会岡山県支部"</f>
        <v>日本陶磁協会岡山県支部</v>
      </c>
      <c r="E3881" t="str">
        <f>"ニホントウジキョウカイオカヤマケンシブ"</f>
        <v>ニホントウジキョウカイオカヤマケンシブ</v>
      </c>
      <c r="F3881" t="str">
        <f>""</f>
        <v/>
      </c>
      <c r="G3881" t="str">
        <f>"頻度不明"</f>
        <v>頻度不明</v>
      </c>
      <c r="H3881" t="str">
        <f>"2002222285133"</f>
        <v>2002222285133</v>
      </c>
      <c r="I3881" t="str">
        <f>HYPERLINK("#", "https://opac.libnet.pref.okayama.jp/licsxp-opac/WOpacMsgNewListToTifTilDetailAction.do?tilcod=2002222285133")</f>
        <v>https://opac.libnet.pref.okayama.jp/licsxp-opac/WOpacMsgNewListToTifTilDetailAction.do?tilcod=2002222285133</v>
      </c>
    </row>
    <row r="3882" spans="1:9" x14ac:dyDescent="0.4">
      <c r="A3882" t="str">
        <f>"とうび"</f>
        <v>とうび</v>
      </c>
      <c r="B3882" s="1" t="str">
        <f t="shared" si="200"/>
        <v>とうび</v>
      </c>
      <c r="C3882" t="str">
        <f>"トウビ"</f>
        <v>トウビ</v>
      </c>
      <c r="D3882" t="str">
        <f>"東備農業生産集団主婦の会連絡協議会"</f>
        <v>東備農業生産集団主婦の会連絡協議会</v>
      </c>
      <c r="E3882" t="str">
        <f>"トウビノウギョウセイサンシュウダンシュフノカイレンラクキョウギカイ"</f>
        <v>トウビノウギョウセイサンシュウダンシュフノカイレンラクキョウギカイ</v>
      </c>
      <c r="F3882" t="str">
        <f>"〔出版地不明〕"</f>
        <v>〔出版地不明〕</v>
      </c>
      <c r="G3882" t="str">
        <f>"頻度不明"</f>
        <v>頻度不明</v>
      </c>
      <c r="H3882" t="str">
        <f>"2002222301463"</f>
        <v>2002222301463</v>
      </c>
      <c r="I3882" t="str">
        <f>HYPERLINK("#", "https://opac.libnet.pref.okayama.jp/licsxp-opac/WOpacMsgNewListToTifTilDetailAction.do?tilcod=2002222301463")</f>
        <v>https://opac.libnet.pref.okayama.jp/licsxp-opac/WOpacMsgNewListToTifTilDetailAction.do?tilcod=2002222301463</v>
      </c>
    </row>
    <row r="3883" spans="1:9" x14ac:dyDescent="0.4">
      <c r="A3883" t="str">
        <f>"とうび通信"</f>
        <v>とうび通信</v>
      </c>
      <c r="B3883" s="1" t="str">
        <f t="shared" si="200"/>
        <v>とうび通信</v>
      </c>
      <c r="C3883" t="str">
        <f>"トウビ　ツウシン"</f>
        <v>トウビ　ツウシン</v>
      </c>
      <c r="D3883" t="str">
        <f>"とうび通信"</f>
        <v>とうび通信</v>
      </c>
      <c r="E3883" t="str">
        <f>"トウビツウシン"</f>
        <v>トウビツウシン</v>
      </c>
      <c r="F3883" t="str">
        <f>"赤磐"</f>
        <v>赤磐</v>
      </c>
      <c r="G3883" t="str">
        <f>"月刊"</f>
        <v>月刊</v>
      </c>
      <c r="H3883" t="str">
        <f>"2002222300900"</f>
        <v>2002222300900</v>
      </c>
      <c r="I3883" t="str">
        <f>HYPERLINK("#", "https://opac.libnet.pref.okayama.jp/licsxp-opac/WOpacMsgNewListToTifTilDetailAction.do?tilcod=2002222300900")</f>
        <v>https://opac.libnet.pref.okayama.jp/licsxp-opac/WOpacMsgNewListToTifTilDetailAction.do?tilcod=2002222300900</v>
      </c>
    </row>
    <row r="3884" spans="1:9" x14ac:dyDescent="0.4">
      <c r="A3884" t="str">
        <f>"とうび119；消防だより"</f>
        <v>とうび119；消防だより</v>
      </c>
      <c r="B3884" s="1" t="str">
        <f t="shared" si="200"/>
        <v>とうび119；消防だより</v>
      </c>
      <c r="C3884" t="str">
        <f>"トウビ ヒャクジュウキュウ ショウボウ ダヨリ"</f>
        <v>トウビ ヒャクジュウキュウ ショウボウ ダヨリ</v>
      </c>
      <c r="D3884" t="str">
        <f>"東備消防組合消防本部"</f>
        <v>東備消防組合消防本部</v>
      </c>
      <c r="E3884" t="str">
        <f>"トウビ ショウボウ クミアイ ショウボウ ホンブ"</f>
        <v>トウビ ショウボウ クミアイ ショウボウ ホンブ</v>
      </c>
      <c r="F3884" t="str">
        <f>""</f>
        <v/>
      </c>
      <c r="G3884" t="str">
        <f>"頻度不明"</f>
        <v>頻度不明</v>
      </c>
      <c r="H3884" t="str">
        <f>"2002222293981"</f>
        <v>2002222293981</v>
      </c>
      <c r="I3884" t="str">
        <f>HYPERLINK("#", "https://opac.libnet.pref.okayama.jp/licsxp-opac/WOpacMsgNewListToTifTilDetailAction.do?tilcod=2002222293981")</f>
        <v>https://opac.libnet.pref.okayama.jp/licsxp-opac/WOpacMsgNewListToTifTilDetailAction.do?tilcod=2002222293981</v>
      </c>
    </row>
    <row r="3885" spans="1:9" x14ac:dyDescent="0.4">
      <c r="A3885" t="str">
        <f>"東備養護学校学校要覧"</f>
        <v>東備養護学校学校要覧</v>
      </c>
      <c r="B3885" s="1" t="str">
        <f t="shared" si="200"/>
        <v>東備養護学校学校要覧</v>
      </c>
      <c r="C3885" t="str">
        <f>"トウビ　ヨウゴ　ガッコウ　ガッコウ　ヨウラン"</f>
        <v>トウビ　ヨウゴ　ガッコウ　ガッコウ　ヨウラン</v>
      </c>
      <c r="D3885" t="str">
        <f>"東備養護学校"</f>
        <v>東備養護学校</v>
      </c>
      <c r="E3885" t="str">
        <f>"トウビ ヨウゴ ガッコウ"</f>
        <v>トウビ ヨウゴ ガッコウ</v>
      </c>
      <c r="F3885" t="str">
        <f>"備前"</f>
        <v>備前</v>
      </c>
      <c r="G3885" t="str">
        <f>"年刊"</f>
        <v>年刊</v>
      </c>
      <c r="H3885" t="str">
        <f>"2002222300600"</f>
        <v>2002222300600</v>
      </c>
      <c r="I3885" t="str">
        <f>HYPERLINK("#", "https://opac.libnet.pref.okayama.jp/licsxp-opac/WOpacMsgNewListToTifTilDetailAction.do?tilcod=2002222300600")</f>
        <v>https://opac.libnet.pref.okayama.jp/licsxp-opac/WOpacMsgNewListToTifTilDetailAction.do?tilcod=2002222300600</v>
      </c>
    </row>
    <row r="3886" spans="1:9" x14ac:dyDescent="0.4">
      <c r="A3886" t="str">
        <f>"東備；歴史研究協議会誌"</f>
        <v>東備；歴史研究協議会誌</v>
      </c>
      <c r="B3886" s="1" t="str">
        <f t="shared" si="200"/>
        <v>東備；歴史研究協議会誌</v>
      </c>
      <c r="C3886" t="str">
        <f>"トウビ＊レキシ　ケンキュウ　キョウギカイシ"</f>
        <v>トウビ＊レキシ　ケンキュウ　キョウギカイシ</v>
      </c>
      <c r="D3886" t="str">
        <f>"東備歴史研究協議会"</f>
        <v>東備歴史研究協議会</v>
      </c>
      <c r="E3886" t="str">
        <f>"トウビレキシケンキュケンキュウキョウギカイ"</f>
        <v>トウビレキシケンキュケンキュウキョウギカイ</v>
      </c>
      <c r="F3886" t="str">
        <f>"長船町（邑久郡）"</f>
        <v>長船町（邑久郡）</v>
      </c>
      <c r="G3886" t="str">
        <f>"頻度不明"</f>
        <v>頻度不明</v>
      </c>
      <c r="H3886" t="str">
        <f>"2002222284471"</f>
        <v>2002222284471</v>
      </c>
      <c r="I3886" t="str">
        <f>HYPERLINK("#", "https://opac.libnet.pref.okayama.jp/licsxp-opac/WOpacMsgNewListToTifTilDetailAction.do?tilcod=2002222284471")</f>
        <v>https://opac.libnet.pref.okayama.jp/licsxp-opac/WOpacMsgNewListToTifTilDetailAction.do?tilcod=2002222284471</v>
      </c>
    </row>
    <row r="3887" spans="1:9" x14ac:dyDescent="0.4">
      <c r="A3887" t="str">
        <f>"東備局だより"</f>
        <v>東備局だより</v>
      </c>
      <c r="B3887" s="1" t="str">
        <f t="shared" si="200"/>
        <v>東備局だより</v>
      </c>
      <c r="C3887" t="str">
        <f>"トウビキョク　ダヨリ"</f>
        <v>トウビキョク　ダヨリ</v>
      </c>
      <c r="D3887" t="str">
        <f>"東備地方振興局振興部地域振興室"</f>
        <v>東備地方振興局振興部地域振興室</v>
      </c>
      <c r="E3887" t="str">
        <f>"トウビチホウシンコウキョクシンコウブチイキシンコウシツ"</f>
        <v>トウビチホウシンコウキョクシンコウブチイキシンコウシツ</v>
      </c>
      <c r="F3887" t="str">
        <f>"和気町（和気郡）"</f>
        <v>和気町（和気郡）</v>
      </c>
      <c r="G3887" t="str">
        <f>"季刊"</f>
        <v>季刊</v>
      </c>
      <c r="H3887" t="str">
        <f>"2002222285143"</f>
        <v>2002222285143</v>
      </c>
      <c r="I3887" t="str">
        <f>HYPERLINK("#", "https://opac.libnet.pref.okayama.jp/licsxp-opac/WOpacMsgNewListToTifTilDetailAction.do?tilcod=2002222285143")</f>
        <v>https://opac.libnet.pref.okayama.jp/licsxp-opac/WOpacMsgNewListToTifTilDetailAction.do?tilcod=2002222285143</v>
      </c>
    </row>
    <row r="3888" spans="1:9" x14ac:dyDescent="0.4">
      <c r="A3888" t="str">
        <f>"道標"</f>
        <v>道標</v>
      </c>
      <c r="B3888" s="1" t="str">
        <f t="shared" si="200"/>
        <v>道標</v>
      </c>
      <c r="C3888" t="str">
        <f>"ドウヒョウ"</f>
        <v>ドウヒョウ</v>
      </c>
      <c r="D3888" t="str">
        <f>"岡山市立図書館文章教室"</f>
        <v>岡山市立図書館文章教室</v>
      </c>
      <c r="E3888" t="str">
        <f>"オカヤマシリツトショカンブンショウキョウシツ"</f>
        <v>オカヤマシリツトショカンブンショウキョウシツ</v>
      </c>
      <c r="F3888" t="str">
        <f>"岡山"</f>
        <v>岡山</v>
      </c>
      <c r="G3888" t="str">
        <f>"年刊"</f>
        <v>年刊</v>
      </c>
      <c r="H3888" t="str">
        <f>"2002222285153"</f>
        <v>2002222285153</v>
      </c>
      <c r="I3888" t="str">
        <f>HYPERLINK("#", "https://opac.libnet.pref.okayama.jp/licsxp-opac/WOpacMsgNewListToTifTilDetailAction.do?tilcod=2002222285153")</f>
        <v>https://opac.libnet.pref.okayama.jp/licsxp-opac/WOpacMsgNewListToTifTilDetailAction.do?tilcod=2002222285153</v>
      </c>
    </row>
    <row r="3889" spans="1:9" x14ac:dyDescent="0.4">
      <c r="A3889" t="str">
        <f>"道標"</f>
        <v>道標</v>
      </c>
      <c r="B3889" s="1" t="str">
        <f t="shared" si="200"/>
        <v>道標</v>
      </c>
      <c r="C3889" t="str">
        <f>"ドウヒョウ"</f>
        <v>ドウヒョウ</v>
      </c>
      <c r="D3889" t="str">
        <f>"岡山詩人会議"</f>
        <v>岡山詩人会議</v>
      </c>
      <c r="E3889" t="str">
        <f>"オカヤマシジンカイギ"</f>
        <v>オカヤマシジンカイギ</v>
      </c>
      <c r="F3889" t="str">
        <f>"岡山"</f>
        <v>岡山</v>
      </c>
      <c r="G3889" t="str">
        <f>"季刊"</f>
        <v>季刊</v>
      </c>
      <c r="H3889" t="str">
        <f>"2002222293011"</f>
        <v>2002222293011</v>
      </c>
      <c r="I3889" t="str">
        <f>HYPERLINK("#", "https://opac.libnet.pref.okayama.jp/licsxp-opac/WOpacMsgNewListToTifTilDetailAction.do?tilcod=2002222293011")</f>
        <v>https://opac.libnet.pref.okayama.jp/licsxp-opac/WOpacMsgNewListToTifTilDetailAction.do?tilcod=2002222293011</v>
      </c>
    </row>
    <row r="3890" spans="1:9" x14ac:dyDescent="0.4">
      <c r="A3890" t="str">
        <f>"道標；[岡山県立林野高等学校] 校誌 "</f>
        <v xml:space="preserve">道標；[岡山県立林野高等学校] 校誌 </v>
      </c>
      <c r="B3890" s="1" t="str">
        <f t="shared" si="200"/>
        <v xml:space="preserve">道標；[岡山県立林野高等学校] 校誌 </v>
      </c>
      <c r="C3890" t="str">
        <f>"ドウヒョウ＊オカヤマケンリツ ハヤシノ コウトウ ガッコウ コウシ "</f>
        <v xml:space="preserve">ドウヒョウ＊オカヤマケンリツ ハヤシノ コウトウ ガッコウ コウシ </v>
      </c>
      <c r="D3890" t="str">
        <f>"林野高等学校"</f>
        <v>林野高等学校</v>
      </c>
      <c r="E3890" t="str">
        <f>"ハヤシノ コウトウ ガッコウ"</f>
        <v>ハヤシノ コウトウ ガッコウ</v>
      </c>
      <c r="F3890" t="str">
        <f>"美作"</f>
        <v>美作</v>
      </c>
      <c r="G3890" t="str">
        <f>"年刊"</f>
        <v>年刊</v>
      </c>
      <c r="H3890" t="str">
        <f>"2002222343310"</f>
        <v>2002222343310</v>
      </c>
      <c r="I3890" t="str">
        <f>HYPERLINK("#", "https://opac.libnet.pref.okayama.jp/licsxp-opac/WOpacMsgNewListToTifTilDetailAction.do?tilcod=2002222343310")</f>
        <v>https://opac.libnet.pref.okayama.jp/licsxp-opac/WOpacMsgNewListToTifTilDetailAction.do?tilcod=2002222343310</v>
      </c>
    </row>
    <row r="3891" spans="1:9" x14ac:dyDescent="0.4">
      <c r="A3891" t="str">
        <f>"動物愛護センターだより；岡山県動物愛護センター広報紙"</f>
        <v>動物愛護センターだより；岡山県動物愛護センター広報紙</v>
      </c>
      <c r="B3891" s="1" t="str">
        <f t="shared" si="200"/>
        <v>動物愛護センターだより；岡山県動物愛護センター広報紙</v>
      </c>
      <c r="C3891" t="str">
        <f>"ドウブツ　アイゴ　センター　ダヨリ＊オカヤマケン　ドウブツ　アイゴ　センター　コウホウシ"</f>
        <v>ドウブツ　アイゴ　センター　ダヨリ＊オカヤマケン　ドウブツ　アイゴ　センター　コウホウシ</v>
      </c>
      <c r="D3891" t="str">
        <f>"岡山県動物愛護財団"</f>
        <v>岡山県動物愛護財団</v>
      </c>
      <c r="E3891" t="str">
        <f>"オカヤマケン ドウブツ アイゴ ザイダン"</f>
        <v>オカヤマケン ドウブツ アイゴ ザイダン</v>
      </c>
      <c r="F3891" t="str">
        <f>"岡山"</f>
        <v>岡山</v>
      </c>
      <c r="G3891" t="str">
        <f>"季刊"</f>
        <v>季刊</v>
      </c>
      <c r="H3891" t="str">
        <f>"2002222300451"</f>
        <v>2002222300451</v>
      </c>
      <c r="I3891" t="str">
        <f>HYPERLINK("#", "https://opac.libnet.pref.okayama.jp/licsxp-opac/WOpacMsgNewListToTifTilDetailAction.do?tilcod=2002222300451")</f>
        <v>https://opac.libnet.pref.okayama.jp/licsxp-opac/WOpacMsgNewListToTifTilDetailAction.do?tilcod=2002222300451</v>
      </c>
    </row>
    <row r="3892" spans="1:9" x14ac:dyDescent="0.4">
      <c r="A3892" t="str">
        <f>"燈浮標"</f>
        <v>燈浮標</v>
      </c>
      <c r="B3892" s="1" t="str">
        <f t="shared" si="200"/>
        <v>燈浮標</v>
      </c>
      <c r="C3892" t="str">
        <f>"トウフヒョウ"</f>
        <v>トウフヒョウ</v>
      </c>
      <c r="D3892" t="str">
        <f>"玉島文化クラブ"</f>
        <v>玉島文化クラブ</v>
      </c>
      <c r="E3892" t="str">
        <f>"タマシマ ブンカ クラブ"</f>
        <v>タマシマ ブンカ クラブ</v>
      </c>
      <c r="F3892" t="str">
        <f>""</f>
        <v/>
      </c>
      <c r="G3892" t="str">
        <f>"頻度不明"</f>
        <v>頻度不明</v>
      </c>
      <c r="H3892" t="str">
        <f>"2002222285163"</f>
        <v>2002222285163</v>
      </c>
      <c r="I3892" t="str">
        <f>HYPERLINK("#", "https://opac.libnet.pref.okayama.jp/licsxp-opac/WOpacMsgNewListToTifTilDetailAction.do?tilcod=2002222285163")</f>
        <v>https://opac.libnet.pref.okayama.jp/licsxp-opac/WOpacMsgNewListToTifTilDetailAction.do?tilcod=2002222285163</v>
      </c>
    </row>
    <row r="3893" spans="1:9" x14ac:dyDescent="0.4">
      <c r="A3893" t="str">
        <f>"同盟おかやま"</f>
        <v>同盟おかやま</v>
      </c>
      <c r="B3893" s="1" t="str">
        <f t="shared" si="200"/>
        <v>同盟おかやま</v>
      </c>
      <c r="C3893" t="str">
        <f>"ドウメイ　オカヤマ"</f>
        <v>ドウメイ　オカヤマ</v>
      </c>
      <c r="D3893" t="str">
        <f>"岡山県労働総同盟"</f>
        <v>岡山県労働総同盟</v>
      </c>
      <c r="E3893" t="str">
        <f>"オカヤマケンロウドウソウドウメイ"</f>
        <v>オカヤマケンロウドウソウドウメイ</v>
      </c>
      <c r="F3893" t="str">
        <f>"岡山"</f>
        <v>岡山</v>
      </c>
      <c r="G3893" t="str">
        <f>"月刊"</f>
        <v>月刊</v>
      </c>
      <c r="H3893" t="str">
        <f>"2002222300949"</f>
        <v>2002222300949</v>
      </c>
      <c r="I3893" t="str">
        <f>HYPERLINK("#", "https://opac.libnet.pref.okayama.jp/licsxp-opac/WOpacMsgNewListToTifTilDetailAction.do?tilcod=2002222300949")</f>
        <v>https://opac.libnet.pref.okayama.jp/licsxp-opac/WOpacMsgNewListToTifTilDetailAction.do?tilcod=2002222300949</v>
      </c>
    </row>
    <row r="3894" spans="1:9" x14ac:dyDescent="0.4">
      <c r="A3894" t="str">
        <f>"童謡集"</f>
        <v>童謡集</v>
      </c>
      <c r="B3894" s="1" t="str">
        <f t="shared" si="200"/>
        <v>童謡集</v>
      </c>
      <c r="C3894" t="str">
        <f>"ドウヨウ　シュウ"</f>
        <v>ドウヨウ　シュウ</v>
      </c>
      <c r="D3894" t="str">
        <f>"なんば・みちこ"</f>
        <v>なんば・みちこ</v>
      </c>
      <c r="E3894" t="str">
        <f>"ナンバミチコ"</f>
        <v>ナンバミチコ</v>
      </c>
      <c r="F3894" t="str">
        <f>"総社"</f>
        <v>総社</v>
      </c>
      <c r="G3894" t="str">
        <f>"年３回刊"</f>
        <v>年３回刊</v>
      </c>
      <c r="H3894" t="str">
        <f>"2002222284851"</f>
        <v>2002222284851</v>
      </c>
      <c r="I3894" t="str">
        <f>HYPERLINK("#", "https://opac.libnet.pref.okayama.jp/licsxp-opac/WOpacMsgNewListToTifTilDetailAction.do?tilcod=2002222284851")</f>
        <v>https://opac.libnet.pref.okayama.jp/licsxp-opac/WOpacMsgNewListToTifTilDetailAction.do?tilcod=2002222284851</v>
      </c>
    </row>
    <row r="3895" spans="1:9" x14ac:dyDescent="0.4">
      <c r="A3895" t="str">
        <f>"どぅるかまら"</f>
        <v>どぅるかまら</v>
      </c>
      <c r="B3895" s="1" t="str">
        <f t="shared" si="200"/>
        <v>どぅるかまら</v>
      </c>
      <c r="C3895" t="str">
        <f>"ドゥルカマラ"</f>
        <v>ドゥルカマラ</v>
      </c>
      <c r="D3895" t="str">
        <f>"瀬崎 祐"</f>
        <v>瀬崎 祐</v>
      </c>
      <c r="E3895" t="str">
        <f>"セザキ ユウ"</f>
        <v>セザキ ユウ</v>
      </c>
      <c r="F3895" t="str">
        <f>"倉敷"</f>
        <v>倉敷</v>
      </c>
      <c r="G3895" t="str">
        <f>"年２回刊"</f>
        <v>年２回刊</v>
      </c>
      <c r="H3895" t="str">
        <f>"2002222307089"</f>
        <v>2002222307089</v>
      </c>
      <c r="I3895" t="str">
        <f>HYPERLINK("#", "https://opac.libnet.pref.okayama.jp/licsxp-opac/WOpacMsgNewListToTifTilDetailAction.do?tilcod=2002222307089")</f>
        <v>https://opac.libnet.pref.okayama.jp/licsxp-opac/WOpacMsgNewListToTifTilDetailAction.do?tilcod=2002222307089</v>
      </c>
    </row>
    <row r="3896" spans="1:9" x14ac:dyDescent="0.4">
      <c r="A3896" t="str">
        <f>"童話工房 ぴあの"</f>
        <v>童話工房 ぴあの</v>
      </c>
      <c r="B3896" s="1" t="str">
        <f t="shared" si="200"/>
        <v>童話工房 ぴあの</v>
      </c>
      <c r="C3896" t="str">
        <f>"ドウワ　コウボウ＊ピアノ"</f>
        <v>ドウワ　コウボウ＊ピアノ</v>
      </c>
      <c r="D3896" t="str">
        <f>"童話工房 ぴあの"</f>
        <v>童話工房 ぴあの</v>
      </c>
      <c r="E3896" t="str">
        <f>"ドウワ コウボウ ピアノ"</f>
        <v>ドウワ コウボウ ピアノ</v>
      </c>
      <c r="F3896" t="str">
        <f>"岡山"</f>
        <v>岡山</v>
      </c>
      <c r="G3896" t="str">
        <f>"年刊"</f>
        <v>年刊</v>
      </c>
      <c r="H3896" t="str">
        <f>"2002222281204"</f>
        <v>2002222281204</v>
      </c>
      <c r="I3896" t="str">
        <f>HYPERLINK("#", "https://opac.libnet.pref.okayama.jp/licsxp-opac/WOpacMsgNewListToTifTilDetailAction.do?tilcod=2002222281204")</f>
        <v>https://opac.libnet.pref.okayama.jp/licsxp-opac/WOpacMsgNewListToTifTilDetailAction.do?tilcod=2002222281204</v>
      </c>
    </row>
    <row r="3897" spans="1:9" x14ac:dyDescent="0.4">
      <c r="A3897" t="str">
        <f>"十返の花；松聲雑誌"</f>
        <v>十返の花；松聲雑誌</v>
      </c>
      <c r="B3897" s="1" t="str">
        <f t="shared" si="200"/>
        <v>十返の花；松聲雑誌</v>
      </c>
      <c r="C3897" t="str">
        <f>"トカエリ　ノ　ハナ＊ショウセイ　ザッシ"</f>
        <v>トカエリ　ノ　ハナ＊ショウセイ　ザッシ</v>
      </c>
      <c r="D3897" t="str">
        <f>"松声会本部"</f>
        <v>松声会本部</v>
      </c>
      <c r="E3897" t="str">
        <f>"ショウセイカイホンブ"</f>
        <v>ショウセイカイホンブ</v>
      </c>
      <c r="F3897" t="str">
        <f>"宇野村（上道郡）"</f>
        <v>宇野村（上道郡）</v>
      </c>
      <c r="G3897" t="str">
        <f>"頻度不明"</f>
        <v>頻度不明</v>
      </c>
      <c r="H3897" t="str">
        <f>"2002222285173"</f>
        <v>2002222285173</v>
      </c>
      <c r="I3897" t="str">
        <f>HYPERLINK("#", "https://opac.libnet.pref.okayama.jp/licsxp-opac/WOpacMsgNewListToTifTilDetailAction.do?tilcod=2002222285173")</f>
        <v>https://opac.libnet.pref.okayama.jp/licsxp-opac/WOpacMsgNewListToTifTilDetailAction.do?tilcod=2002222285173</v>
      </c>
    </row>
    <row r="3898" spans="1:9" x14ac:dyDescent="0.4">
      <c r="A3898" t="str">
        <f>"ときめきナビ"</f>
        <v>ときめきナビ</v>
      </c>
      <c r="B3898" s="1" t="str">
        <f t="shared" si="200"/>
        <v>ときめきナビ</v>
      </c>
      <c r="C3898" t="str">
        <f>"トキメキ　ナビ"</f>
        <v>トキメキ　ナビ</v>
      </c>
      <c r="D3898" t="str">
        <f>"備前市子ども情報センター"</f>
        <v>備前市子ども情報センター</v>
      </c>
      <c r="E3898" t="str">
        <f>"ビゼンシコドモジョウホウセンター"</f>
        <v>ビゼンシコドモジョウホウセンター</v>
      </c>
      <c r="F3898" t="str">
        <f>"備前"</f>
        <v>備前</v>
      </c>
      <c r="G3898" t="str">
        <f>"季刊"</f>
        <v>季刊</v>
      </c>
      <c r="H3898" t="str">
        <f>"2002222281794"</f>
        <v>2002222281794</v>
      </c>
      <c r="I3898" t="str">
        <f>HYPERLINK("#", "https://opac.libnet.pref.okayama.jp/licsxp-opac/WOpacMsgNewListToTifTilDetailAction.do?tilcod=2002222281794")</f>
        <v>https://opac.libnet.pref.okayama.jp/licsxp-opac/WOpacMsgNewListToTifTilDetailAction.do?tilcod=2002222281794</v>
      </c>
    </row>
    <row r="3899" spans="1:9" x14ac:dyDescent="0.4">
      <c r="A3899" t="str">
        <f>"ときめきプラザ"</f>
        <v>ときめきプラザ</v>
      </c>
      <c r="B3899" s="1" t="str">
        <f t="shared" si="200"/>
        <v>ときめきプラザ</v>
      </c>
      <c r="C3899" t="str">
        <f>"トキメキ　プラザ"</f>
        <v>トキメキ　プラザ</v>
      </c>
      <c r="D3899" t="str">
        <f>"岡山市勤労者福祉サービスセンター"</f>
        <v>岡山市勤労者福祉サービスセンター</v>
      </c>
      <c r="E3899" t="str">
        <f>"オカヤマシキンロウシャフクシサービスセンター"</f>
        <v>オカヤマシキンロウシャフクシサービスセンター</v>
      </c>
      <c r="F3899" t="str">
        <f>"岡山"</f>
        <v>岡山</v>
      </c>
      <c r="G3899" t="str">
        <f>"頻度不明"</f>
        <v>頻度不明</v>
      </c>
      <c r="H3899" t="str">
        <f>"2002222302307"</f>
        <v>2002222302307</v>
      </c>
      <c r="I3899" t="str">
        <f>HYPERLINK("#", "https://opac.libnet.pref.okayama.jp/licsxp-opac/WOpacMsgNewListToTifTilDetailAction.do?tilcod=2002222302307")</f>
        <v>https://opac.libnet.pref.okayama.jp/licsxp-opac/WOpacMsgNewListToTifTilDetailAction.do?tilcod=2002222302307</v>
      </c>
    </row>
    <row r="3900" spans="1:9" x14ac:dyDescent="0.4">
      <c r="A3900" t="str">
        <f>"特殊研究"</f>
        <v>特殊研究</v>
      </c>
      <c r="B3900" s="1" t="str">
        <f t="shared" si="200"/>
        <v>特殊研究</v>
      </c>
      <c r="C3900" t="str">
        <f>"トクシュ　ケンキュウ"</f>
        <v>トクシュ　ケンキュウ</v>
      </c>
      <c r="D3900" t="str">
        <f>"落合高等学校"</f>
        <v>落合高等学校</v>
      </c>
      <c r="E3900" t="str">
        <f>"オチアイコウトウガッコウ"</f>
        <v>オチアイコウトウガッコウ</v>
      </c>
      <c r="F3900" t="str">
        <f>""</f>
        <v/>
      </c>
      <c r="G3900" t="str">
        <f>"年刊"</f>
        <v>年刊</v>
      </c>
      <c r="H3900" t="str">
        <f>"2002222300696"</f>
        <v>2002222300696</v>
      </c>
      <c r="I3900" t="str">
        <f>HYPERLINK("#", "https://opac.libnet.pref.okayama.jp/licsxp-opac/WOpacMsgNewListToTifTilDetailAction.do?tilcod=2002222300696")</f>
        <v>https://opac.libnet.pref.okayama.jp/licsxp-opac/WOpacMsgNewListToTifTilDetailAction.do?tilcod=2002222300696</v>
      </c>
    </row>
    <row r="3901" spans="1:9" x14ac:dyDescent="0.4">
      <c r="A3901" t="str">
        <f>"特別支援教育つうしん"</f>
        <v>特別支援教育つうしん</v>
      </c>
      <c r="B3901" s="1" t="str">
        <f t="shared" si="200"/>
        <v>特別支援教育つうしん</v>
      </c>
      <c r="C3901" t="str">
        <f>"トクベツ シエン キョウイク ツウシン"</f>
        <v>トクベツ シエン キョウイク ツウシン</v>
      </c>
      <c r="D3901" t="str">
        <f>"岡山県総合教育センター"</f>
        <v>岡山県総合教育センター</v>
      </c>
      <c r="E3901" t="str">
        <f>"オカヤマケン ソウゴウ キョウイク センター"</f>
        <v>オカヤマケン ソウゴウ キョウイク センター</v>
      </c>
      <c r="F3901" t="str">
        <f>"吉備中央町(加賀郡)"</f>
        <v>吉備中央町(加賀郡)</v>
      </c>
      <c r="G3901" t="str">
        <f>"年刊"</f>
        <v>年刊</v>
      </c>
      <c r="H3901" t="str">
        <f>"2002222301087"</f>
        <v>2002222301087</v>
      </c>
      <c r="I3901" t="str">
        <f>HYPERLINK("#", "https://opac.libnet.pref.okayama.jp/licsxp-opac/WOpacMsgNewListToTifTilDetailAction.do?tilcod=2002222301087")</f>
        <v>https://opac.libnet.pref.okayama.jp/licsxp-opac/WOpacMsgNewListToTifTilDetailAction.do?tilcod=2002222301087</v>
      </c>
    </row>
    <row r="3902" spans="1:9" x14ac:dyDescent="0.4">
      <c r="A3902" t="str">
        <f>"特報岡山"</f>
        <v>特報岡山</v>
      </c>
      <c r="B3902" s="1" t="str">
        <f t="shared" si="200"/>
        <v>特報岡山</v>
      </c>
      <c r="C3902" t="str">
        <f>"トクホウ　オカヤマ"</f>
        <v>トクホウ　オカヤマ</v>
      </c>
      <c r="D3902" t="str">
        <f>"特報岡山社"</f>
        <v>特報岡山社</v>
      </c>
      <c r="E3902" t="str">
        <f>"トクホウオカヤマシャ"</f>
        <v>トクホウオカヤマシャ</v>
      </c>
      <c r="F3902" t="str">
        <f>"岡山"</f>
        <v>岡山</v>
      </c>
      <c r="G3902" t="str">
        <f>"旬刊"</f>
        <v>旬刊</v>
      </c>
      <c r="H3902" t="str">
        <f>"2002222300950"</f>
        <v>2002222300950</v>
      </c>
      <c r="I3902" t="str">
        <f>HYPERLINK("#", "https://opac.libnet.pref.okayama.jp/licsxp-opac/WOpacMsgNewListToTifTilDetailAction.do?tilcod=2002222300950")</f>
        <v>https://opac.libnet.pref.okayama.jp/licsxp-opac/WOpacMsgNewListToTifTilDetailAction.do?tilcod=2002222300950</v>
      </c>
    </row>
    <row r="3903" spans="1:9" x14ac:dyDescent="0.4">
      <c r="A3903" t="str">
        <f>"都山流岡山県幹部会会報"</f>
        <v>都山流岡山県幹部会会報</v>
      </c>
      <c r="B3903" s="1" t="str">
        <f t="shared" si="200"/>
        <v>都山流岡山県幹部会会報</v>
      </c>
      <c r="C3903" t="str">
        <f>"トザン　リュウ　オカヤマケン　カンブカイ　カイホウ"</f>
        <v>トザン　リュウ　オカヤマケン　カンブカイ　カイホウ</v>
      </c>
      <c r="D3903" t="str">
        <f>"都山流岡山県幹部会"</f>
        <v>都山流岡山県幹部会</v>
      </c>
      <c r="E3903" t="str">
        <f>"トザンリュウオカヤマケンカンブカイ"</f>
        <v>トザンリュウオカヤマケンカンブカイ</v>
      </c>
      <c r="F3903" t="str">
        <f>""</f>
        <v/>
      </c>
      <c r="G3903" t="str">
        <f>"頻度不明"</f>
        <v>頻度不明</v>
      </c>
      <c r="H3903" t="str">
        <f>"2002222285223"</f>
        <v>2002222285223</v>
      </c>
      <c r="I3903" t="str">
        <f>HYPERLINK("#", "https://opac.libnet.pref.okayama.jp/licsxp-opac/WOpacMsgNewListToTifTilDetailAction.do?tilcod=2002222285223")</f>
        <v>https://opac.libnet.pref.okayama.jp/licsxp-opac/WOpacMsgNewListToTifTilDetailAction.do?tilcod=2002222285223</v>
      </c>
    </row>
    <row r="3904" spans="1:9" x14ac:dyDescent="0.4">
      <c r="A3904" t="str">
        <f>"どさんこ会"</f>
        <v>どさんこ会</v>
      </c>
      <c r="B3904" s="1" t="str">
        <f t="shared" si="200"/>
        <v>どさんこ会</v>
      </c>
      <c r="C3904" t="str">
        <f>"ドサンコ　カイ"</f>
        <v>ドサンコ　カイ</v>
      </c>
      <c r="D3904" t="str">
        <f>"道産子会事務局"</f>
        <v>道産子会事務局</v>
      </c>
      <c r="E3904" t="str">
        <f>"ドサンコカイジムキョク"</f>
        <v>ドサンコカイジムキョク</v>
      </c>
      <c r="F3904" t="str">
        <f>""</f>
        <v/>
      </c>
      <c r="G3904" t="str">
        <f>"不定期刊"</f>
        <v>不定期刊</v>
      </c>
      <c r="H3904" t="str">
        <f>"2002222285213"</f>
        <v>2002222285213</v>
      </c>
      <c r="I3904" t="str">
        <f>HYPERLINK("#", "https://opac.libnet.pref.okayama.jp/licsxp-opac/WOpacMsgNewListToTifTilDetailAction.do?tilcod=2002222285213")</f>
        <v>https://opac.libnet.pref.okayama.jp/licsxp-opac/WOpacMsgNewListToTifTilDetailAction.do?tilcod=2002222285213</v>
      </c>
    </row>
    <row r="3905" spans="1:9" x14ac:dyDescent="0.4">
      <c r="A3905" t="str">
        <f>"ＤＯＳＡＮＫＯ（どさんこ）；道産子会会報"</f>
        <v>ＤＯＳＡＮＫＯ（どさんこ）；道産子会会報</v>
      </c>
      <c r="B3905" s="1" t="str">
        <f t="shared" si="200"/>
        <v>ＤＯＳＡＮＫＯ（どさんこ）；道産子会会報</v>
      </c>
      <c r="C3905" t="str">
        <f>"ドサンコ＊ドサンコ　カイ　カイホウ"</f>
        <v>ドサンコ＊ドサンコ　カイ　カイホウ</v>
      </c>
      <c r="D3905" t="str">
        <f>"道産子会事務局"</f>
        <v>道産子会事務局</v>
      </c>
      <c r="E3905" t="str">
        <f>"ドサンコカイジムキョク"</f>
        <v>ドサンコカイジムキョク</v>
      </c>
      <c r="F3905" t="str">
        <f>""</f>
        <v/>
      </c>
      <c r="G3905" t="str">
        <f>"不定期刊"</f>
        <v>不定期刊</v>
      </c>
      <c r="H3905" t="str">
        <f>"2002222285203"</f>
        <v>2002222285203</v>
      </c>
      <c r="I3905" t="str">
        <f>HYPERLINK("#", "https://opac.libnet.pref.okayama.jp/licsxp-opac/WOpacMsgNewListToTifTilDetailAction.do?tilcod=2002222285203")</f>
        <v>https://opac.libnet.pref.okayama.jp/licsxp-opac/WOpacMsgNewListToTifTilDetailAction.do?tilcod=2002222285203</v>
      </c>
    </row>
    <row r="3906" spans="1:9" x14ac:dyDescent="0.4">
      <c r="A3906" t="str">
        <f>"ドッグマン・スープ；ビジュアル系ポエトリー・マガジン"</f>
        <v>ドッグマン・スープ；ビジュアル系ポエトリー・マガジン</v>
      </c>
      <c r="B3906" s="1" t="str">
        <f t="shared" si="200"/>
        <v>ドッグマン・スープ；ビジュアル系ポエトリー・マガジン</v>
      </c>
      <c r="C3906" t="str">
        <f>"ドッグマン　スープ＊ビジュアルケイ　ポエトリー　マガジン"</f>
        <v>ドッグマン　スープ＊ビジュアルケイ　ポエトリー　マガジン</v>
      </c>
      <c r="D3906" t="str">
        <f>"大朗読事務局"</f>
        <v>大朗読事務局</v>
      </c>
      <c r="E3906" t="str">
        <f>"ダイロウドウクジムキョク"</f>
        <v>ダイロウドウクジムキョク</v>
      </c>
      <c r="F3906" t="str">
        <f>"岡山"</f>
        <v>岡山</v>
      </c>
      <c r="G3906" t="str">
        <f>"頻度不明"</f>
        <v>頻度不明</v>
      </c>
      <c r="H3906" t="str">
        <f>"2002222301169"</f>
        <v>2002222301169</v>
      </c>
      <c r="I3906" t="str">
        <f>HYPERLINK("#", "https://opac.libnet.pref.okayama.jp/licsxp-opac/WOpacMsgNewListToTifTilDetailAction.do?tilcod=2002222301169")</f>
        <v>https://opac.libnet.pref.okayama.jp/licsxp-opac/WOpacMsgNewListToTifTilDetailAction.do?tilcod=2002222301169</v>
      </c>
    </row>
    <row r="3907" spans="1:9" x14ac:dyDescent="0.4">
      <c r="A3907" t="str">
        <f>"とっくんこ；童謡集"</f>
        <v>とっくんこ；童謡集</v>
      </c>
      <c r="B3907" s="1" t="str">
        <f t="shared" si="200"/>
        <v>とっくんこ；童謡集</v>
      </c>
      <c r="C3907" t="str">
        <f>"トックンコ＊ドウヨウシュウ"</f>
        <v>トックンコ＊ドウヨウシュウ</v>
      </c>
      <c r="D3907" t="str">
        <f>"ながい くみこ"</f>
        <v>ながい くみこ</v>
      </c>
      <c r="E3907" t="str">
        <f>"ナガイ クミコ"</f>
        <v>ナガイ クミコ</v>
      </c>
      <c r="F3907" t="str">
        <f>"総社"</f>
        <v>総社</v>
      </c>
      <c r="G3907" t="str">
        <f>"年３回刊"</f>
        <v>年３回刊</v>
      </c>
      <c r="H3907" t="str">
        <f>"2002222284881"</f>
        <v>2002222284881</v>
      </c>
      <c r="I3907" t="str">
        <f>HYPERLINK("#", "https://opac.libnet.pref.okayama.jp/licsxp-opac/WOpacMsgNewListToTifTilDetailAction.do?tilcod=2002222284881")</f>
        <v>https://opac.libnet.pref.okayama.jp/licsxp-opac/WOpacMsgNewListToTifTilDetailAction.do?tilcod=2002222284881</v>
      </c>
    </row>
    <row r="3908" spans="1:9" x14ac:dyDescent="0.4">
      <c r="A3908" t="str">
        <f>"とっことっこ"</f>
        <v>とっことっこ</v>
      </c>
      <c r="B3908" s="1" t="str">
        <f t="shared" ref="B3908:B3971" si="202">HYPERLINK("#", A3908)</f>
        <v>とっことっこ</v>
      </c>
      <c r="C3908" t="str">
        <f>"トッコ　トッコ"</f>
        <v>トッコ　トッコ</v>
      </c>
      <c r="D3908" t="str">
        <f>"高倉自治協議会"</f>
        <v>高倉自治協議会</v>
      </c>
      <c r="E3908" t="str">
        <f>"タカクラ ジチ キョウギカイ"</f>
        <v>タカクラ ジチ キョウギカイ</v>
      </c>
      <c r="F3908" t="str">
        <f>"津山"</f>
        <v>津山</v>
      </c>
      <c r="G3908" t="str">
        <f>"不定期刊"</f>
        <v>不定期刊</v>
      </c>
      <c r="H3908" t="str">
        <f>"2002222329627"</f>
        <v>2002222329627</v>
      </c>
      <c r="I3908" t="str">
        <f>HYPERLINK("#", "https://opac.libnet.pref.okayama.jp/licsxp-opac/WOpacMsgNewListToTifTilDetailAction.do?tilcod=2002222329627")</f>
        <v>https://opac.libnet.pref.okayama.jp/licsxp-opac/WOpacMsgNewListToTifTilDetailAction.do?tilcod=2002222329627</v>
      </c>
    </row>
    <row r="3909" spans="1:9" x14ac:dyDescent="0.4">
      <c r="A3909" t="str">
        <f>"独歩"</f>
        <v>独歩</v>
      </c>
      <c r="B3909" s="1" t="str">
        <f t="shared" si="202"/>
        <v>独歩</v>
      </c>
      <c r="C3909" t="str">
        <f>"ドッポ"</f>
        <v>ドッポ</v>
      </c>
      <c r="D3909" t="str">
        <f>"戸田章"</f>
        <v>戸田章</v>
      </c>
      <c r="E3909" t="str">
        <f>"トダアキラ"</f>
        <v>トダアキラ</v>
      </c>
      <c r="F3909" t="str">
        <f>""</f>
        <v/>
      </c>
      <c r="G3909" t="str">
        <f>"年２回刊"</f>
        <v>年２回刊</v>
      </c>
      <c r="H3909" t="str">
        <f>"2002222285243"</f>
        <v>2002222285243</v>
      </c>
      <c r="I3909" t="str">
        <f>HYPERLINK("#", "https://opac.libnet.pref.okayama.jp/licsxp-opac/WOpacMsgNewListToTifTilDetailAction.do?tilcod=2002222285243")</f>
        <v>https://opac.libnet.pref.okayama.jp/licsxp-opac/WOpacMsgNewListToTifTilDetailAction.do?tilcod=2002222285243</v>
      </c>
    </row>
    <row r="3910" spans="1:9" x14ac:dyDescent="0.4">
      <c r="A3910" t="str">
        <f>"TOPOS"</f>
        <v>TOPOS</v>
      </c>
      <c r="B3910" s="1" t="str">
        <f t="shared" si="202"/>
        <v>TOPOS</v>
      </c>
      <c r="C3910" t="str">
        <f>"トポス"</f>
        <v>トポス</v>
      </c>
      <c r="D3910" t="str">
        <f>"ベネッセアートサイト直島"</f>
        <v>ベネッセアートサイト直島</v>
      </c>
      <c r="E3910" t="str">
        <f>"ベネッセ アート サイト ナオシマ"</f>
        <v>ベネッセ アート サイト ナオシマ</v>
      </c>
      <c r="F3910" t="str">
        <f>"直島町（香川県）"</f>
        <v>直島町（香川県）</v>
      </c>
      <c r="G3910" t="str">
        <f>"季刊"</f>
        <v>季刊</v>
      </c>
      <c r="H3910" t="str">
        <f>"2002222342251"</f>
        <v>2002222342251</v>
      </c>
      <c r="I3910" t="str">
        <f>HYPERLINK("#", "https://opac.libnet.pref.okayama.jp/licsxp-opac/WOpacMsgNewListToTifTilDetailAction.do?tilcod=2002222342251")</f>
        <v>https://opac.libnet.pref.okayama.jp/licsxp-opac/WOpacMsgNewListToTifTilDetailAction.do?tilcod=2002222342251</v>
      </c>
    </row>
    <row r="3911" spans="1:9" x14ac:dyDescent="0.4">
      <c r="A3911" t="str">
        <f>"苫田ダムあなたと私"</f>
        <v>苫田ダムあなたと私</v>
      </c>
      <c r="B3911" s="1" t="str">
        <f t="shared" si="202"/>
        <v>苫田ダムあなたと私</v>
      </c>
      <c r="C3911" t="str">
        <f>"トマタ　ダム　アナタ　ト　ワタクシ"</f>
        <v>トマタ　ダム　アナタ　ト　ワタクシ</v>
      </c>
      <c r="D3911" t="str">
        <f>"岡山県苫田ダム対策本部"</f>
        <v>岡山県苫田ダム対策本部</v>
      </c>
      <c r="E3911" t="str">
        <f>"オカヤマケン トマタ ダム タイサク ホンブ"</f>
        <v>オカヤマケン トマタ ダム タイサク ホンブ</v>
      </c>
      <c r="F3911" t="str">
        <f>"津山"</f>
        <v>津山</v>
      </c>
      <c r="G3911" t="str">
        <f>"不定期刊"</f>
        <v>不定期刊</v>
      </c>
      <c r="H3911" t="str">
        <f>"2002222300951"</f>
        <v>2002222300951</v>
      </c>
      <c r="I3911" t="str">
        <f>HYPERLINK("#", "https://opac.libnet.pref.okayama.jp/licsxp-opac/WOpacMsgNewListToTifTilDetailAction.do?tilcod=2002222300951")</f>
        <v>https://opac.libnet.pref.okayama.jp/licsxp-opac/WOpacMsgNewListToTifTilDetailAction.do?tilcod=2002222300951</v>
      </c>
    </row>
    <row r="3912" spans="1:9" x14ac:dyDescent="0.4">
      <c r="A3912" t="str">
        <f>"とまたっ子ニュース"</f>
        <v>とまたっ子ニュース</v>
      </c>
      <c r="B3912" s="1" t="str">
        <f t="shared" si="202"/>
        <v>とまたっ子ニュース</v>
      </c>
      <c r="C3912" t="str">
        <f>"トマタッコ　ニュース"</f>
        <v>トマタッコ　ニュース</v>
      </c>
      <c r="D3912" t="str">
        <f>"苫田郡子どもセンター"</f>
        <v>苫田郡子どもセンター</v>
      </c>
      <c r="E3912" t="str">
        <f>"トマタグンコドモセンター"</f>
        <v>トマタグンコドモセンター</v>
      </c>
      <c r="F3912" t="str">
        <f>"鏡野町（苫田郡）"</f>
        <v>鏡野町（苫田郡）</v>
      </c>
      <c r="G3912" t="str">
        <f>"頻度不明"</f>
        <v>頻度不明</v>
      </c>
      <c r="H3912" t="str">
        <f>"2002222281784"</f>
        <v>2002222281784</v>
      </c>
      <c r="I3912" t="str">
        <f>HYPERLINK("#", "https://opac.libnet.pref.okayama.jp/licsxp-opac/WOpacMsgNewListToTifTilDetailAction.do?tilcod=2002222281784")</f>
        <v>https://opac.libnet.pref.okayama.jp/licsxp-opac/WOpacMsgNewListToTifTilDetailAction.do?tilcod=2002222281784</v>
      </c>
    </row>
    <row r="3913" spans="1:9" x14ac:dyDescent="0.4">
      <c r="A3913" t="str">
        <f>"ＴＯＭＡＴＯ"</f>
        <v>ＴＯＭＡＴＯ</v>
      </c>
      <c r="B3913" s="1" t="str">
        <f t="shared" si="202"/>
        <v>ＴＯＭＡＴＯ</v>
      </c>
      <c r="C3913" t="str">
        <f>"トマト"</f>
        <v>トマト</v>
      </c>
      <c r="D3913" t="str">
        <f>"トマト銀行企画部広報課"</f>
        <v>トマト銀行企画部広報課</v>
      </c>
      <c r="E3913" t="str">
        <f>"トマトギンコウキカクブコウホウカ"</f>
        <v>トマトギンコウキカクブコウホウカ</v>
      </c>
      <c r="F3913" t="str">
        <f>"岡山"</f>
        <v>岡山</v>
      </c>
      <c r="G3913" t="str">
        <f>"不定期刊"</f>
        <v>不定期刊</v>
      </c>
      <c r="H3913" t="str">
        <f>"2002222293021"</f>
        <v>2002222293021</v>
      </c>
      <c r="I3913" t="str">
        <f>HYPERLINK("#", "https://opac.libnet.pref.okayama.jp/licsxp-opac/WOpacMsgNewListToTifTilDetailAction.do?tilcod=2002222293021")</f>
        <v>https://opac.libnet.pref.okayama.jp/licsxp-opac/WOpacMsgNewListToTifTilDetailAction.do?tilcod=2002222293021</v>
      </c>
    </row>
    <row r="3914" spans="1:9" x14ac:dyDescent="0.4">
      <c r="A3914" t="str">
        <f>"とみやまだより"</f>
        <v>とみやまだより</v>
      </c>
      <c r="B3914" s="1" t="str">
        <f t="shared" si="202"/>
        <v>とみやまだより</v>
      </c>
      <c r="C3914" t="str">
        <f>"トミヤマ ダヨリ"</f>
        <v>トミヤマ ダヨリ</v>
      </c>
      <c r="D3914" t="str">
        <f>"岡山市立富山公民館"</f>
        <v>岡山市立富山公民館</v>
      </c>
      <c r="E3914" t="str">
        <f>"オカヤマシリツトミヤマコウミンカン"</f>
        <v>オカヤマシリツトミヤマコウミンカン</v>
      </c>
      <c r="F3914" t="str">
        <f>"岡山"</f>
        <v>岡山</v>
      </c>
      <c r="G3914" t="str">
        <f>"月刊"</f>
        <v>月刊</v>
      </c>
      <c r="H3914" t="str">
        <f>"2002222341379"</f>
        <v>2002222341379</v>
      </c>
      <c r="I3914" t="str">
        <f>HYPERLINK("#", "https://opac.libnet.pref.okayama.jp/licsxp-opac/WOpacMsgNewListToTifTilDetailAction.do?tilcod=2002222341379")</f>
        <v>https://opac.libnet.pref.okayama.jp/licsxp-opac/WOpacMsgNewListToTifTilDetailAction.do?tilcod=2002222341379</v>
      </c>
    </row>
    <row r="3915" spans="1:9" x14ac:dyDescent="0.4">
      <c r="A3915" t="str">
        <f>"朋"</f>
        <v>朋</v>
      </c>
      <c r="B3915" s="1" t="str">
        <f t="shared" si="202"/>
        <v>朋</v>
      </c>
      <c r="C3915" t="str">
        <f>"トモ"</f>
        <v>トモ</v>
      </c>
      <c r="D3915" t="str">
        <f>"山陽新聞カルチャープラザ本部教室"</f>
        <v>山陽新聞カルチャープラザ本部教室</v>
      </c>
      <c r="E3915" t="str">
        <f>"サンヨウシンブンカルチャープラザホンブキョウシツ"</f>
        <v>サンヨウシンブンカルチャープラザホンブキョウシツ</v>
      </c>
      <c r="F3915" t="str">
        <f>"岡山"</f>
        <v>岡山</v>
      </c>
      <c r="G3915" t="str">
        <f>"年刊"</f>
        <v>年刊</v>
      </c>
      <c r="H3915" t="str">
        <f>"2002222286091"</f>
        <v>2002222286091</v>
      </c>
      <c r="I3915" t="str">
        <f>HYPERLINK("#", "https://opac.libnet.pref.okayama.jp/licsxp-opac/WOpacMsgNewListToTifTilDetailAction.do?tilcod=2002222286091")</f>
        <v>https://opac.libnet.pref.okayama.jp/licsxp-opac/WOpacMsgNewListToTifTilDetailAction.do?tilcod=2002222286091</v>
      </c>
    </row>
    <row r="3916" spans="1:9" x14ac:dyDescent="0.4">
      <c r="A3916" t="str">
        <f>"とも"</f>
        <v>とも</v>
      </c>
      <c r="B3916" s="1" t="str">
        <f t="shared" si="202"/>
        <v>とも</v>
      </c>
      <c r="C3916" t="str">
        <f>"トモ"</f>
        <v>トモ</v>
      </c>
      <c r="D3916" t="str">
        <f>"仁科照文堂"</f>
        <v>仁科照文堂</v>
      </c>
      <c r="E3916" t="str">
        <f>"ニシナ ショウブンドウ"</f>
        <v>ニシナ ショウブンドウ</v>
      </c>
      <c r="F3916" t="str">
        <f>"津山町"</f>
        <v>津山町</v>
      </c>
      <c r="G3916" t="str">
        <f>"月刊"</f>
        <v>月刊</v>
      </c>
      <c r="H3916" t="str">
        <f>"2002222333146"</f>
        <v>2002222333146</v>
      </c>
      <c r="I3916" t="str">
        <f>HYPERLINK("#", "https://opac.libnet.pref.okayama.jp/licsxp-opac/WOpacMsgNewListToTifTilDetailAction.do?tilcod=2002222333146")</f>
        <v>https://opac.libnet.pref.okayama.jp/licsxp-opac/WOpacMsgNewListToTifTilDetailAction.do?tilcod=2002222333146</v>
      </c>
    </row>
    <row r="3917" spans="1:9" x14ac:dyDescent="0.4">
      <c r="A3917" t="str">
        <f>"ともがき"</f>
        <v>ともがき</v>
      </c>
      <c r="B3917" s="1" t="str">
        <f t="shared" si="202"/>
        <v>ともがき</v>
      </c>
      <c r="C3917" t="str">
        <f>"トモガキ"</f>
        <v>トモガキ</v>
      </c>
      <c r="D3917" t="str">
        <f>"久米町立中正小学校"</f>
        <v>久米町立中正小学校</v>
      </c>
      <c r="E3917" t="str">
        <f>"クメチョウリツチュウセイショウガッコウ"</f>
        <v>クメチョウリツチュウセイショウガッコウ</v>
      </c>
      <c r="F3917" t="str">
        <f>""</f>
        <v/>
      </c>
      <c r="G3917" t="str">
        <f>"頻度不明"</f>
        <v>頻度不明</v>
      </c>
      <c r="H3917" t="str">
        <f>"2002222285253"</f>
        <v>2002222285253</v>
      </c>
      <c r="I3917" t="str">
        <f>HYPERLINK("#", "https://opac.libnet.pref.okayama.jp/licsxp-opac/WOpacMsgNewListToTifTilDetailAction.do?tilcod=2002222285253")</f>
        <v>https://opac.libnet.pref.okayama.jp/licsxp-opac/WOpacMsgNewListToTifTilDetailAction.do?tilcod=2002222285253</v>
      </c>
    </row>
    <row r="3918" spans="1:9" x14ac:dyDescent="0.4">
      <c r="A3918" t="str">
        <f>"ともしび"</f>
        <v>ともしび</v>
      </c>
      <c r="B3918" s="1" t="str">
        <f t="shared" si="202"/>
        <v>ともしび</v>
      </c>
      <c r="C3918" t="str">
        <f t="shared" ref="C3918:C3923" si="203">"トモシビ"</f>
        <v>トモシビ</v>
      </c>
      <c r="D3918" t="str">
        <f>"浄土真宗心光寺"</f>
        <v>浄土真宗心光寺</v>
      </c>
      <c r="E3918" t="str">
        <f>"ジョウドシンシュウ シンコウジ"</f>
        <v>ジョウドシンシュウ シンコウジ</v>
      </c>
      <c r="F3918" t="str">
        <f>"倉敷"</f>
        <v>倉敷</v>
      </c>
      <c r="G3918" t="str">
        <f>"月刊"</f>
        <v>月刊</v>
      </c>
      <c r="H3918" t="str">
        <f>"2002222281441"</f>
        <v>2002222281441</v>
      </c>
      <c r="I3918" t="str">
        <f>HYPERLINK("#", "https://opac.libnet.pref.okayama.jp/licsxp-opac/WOpacMsgNewListToTifTilDetailAction.do?tilcod=2002222281441")</f>
        <v>https://opac.libnet.pref.okayama.jp/licsxp-opac/WOpacMsgNewListToTifTilDetailAction.do?tilcod=2002222281441</v>
      </c>
    </row>
    <row r="3919" spans="1:9" x14ac:dyDescent="0.4">
      <c r="A3919" t="str">
        <f>"ともしび"</f>
        <v>ともしび</v>
      </c>
      <c r="B3919" s="1" t="str">
        <f t="shared" si="202"/>
        <v>ともしび</v>
      </c>
      <c r="C3919" t="str">
        <f t="shared" si="203"/>
        <v>トモシビ</v>
      </c>
      <c r="D3919" t="str">
        <f>"美甘吟社"</f>
        <v>美甘吟社</v>
      </c>
      <c r="E3919" t="str">
        <f>"ミカモギンシャ"</f>
        <v>ミカモギンシャ</v>
      </c>
      <c r="F3919" t="str">
        <f>"美甘村（真庭郡）"</f>
        <v>美甘村（真庭郡）</v>
      </c>
      <c r="G3919" t="str">
        <f>"頻度不明"</f>
        <v>頻度不明</v>
      </c>
      <c r="H3919" t="str">
        <f>"2002222285273"</f>
        <v>2002222285273</v>
      </c>
      <c r="I3919" t="str">
        <f>HYPERLINK("#", "https://opac.libnet.pref.okayama.jp/licsxp-opac/WOpacMsgNewListToTifTilDetailAction.do?tilcod=2002222285273")</f>
        <v>https://opac.libnet.pref.okayama.jp/licsxp-opac/WOpacMsgNewListToTifTilDetailAction.do?tilcod=2002222285273</v>
      </c>
    </row>
    <row r="3920" spans="1:9" x14ac:dyDescent="0.4">
      <c r="A3920" t="str">
        <f>"ともしび"</f>
        <v>ともしび</v>
      </c>
      <c r="B3920" s="1" t="str">
        <f t="shared" si="202"/>
        <v>ともしび</v>
      </c>
      <c r="C3920" t="str">
        <f t="shared" si="203"/>
        <v>トモシビ</v>
      </c>
      <c r="D3920" t="str">
        <f>"ともしび会"</f>
        <v>ともしび会</v>
      </c>
      <c r="E3920" t="str">
        <f>"トモシビカイ"</f>
        <v>トモシビカイ</v>
      </c>
      <c r="F3920" t="str">
        <f>"岡山"</f>
        <v>岡山</v>
      </c>
      <c r="G3920" t="str">
        <f>"年２回刊"</f>
        <v>年２回刊</v>
      </c>
      <c r="H3920" t="str">
        <f>"2002222293031"</f>
        <v>2002222293031</v>
      </c>
      <c r="I3920" t="str">
        <f>HYPERLINK("#", "https://opac.libnet.pref.okayama.jp/licsxp-opac/WOpacMsgNewListToTifTilDetailAction.do?tilcod=2002222293031")</f>
        <v>https://opac.libnet.pref.okayama.jp/licsxp-opac/WOpacMsgNewListToTifTilDetailAction.do?tilcod=2002222293031</v>
      </c>
    </row>
    <row r="3921" spans="1:9" x14ac:dyDescent="0.4">
      <c r="A3921" t="str">
        <f>"灯"</f>
        <v>灯</v>
      </c>
      <c r="B3921" s="1" t="str">
        <f t="shared" si="202"/>
        <v>灯</v>
      </c>
      <c r="C3921" t="str">
        <f t="shared" si="203"/>
        <v>トモシビ</v>
      </c>
      <c r="D3921" t="str">
        <f>"美甘吟社"</f>
        <v>美甘吟社</v>
      </c>
      <c r="E3921" t="str">
        <f>"ミカモギンシャ"</f>
        <v>ミカモギンシャ</v>
      </c>
      <c r="F3921" t="str">
        <f>"真庭"</f>
        <v>真庭</v>
      </c>
      <c r="G3921" t="str">
        <f>"隔月刊"</f>
        <v>隔月刊</v>
      </c>
      <c r="H3921" t="str">
        <f>"2002222293041"</f>
        <v>2002222293041</v>
      </c>
      <c r="I3921" t="str">
        <f>HYPERLINK("#", "https://opac.libnet.pref.okayama.jp/licsxp-opac/WOpacMsgNewListToTifTilDetailAction.do?tilcod=2002222293041")</f>
        <v>https://opac.libnet.pref.okayama.jp/licsxp-opac/WOpacMsgNewListToTifTilDetailAction.do?tilcod=2002222293041</v>
      </c>
    </row>
    <row r="3922" spans="1:9" x14ac:dyDescent="0.4">
      <c r="A3922" t="str">
        <f>"ともしび"</f>
        <v>ともしび</v>
      </c>
      <c r="B3922" s="1" t="str">
        <f t="shared" si="202"/>
        <v>ともしび</v>
      </c>
      <c r="C3922" t="str">
        <f t="shared" si="203"/>
        <v>トモシビ</v>
      </c>
      <c r="D3922" t="str">
        <f>"倉敷市立工業高等学校"</f>
        <v>倉敷市立工業高等学校</v>
      </c>
      <c r="E3922" t="str">
        <f>"クラシキシリツ コウギョウ コウトウ ガッコウ"</f>
        <v>クラシキシリツ コウギョウ コウトウ ガッコウ</v>
      </c>
      <c r="F3922" t="str">
        <f>"倉敷"</f>
        <v>倉敷</v>
      </c>
      <c r="G3922" t="str">
        <f>"年刊"</f>
        <v>年刊</v>
      </c>
      <c r="H3922" t="str">
        <f>"2002222315766"</f>
        <v>2002222315766</v>
      </c>
      <c r="I3922" t="str">
        <f>HYPERLINK("#", "https://opac.libnet.pref.okayama.jp/licsxp-opac/WOpacMsgNewListToTifTilDetailAction.do?tilcod=2002222315766")</f>
        <v>https://opac.libnet.pref.okayama.jp/licsxp-opac/WOpacMsgNewListToTifTilDetailAction.do?tilcod=2002222315766</v>
      </c>
    </row>
    <row r="3923" spans="1:9" x14ac:dyDescent="0.4">
      <c r="A3923" t="str">
        <f>"ともしび"</f>
        <v>ともしび</v>
      </c>
      <c r="B3923" s="1" t="str">
        <f t="shared" si="202"/>
        <v>ともしび</v>
      </c>
      <c r="C3923" t="str">
        <f t="shared" si="203"/>
        <v>トモシビ</v>
      </c>
      <c r="D3923" t="str">
        <f>"岡山県統計協会"</f>
        <v>岡山県統計協会</v>
      </c>
      <c r="E3923" t="str">
        <f>"オカヤマケン トウケイ キョウカイ"</f>
        <v>オカヤマケン トウケイ キョウカイ</v>
      </c>
      <c r="F3923" t="str">
        <f>""</f>
        <v/>
      </c>
      <c r="G3923" t="str">
        <f>"頻度不明"</f>
        <v>頻度不明</v>
      </c>
      <c r="H3923" t="str">
        <f>"2002222285263"</f>
        <v>2002222285263</v>
      </c>
      <c r="I3923" t="str">
        <f>HYPERLINK("#", "https://opac.libnet.pref.okayama.jp/licsxp-opac/WOpacMsgNewListToTifTilDetailAction.do?tilcod=2002222285263")</f>
        <v>https://opac.libnet.pref.okayama.jp/licsxp-opac/WOpacMsgNewListToTifTilDetailAction.do?tilcod=2002222285263</v>
      </c>
    </row>
    <row r="3924" spans="1:9" x14ac:dyDescent="0.4">
      <c r="A3924" t="str">
        <f>"灯；おかやま"</f>
        <v>灯；おかやま</v>
      </c>
      <c r="B3924" s="1" t="str">
        <f t="shared" si="202"/>
        <v>灯；おかやま</v>
      </c>
      <c r="C3924" t="str">
        <f>"トモシビ＊オカヤマ"</f>
        <v>トモシビ＊オカヤマ</v>
      </c>
      <c r="D3924" t="str">
        <f>"岡山県農山漁村生活交流グループ協議会"</f>
        <v>岡山県農山漁村生活交流グループ協議会</v>
      </c>
      <c r="E3924" t="str">
        <f>"オカヤマケンノウサンギョソンセイカツコウリュウグループキョウギカイ"</f>
        <v>オカヤマケンノウサンギョソンセイカツコウリュウグループキョウギカイ</v>
      </c>
      <c r="F3924" t="str">
        <f>""</f>
        <v/>
      </c>
      <c r="G3924" t="str">
        <f>"頻度不明"</f>
        <v>頻度不明</v>
      </c>
      <c r="H3924" t="str">
        <f>"2002222285283"</f>
        <v>2002222285283</v>
      </c>
      <c r="I3924" t="str">
        <f>HYPERLINK("#", "https://opac.libnet.pref.okayama.jp/licsxp-opac/WOpacMsgNewListToTifTilDetailAction.do?tilcod=2002222285283")</f>
        <v>https://opac.libnet.pref.okayama.jp/licsxp-opac/WOpacMsgNewListToTifTilDetailAction.do?tilcod=2002222285283</v>
      </c>
    </row>
    <row r="3925" spans="1:9" x14ac:dyDescent="0.4">
      <c r="A3925" t="str">
        <f>"沓毛どち〔ともどち〕"</f>
        <v>沓毛どち〔ともどち〕</v>
      </c>
      <c r="B3925" s="1" t="str">
        <f t="shared" si="202"/>
        <v>沓毛どち〔ともどち〕</v>
      </c>
      <c r="C3925" t="str">
        <f>"トモドチ"</f>
        <v>トモドチ</v>
      </c>
      <c r="D3925" t="str">
        <f>"井出新聞舗"</f>
        <v>井出新聞舗</v>
      </c>
      <c r="E3925" t="str">
        <f>"イデシンブンホ"</f>
        <v>イデシンブンホ</v>
      </c>
      <c r="F3925" t="str">
        <f>"西江原（後月郡）"</f>
        <v>西江原（後月郡）</v>
      </c>
      <c r="G3925" t="str">
        <f>"月刊"</f>
        <v>月刊</v>
      </c>
      <c r="H3925" t="str">
        <f>"2002222302134"</f>
        <v>2002222302134</v>
      </c>
      <c r="I3925" t="str">
        <f>HYPERLINK("#", "https://opac.libnet.pref.okayama.jp/licsxp-opac/WOpacMsgNewListToTifTilDetailAction.do?tilcod=2002222302134")</f>
        <v>https://opac.libnet.pref.okayama.jp/licsxp-opac/WOpacMsgNewListToTifTilDetailAction.do?tilcod=2002222302134</v>
      </c>
    </row>
    <row r="3926" spans="1:9" x14ac:dyDescent="0.4">
      <c r="A3926" t="str">
        <f>"ともなび；井原市教育便り"</f>
        <v>ともなび；井原市教育便り</v>
      </c>
      <c r="B3926" s="1" t="str">
        <f t="shared" si="202"/>
        <v>ともなび；井原市教育便り</v>
      </c>
      <c r="C3926" t="str">
        <f>"トモナビ　イバラシ　キョウイク　ダヨリ"</f>
        <v>トモナビ　イバラシ　キョウイク　ダヨリ</v>
      </c>
      <c r="D3926" t="str">
        <f>"井原市教育委員会"</f>
        <v>井原市教育委員会</v>
      </c>
      <c r="E3926" t="str">
        <f>"イバラシ キョウイク イインカイ"</f>
        <v>イバラシ キョウイク イインカイ</v>
      </c>
      <c r="F3926" t="str">
        <f>"井原"</f>
        <v>井原</v>
      </c>
      <c r="G3926" t="str">
        <f>"年刊"</f>
        <v>年刊</v>
      </c>
      <c r="H3926" t="str">
        <f>"2002222329508"</f>
        <v>2002222329508</v>
      </c>
      <c r="I3926" t="str">
        <f>HYPERLINK("#", "https://opac.libnet.pref.okayama.jp/licsxp-opac/WOpacMsgNewListToTifTilDetailAction.do?tilcod=2002222329508")</f>
        <v>https://opac.libnet.pref.okayama.jp/licsxp-opac/WOpacMsgNewListToTifTilDetailAction.do?tilcod=2002222329508</v>
      </c>
    </row>
    <row r="3927" spans="1:9" x14ac:dyDescent="0.4">
      <c r="A3927" t="str">
        <f>"図問研おかやま"</f>
        <v>図問研おかやま</v>
      </c>
      <c r="B3927" s="1" t="str">
        <f t="shared" si="202"/>
        <v>図問研おかやま</v>
      </c>
      <c r="C3927" t="str">
        <f>"トモンケン　オカヤマ"</f>
        <v>トモンケン　オカヤマ</v>
      </c>
      <c r="D3927" t="str">
        <f>"図書館問題研究会岡山支部"</f>
        <v>図書館問題研究会岡山支部</v>
      </c>
      <c r="E3927" t="str">
        <f>"トショカンモンダイケンキュウカイオカヤマシブ"</f>
        <v>トショカンモンダイケンキュウカイオカヤマシブ</v>
      </c>
      <c r="F3927" t="str">
        <f>""</f>
        <v/>
      </c>
      <c r="G3927" t="str">
        <f>"頻度不明"</f>
        <v>頻度不明</v>
      </c>
      <c r="H3927" t="str">
        <f>"2002222285303"</f>
        <v>2002222285303</v>
      </c>
      <c r="I3927" t="str">
        <f>HYPERLINK("#", "https://opac.libnet.pref.okayama.jp/licsxp-opac/WOpacMsgNewListToTifTilDetailAction.do?tilcod=2002222285303")</f>
        <v>https://opac.libnet.pref.okayama.jp/licsxp-opac/WOpacMsgNewListToTifTilDetailAction.do?tilcod=2002222285303</v>
      </c>
    </row>
    <row r="3928" spans="1:9" x14ac:dyDescent="0.4">
      <c r="A3928" t="str">
        <f>"土曜"</f>
        <v>土曜</v>
      </c>
      <c r="B3928" s="1" t="str">
        <f t="shared" si="202"/>
        <v>土曜</v>
      </c>
      <c r="C3928" t="str">
        <f>"ドヨウ"</f>
        <v>ドヨウ</v>
      </c>
      <c r="D3928" t="str">
        <f>"土曜懇話会"</f>
        <v>土曜懇話会</v>
      </c>
      <c r="E3928" t="str">
        <f>"ドヨウコンワカイ"</f>
        <v>ドヨウコンワカイ</v>
      </c>
      <c r="F3928" t="str">
        <f>""</f>
        <v/>
      </c>
      <c r="G3928" t="str">
        <f>"頻度不明"</f>
        <v>頻度不明</v>
      </c>
      <c r="H3928" t="str">
        <f>"2002222285313"</f>
        <v>2002222285313</v>
      </c>
      <c r="I3928" t="str">
        <f>HYPERLINK("#", "https://opac.libnet.pref.okayama.jp/licsxp-opac/WOpacMsgNewListToTifTilDetailAction.do?tilcod=2002222285313")</f>
        <v>https://opac.libnet.pref.okayama.jp/licsxp-opac/WOpacMsgNewListToTifTilDetailAction.do?tilcod=2002222285313</v>
      </c>
    </row>
    <row r="3929" spans="1:9" x14ac:dyDescent="0.4">
      <c r="A3929" t="str">
        <f>"土曜日"</f>
        <v>土曜日</v>
      </c>
      <c r="B3929" s="1" t="str">
        <f t="shared" si="202"/>
        <v>土曜日</v>
      </c>
      <c r="C3929" t="str">
        <f>"ドヨウビ"</f>
        <v>ドヨウビ</v>
      </c>
      <c r="D3929" t="str">
        <f>"土曜新聞社"</f>
        <v>土曜新聞社</v>
      </c>
      <c r="E3929" t="str">
        <f>"ドヨウ シンブンシャ"</f>
        <v>ドヨウ シンブンシャ</v>
      </c>
      <c r="F3929" t="str">
        <f>"岡山"</f>
        <v>岡山</v>
      </c>
      <c r="G3929" t="str">
        <f>"週刊"</f>
        <v>週刊</v>
      </c>
      <c r="H3929" t="str">
        <f>"2002222333150"</f>
        <v>2002222333150</v>
      </c>
      <c r="I3929" t="str">
        <f>HYPERLINK("#", "https://opac.libnet.pref.okayama.jp/licsxp-opac/WOpacMsgNewListToTifTilDetailAction.do?tilcod=2002222333150")</f>
        <v>https://opac.libnet.pref.okayama.jp/licsxp-opac/WOpacMsgNewListToTifTilDetailAction.do?tilcod=2002222333150</v>
      </c>
    </row>
    <row r="3930" spans="1:9" x14ac:dyDescent="0.4">
      <c r="A3930" t="str">
        <f>"豊永"</f>
        <v>豊永</v>
      </c>
      <c r="B3930" s="1" t="str">
        <f t="shared" si="202"/>
        <v>豊永</v>
      </c>
      <c r="C3930" t="str">
        <f>"トヨナガ"</f>
        <v>トヨナガ</v>
      </c>
      <c r="D3930" t="str">
        <f>"豊永公民館"</f>
        <v>豊永公民館</v>
      </c>
      <c r="E3930" t="str">
        <f>"トヨナガ　コウミンカン"</f>
        <v>トヨナガ　コウミンカン</v>
      </c>
      <c r="F3930" t="str">
        <f>"新見"</f>
        <v>新見</v>
      </c>
      <c r="G3930" t="str">
        <f>"頻度不明"</f>
        <v>頻度不明</v>
      </c>
      <c r="H3930" t="str">
        <f>"2002222324448"</f>
        <v>2002222324448</v>
      </c>
      <c r="I3930" t="str">
        <f>HYPERLINK("#", "https://opac.libnet.pref.okayama.jp/licsxp-opac/WOpacMsgNewListToTifTilDetailAction.do?tilcod=2002222324448")</f>
        <v>https://opac.libnet.pref.okayama.jp/licsxp-opac/WOpacMsgNewListToTifTilDetailAction.do?tilcod=2002222324448</v>
      </c>
    </row>
    <row r="3931" spans="1:9" x14ac:dyDescent="0.4">
      <c r="A3931" t="str">
        <f>"とよはら"</f>
        <v>とよはら</v>
      </c>
      <c r="B3931" s="1" t="str">
        <f t="shared" si="202"/>
        <v>とよはら</v>
      </c>
      <c r="C3931" t="str">
        <f>"トヨハラ"</f>
        <v>トヨハラ</v>
      </c>
      <c r="D3931" t="str">
        <f>"金光教豊原教会"</f>
        <v>金光教豊原教会</v>
      </c>
      <c r="E3931" t="str">
        <f>"コンコウキ ョウ トヨハラ キョウカイ"</f>
        <v>コンコウキ ョウ トヨハラ キョウカイ</v>
      </c>
      <c r="F3931" t="str">
        <f>"岡山"</f>
        <v>岡山</v>
      </c>
      <c r="G3931" t="str">
        <f>"頻度不明"</f>
        <v>頻度不明</v>
      </c>
      <c r="H3931" t="str">
        <f>"2002222307272"</f>
        <v>2002222307272</v>
      </c>
      <c r="I3931" t="str">
        <f>HYPERLINK("#", "https://opac.libnet.pref.okayama.jp/licsxp-opac/WOpacMsgNewListToTifTilDetailAction.do?tilcod=2002222307272")</f>
        <v>https://opac.libnet.pref.okayama.jp/licsxp-opac/WOpacMsgNewListToTifTilDetailAction.do?tilcod=2002222307272</v>
      </c>
    </row>
    <row r="3932" spans="1:9" x14ac:dyDescent="0.4">
      <c r="A3932" t="str">
        <f>"Ｄｒｅａｍｅｒ＆Ｏｋａｙａｍａ　Ｓｅａｇｕｌｌｓ（ドリーマー　アンド　岡山　シーガルズ）"</f>
        <v>Ｄｒｅａｍｅｒ＆Ｏｋａｙａｍａ　Ｓｅａｇｕｌｌｓ（ドリーマー　アンド　岡山　シーガルズ）</v>
      </c>
      <c r="B3932" s="1" t="str">
        <f t="shared" si="202"/>
        <v>Ｄｒｅａｍｅｒ＆Ｏｋａｙａｍａ　Ｓｅａｇｕｌｌｓ（ドリーマー　アンド　岡山　シーガルズ）</v>
      </c>
      <c r="C3932" t="str">
        <f>"ドリーマー　アンド　オカヤマ　シーガルズ"</f>
        <v>ドリーマー　アンド　オカヤマ　シーガルズ</v>
      </c>
      <c r="D3932" t="str">
        <f>"岡山シーガルズを応援する会"</f>
        <v>岡山シーガルズを応援する会</v>
      </c>
      <c r="E3932" t="str">
        <f>"オカヤマシーガルズオオウエンスルカイ"</f>
        <v>オカヤマシーガルズオオウエンスルカイ</v>
      </c>
      <c r="F3932" t="str">
        <f>"岡山"</f>
        <v>岡山</v>
      </c>
      <c r="G3932" t="str">
        <f>"年２回刊"</f>
        <v>年２回刊</v>
      </c>
      <c r="H3932" t="str">
        <f>"2002222301837"</f>
        <v>2002222301837</v>
      </c>
      <c r="I3932" t="str">
        <f>HYPERLINK("#", "https://opac.libnet.pref.okayama.jp/licsxp-opac/WOpacMsgNewListToTifTilDetailAction.do?tilcod=2002222301837")</f>
        <v>https://opac.libnet.pref.okayama.jp/licsxp-opac/WOpacMsgNewListToTifTilDetailAction.do?tilcod=2002222301837</v>
      </c>
    </row>
    <row r="3933" spans="1:9" x14ac:dyDescent="0.4">
      <c r="A3933" t="str">
        <f>"とりつぎ"</f>
        <v>とりつぎ</v>
      </c>
      <c r="B3933" s="1" t="str">
        <f t="shared" si="202"/>
        <v>とりつぎ</v>
      </c>
      <c r="C3933" t="str">
        <f>"トリツギ"</f>
        <v>トリツギ</v>
      </c>
      <c r="D3933" t="str">
        <f>"金光教徒社"</f>
        <v>金光教徒社</v>
      </c>
      <c r="E3933" t="str">
        <f>"コンコウキョウトシャ"</f>
        <v>コンコウキョウトシャ</v>
      </c>
      <c r="F3933" t="str">
        <f>""</f>
        <v/>
      </c>
      <c r="G3933" t="str">
        <f>"頻度不明"</f>
        <v>頻度不明</v>
      </c>
      <c r="H3933" t="str">
        <f>"2002222285323"</f>
        <v>2002222285323</v>
      </c>
      <c r="I3933" t="str">
        <f>HYPERLINK("#", "https://opac.libnet.pref.okayama.jp/licsxp-opac/WOpacMsgNewListToTifTilDetailAction.do?tilcod=2002222285323")</f>
        <v>https://opac.libnet.pref.okayama.jp/licsxp-opac/WOpacMsgNewListToTifTilDetailAction.do?tilcod=2002222285323</v>
      </c>
    </row>
    <row r="3934" spans="1:9" x14ac:dyDescent="0.4">
      <c r="A3934" t="str">
        <f>"Trinity；朝日学園・みつ朝日学園連合PTA広報誌"</f>
        <v>Trinity；朝日学園・みつ朝日学園連合PTA広報誌</v>
      </c>
      <c r="B3934" s="1" t="str">
        <f t="shared" si="202"/>
        <v>Trinity；朝日学園・みつ朝日学園連合PTA広報誌</v>
      </c>
      <c r="C3934" t="str">
        <f>"トリニティー＊アサヒ ガクエン ミツ アサヒ ガクエン レンゴウ ピーティーエー コウホウシ"</f>
        <v>トリニティー＊アサヒ ガクエン ミツ アサヒ ガクエン レンゴウ ピーティーエー コウホウシ</v>
      </c>
      <c r="D3934" t="str">
        <f>"朝日学園・みつ朝日学園連合PTA"</f>
        <v>朝日学園・みつ朝日学園連合PTA</v>
      </c>
      <c r="E3934" t="str">
        <f>"アサヒ ガクエン ミツ アサヒ ガクエン レンゴウ ピーティーエー"</f>
        <v>アサヒ ガクエン ミツ アサヒ ガクエン レンゴウ ピーティーエー</v>
      </c>
      <c r="F3934" t="str">
        <f>"岡山"</f>
        <v>岡山</v>
      </c>
      <c r="G3934" t="str">
        <f>"頻度不明"</f>
        <v>頻度不明</v>
      </c>
      <c r="H3934" t="str">
        <f>"2002222335969"</f>
        <v>2002222335969</v>
      </c>
      <c r="I3934" t="str">
        <f>HYPERLINK("#", "https://opac.libnet.pref.okayama.jp/licsxp-opac/WOpacMsgNewListToTifTilDetailAction.do?tilcod=2002222335969")</f>
        <v>https://opac.libnet.pref.okayama.jp/licsxp-opac/WOpacMsgNewListToTifTilDetailAction.do?tilcod=2002222335969</v>
      </c>
    </row>
    <row r="3935" spans="1:9" x14ac:dyDescent="0.4">
      <c r="A3935" t="str">
        <f>"トレジャーボックス；タカラ箱"</f>
        <v>トレジャーボックス；タカラ箱</v>
      </c>
      <c r="B3935" s="1" t="str">
        <f t="shared" si="202"/>
        <v>トレジャーボックス；タカラ箱</v>
      </c>
      <c r="C3935" t="str">
        <f>"トレジャー　ボックス＊タカラバコ"</f>
        <v>トレジャー　ボックス＊タカラバコ</v>
      </c>
      <c r="D3935" t="str">
        <f>"あかいわ新聞社"</f>
        <v>あかいわ新聞社</v>
      </c>
      <c r="E3935" t="str">
        <f>"アカイワシンブンシャ"</f>
        <v>アカイワシンブンシャ</v>
      </c>
      <c r="F3935" t="str">
        <f>"赤磐"</f>
        <v>赤磐</v>
      </c>
      <c r="G3935" t="str">
        <f>"月刊"</f>
        <v>月刊</v>
      </c>
      <c r="H3935" t="str">
        <f>"2002222300983"</f>
        <v>2002222300983</v>
      </c>
      <c r="I3935" t="str">
        <f>HYPERLINK("#", "https://opac.libnet.pref.okayama.jp/licsxp-opac/WOpacMsgNewListToTifTilDetailAction.do?tilcod=2002222300983")</f>
        <v>https://opac.libnet.pref.okayama.jp/licsxp-opac/WOpacMsgNewListToTifTilDetailAction.do?tilcod=2002222300983</v>
      </c>
    </row>
    <row r="3936" spans="1:9" x14ac:dyDescent="0.4">
      <c r="A3936" t="str">
        <f>"とれたて倶楽部；「地産地消おかやま」情報誌"</f>
        <v>とれたて倶楽部；「地産地消おかやま」情報誌</v>
      </c>
      <c r="B3936" s="1" t="str">
        <f t="shared" si="202"/>
        <v>とれたて倶楽部；「地産地消おかやま」情報誌</v>
      </c>
      <c r="C3936" t="str">
        <f>"トレタテ　クラブ＊チサン　チショウ　オカヤマ　ジョウホウシ"</f>
        <v>トレタテ　クラブ＊チサン　チショウ　オカヤマ　ジョウホウシ</v>
      </c>
      <c r="D3936" t="str">
        <f>"岡山県農林水産部農政企画課"</f>
        <v>岡山県農林水産部農政企画課</v>
      </c>
      <c r="E3936" t="str">
        <f>"オカヤマケン ノウリン スイサンブ ノウセイ キカクカ"</f>
        <v>オカヤマケン ノウリン スイサンブ ノウセイ キカクカ</v>
      </c>
      <c r="F3936" t="str">
        <f>"岡山"</f>
        <v>岡山</v>
      </c>
      <c r="G3936" t="str">
        <f>"年２回刊"</f>
        <v>年２回刊</v>
      </c>
      <c r="H3936" t="str">
        <f>"2002222300268"</f>
        <v>2002222300268</v>
      </c>
      <c r="I3936" t="str">
        <f>HYPERLINK("#", "https://opac.libnet.pref.okayama.jp/licsxp-opac/WOpacMsgNewListToTifTilDetailAction.do?tilcod=2002222300268")</f>
        <v>https://opac.libnet.pref.okayama.jp/licsxp-opac/WOpacMsgNewListToTifTilDetailAction.do?tilcod=2002222300268</v>
      </c>
    </row>
    <row r="3937" spans="1:9" x14ac:dyDescent="0.4">
      <c r="A3937" t="str">
        <f>"Dorothy"</f>
        <v>Dorothy</v>
      </c>
      <c r="B3937" s="1" t="str">
        <f t="shared" si="202"/>
        <v>Dorothy</v>
      </c>
      <c r="C3937" t="str">
        <f>"ドロシー"</f>
        <v>ドロシー</v>
      </c>
      <c r="D3937" t="str">
        <f>"岡山大学繊維服飾研究会Dorothy"</f>
        <v>岡山大学繊維服飾研究会Dorothy</v>
      </c>
      <c r="E3937" t="str">
        <f>"オカヤマ ダイガク センイ フクショク ケンキュウカイ ドロシー"</f>
        <v>オカヤマ ダイガク センイ フクショク ケンキュウカイ ドロシー</v>
      </c>
      <c r="F3937" t="str">
        <f>"岡山"</f>
        <v>岡山</v>
      </c>
      <c r="G3937" t="str">
        <f>"年３回刊"</f>
        <v>年３回刊</v>
      </c>
      <c r="H3937" t="str">
        <f>"2002222331412"</f>
        <v>2002222331412</v>
      </c>
      <c r="I3937" t="str">
        <f>HYPERLINK("#", "https://opac.libnet.pref.okayama.jp/licsxp-opac/WOpacMsgNewListToTifTilDetailAction.do?tilcod=2002222331412")</f>
        <v>https://opac.libnet.pref.okayama.jp/licsxp-opac/WOpacMsgNewListToTifTilDetailAction.do?tilcod=2002222331412</v>
      </c>
    </row>
    <row r="3938" spans="1:9" x14ac:dyDescent="0.4">
      <c r="A3938" t="str">
        <f>"どろんこ；片山文芸"</f>
        <v>どろんこ；片山文芸</v>
      </c>
      <c r="B3938" s="1" t="str">
        <f t="shared" si="202"/>
        <v>どろんこ；片山文芸</v>
      </c>
      <c r="C3938" t="str">
        <f>"ドロンコ＊カタヤマ　ブンゲイ"</f>
        <v>ドロンコ＊カタヤマ　ブンゲイ</v>
      </c>
      <c r="D3938" t="str">
        <f>"片山女子高等学校文芸部"</f>
        <v>片山女子高等学校文芸部</v>
      </c>
      <c r="E3938" t="str">
        <f>"カタヤマジョシコウトウガッコウブンゲイブ"</f>
        <v>カタヤマジョシコウトウガッコウブンゲイブ</v>
      </c>
      <c r="F3938" t="str">
        <f>""</f>
        <v/>
      </c>
      <c r="G3938" t="str">
        <f>"頻度不明"</f>
        <v>頻度不明</v>
      </c>
      <c r="H3938" t="str">
        <f>"2002222280904"</f>
        <v>2002222280904</v>
      </c>
      <c r="I3938" t="str">
        <f>HYPERLINK("#", "https://opac.libnet.pref.okayama.jp/licsxp-opac/WOpacMsgNewListToTifTilDetailAction.do?tilcod=2002222280904")</f>
        <v>https://opac.libnet.pref.okayama.jp/licsxp-opac/WOpacMsgNewListToTifTilDetailAction.do?tilcod=2002222280904</v>
      </c>
    </row>
    <row r="3939" spans="1:9" x14ac:dyDescent="0.4">
      <c r="A3939" t="str">
        <f>"どんぐり"</f>
        <v>どんぐり</v>
      </c>
      <c r="B3939" s="1" t="str">
        <f t="shared" si="202"/>
        <v>どんぐり</v>
      </c>
      <c r="C3939" t="str">
        <f>"ドングリ"</f>
        <v>ドングリ</v>
      </c>
      <c r="D3939" t="str">
        <f>"県庁どんぐりの会"</f>
        <v>県庁どんぐりの会</v>
      </c>
      <c r="E3939" t="str">
        <f>"ケンチョウドングリノカイ"</f>
        <v>ケンチョウドングリノカイ</v>
      </c>
      <c r="F3939" t="str">
        <f>""</f>
        <v/>
      </c>
      <c r="G3939" t="str">
        <f>"頻度不明"</f>
        <v>頻度不明</v>
      </c>
      <c r="H3939" t="str">
        <f>"2002222285333"</f>
        <v>2002222285333</v>
      </c>
      <c r="I3939" t="str">
        <f>HYPERLINK("#", "https://opac.libnet.pref.okayama.jp/licsxp-opac/WOpacMsgNewListToTifTilDetailAction.do?tilcod=2002222285333")</f>
        <v>https://opac.libnet.pref.okayama.jp/licsxp-opac/WOpacMsgNewListToTifTilDetailAction.do?tilcod=2002222285333</v>
      </c>
    </row>
    <row r="3940" spans="1:9" x14ac:dyDescent="0.4">
      <c r="A3940" t="str">
        <f>"donbla.+(ドンブラプラス)"</f>
        <v>donbla.+(ドンブラプラス)</v>
      </c>
      <c r="B3940" s="1" t="str">
        <f t="shared" si="202"/>
        <v>donbla.+(ドンブラプラス)</v>
      </c>
      <c r="C3940" t="str">
        <f>"ドンブラ プラス"</f>
        <v>ドンブラ プラス</v>
      </c>
      <c r="D3940" t="str">
        <f>"リショウ"</f>
        <v>リショウ</v>
      </c>
      <c r="E3940" t="str">
        <f>"リショウ"</f>
        <v>リショウ</v>
      </c>
      <c r="F3940" t="str">
        <f>"倉敷"</f>
        <v>倉敷</v>
      </c>
      <c r="G3940" t="str">
        <f>"不定期刊"</f>
        <v>不定期刊</v>
      </c>
      <c r="H3940" t="str">
        <f>"2002222321890"</f>
        <v>2002222321890</v>
      </c>
      <c r="I3940" t="str">
        <f>HYPERLINK("#", "https://opac.libnet.pref.okayama.jp/licsxp-opac/WOpacMsgNewListToTifTilDetailAction.do?tilcod=2002222321890")</f>
        <v>https://opac.libnet.pref.okayama.jp/licsxp-opac/WOpacMsgNewListToTifTilDetailAction.do?tilcod=2002222321890</v>
      </c>
    </row>
    <row r="3941" spans="1:9" x14ac:dyDescent="0.4">
      <c r="A3941" t="str">
        <f>"ドンブラっこ"</f>
        <v>ドンブラっこ</v>
      </c>
      <c r="B3941" s="1" t="str">
        <f t="shared" si="202"/>
        <v>ドンブラっこ</v>
      </c>
      <c r="C3941" t="str">
        <f>"ドンブラッコ"</f>
        <v>ドンブラッコ</v>
      </c>
      <c r="D3941" t="str">
        <f>"リショウ"</f>
        <v>リショウ</v>
      </c>
      <c r="E3941" t="str">
        <f>"リショウ"</f>
        <v>リショウ</v>
      </c>
      <c r="F3941" t="str">
        <f>"倉敷"</f>
        <v>倉敷</v>
      </c>
      <c r="G3941" t="str">
        <f>"季刊"</f>
        <v>季刊</v>
      </c>
      <c r="H3941" t="str">
        <f>"2002222329146"</f>
        <v>2002222329146</v>
      </c>
      <c r="I3941" t="str">
        <f>HYPERLINK("#", "https://opac.libnet.pref.okayama.jp/licsxp-opac/WOpacMsgNewListToTifTilDetailAction.do?tilcod=2002222329146")</f>
        <v>https://opac.libnet.pref.okayama.jp/licsxp-opac/WOpacMsgNewListToTifTilDetailAction.do?tilcod=2002222329146</v>
      </c>
    </row>
    <row r="3942" spans="1:9" x14ac:dyDescent="0.4">
      <c r="A3942" t="str">
        <f>"内職だより"</f>
        <v>内職だより</v>
      </c>
      <c r="B3942" s="1" t="str">
        <f t="shared" si="202"/>
        <v>内職だより</v>
      </c>
      <c r="C3942" t="str">
        <f>"ナイショク　ダヨリ"</f>
        <v>ナイショク　ダヨリ</v>
      </c>
      <c r="D3942" t="str">
        <f>"岡山県内職公共職業補導所"</f>
        <v>岡山県内職公共職業補導所</v>
      </c>
      <c r="E3942" t="str">
        <f>"オカヤマケンナイショクコウキョウショクギョウホドウジョ"</f>
        <v>オカヤマケンナイショクコウキョウショクギョウホドウジョ</v>
      </c>
      <c r="F3942" t="str">
        <f>""</f>
        <v/>
      </c>
      <c r="G3942" t="str">
        <f>"頻度不明"</f>
        <v>頻度不明</v>
      </c>
      <c r="H3942" t="str">
        <f>"2002222285353"</f>
        <v>2002222285353</v>
      </c>
      <c r="I3942" t="str">
        <f>HYPERLINK("#", "https://opac.libnet.pref.okayama.jp/licsxp-opac/WOpacMsgNewListToTifTilDetailAction.do?tilcod=2002222285353")</f>
        <v>https://opac.libnet.pref.okayama.jp/licsxp-opac/WOpacMsgNewListToTifTilDetailAction.do?tilcod=2002222285353</v>
      </c>
    </row>
    <row r="3943" spans="1:9" x14ac:dyDescent="0.4">
      <c r="A3943" t="str">
        <f>"直島通信；Naoshima News"</f>
        <v>直島通信；Naoshima News</v>
      </c>
      <c r="B3943" s="1" t="str">
        <f t="shared" si="202"/>
        <v>直島通信；Naoshima News</v>
      </c>
      <c r="C3943" t="str">
        <f>"ナオシマ ツウシン＊ナオシマ ニュース"</f>
        <v>ナオシマ ツウシン＊ナオシマ ニュース</v>
      </c>
      <c r="D3943" t="str">
        <f>"ベネッセコーポレーションCS･ES推進室"</f>
        <v>ベネッセコーポレーションCS･ES推進室</v>
      </c>
      <c r="E3943" t="str">
        <f>"ベネッセ コーポレーション シーエス イーエス スイシンシツ"</f>
        <v>ベネッセ コーポレーション シーエス イーエス スイシンシツ</v>
      </c>
      <c r="F3943" t="str">
        <f>"岡山"</f>
        <v>岡山</v>
      </c>
      <c r="G3943" t="str">
        <f>"頻度不明"</f>
        <v>頻度不明</v>
      </c>
      <c r="H3943" t="str">
        <f>"2002222334846"</f>
        <v>2002222334846</v>
      </c>
      <c r="I3943" t="str">
        <f>HYPERLINK("#", "https://opac.libnet.pref.okayama.jp/licsxp-opac/WOpacMsgNewListToTifTilDetailAction.do?tilcod=2002222334846")</f>
        <v>https://opac.libnet.pref.okayama.jp/licsxp-opac/WOpacMsgNewListToTifTilDetailAction.do?tilcod=2002222334846</v>
      </c>
    </row>
    <row r="3944" spans="1:9" x14ac:dyDescent="0.4">
      <c r="A3944" t="str">
        <f>"中区民生委員児童委員だより"</f>
        <v>中区民生委員児童委員だより</v>
      </c>
      <c r="B3944" s="1" t="str">
        <f t="shared" si="202"/>
        <v>中区民生委員児童委員だより</v>
      </c>
      <c r="C3944" t="str">
        <f>"ナカク ミンセイ イイン ジドウ イイン ダヨリ  "</f>
        <v xml:space="preserve">ナカク ミンセイ イイン ジドウ イイン ダヨリ  </v>
      </c>
      <c r="D3944" t="str">
        <f>"中区福祉区民生委員児童委員協議会"</f>
        <v>中区福祉区民生委員児童委員協議会</v>
      </c>
      <c r="E3944" t="str">
        <f>"ナカク フクシク ミンセイ イイン ジドウ イイン キョウギカイ"</f>
        <v>ナカク フクシク ミンセイ イイン ジドウ イイン キョウギカイ</v>
      </c>
      <c r="F3944" t="str">
        <f>"岡山"</f>
        <v>岡山</v>
      </c>
      <c r="G3944" t="str">
        <f>"年刊"</f>
        <v>年刊</v>
      </c>
      <c r="H3944" t="str">
        <f>"2002222333726"</f>
        <v>2002222333726</v>
      </c>
      <c r="I3944" t="str">
        <f>HYPERLINK("#", "https://opac.libnet.pref.okayama.jp/licsxp-opac/WOpacMsgNewListToTifTilDetailAction.do?tilcod=2002222333726")</f>
        <v>https://opac.libnet.pref.okayama.jp/licsxp-opac/WOpacMsgNewListToTifTilDetailAction.do?tilcod=2002222333726</v>
      </c>
    </row>
    <row r="3945" spans="1:9" x14ac:dyDescent="0.4">
      <c r="A3945" t="str">
        <f>"中島医家資料研究"</f>
        <v>中島医家資料研究</v>
      </c>
      <c r="B3945" s="1" t="str">
        <f t="shared" si="202"/>
        <v>中島医家資料研究</v>
      </c>
      <c r="C3945" t="str">
        <f>"ナカシマ イカ シリョウ ケンキュウ"</f>
        <v>ナカシマ イカ シリョウ ケンキュウ</v>
      </c>
      <c r="D3945" t="str">
        <f>"中島医家資料館"</f>
        <v>中島医家資料館</v>
      </c>
      <c r="E3945" t="str">
        <f>"ナカシマ イカ シリョウカン"</f>
        <v>ナカシマ イカ シリョウカン</v>
      </c>
      <c r="F3945" t="str">
        <f>"瀬戸内"</f>
        <v>瀬戸内</v>
      </c>
      <c r="G3945" t="str">
        <f>"不定期刊"</f>
        <v>不定期刊</v>
      </c>
      <c r="H3945" t="str">
        <f>"2002222337206"</f>
        <v>2002222337206</v>
      </c>
      <c r="I3945" t="str">
        <f>HYPERLINK("#", "https://opac.libnet.pref.okayama.jp/licsxp-opac/WOpacMsgNewListToTifTilDetailAction.do?tilcod=2002222337206")</f>
        <v>https://opac.libnet.pref.okayama.jp/licsxp-opac/WOpacMsgNewListToTifTilDetailAction.do?tilcod=2002222337206</v>
      </c>
    </row>
    <row r="3946" spans="1:9" x14ac:dyDescent="0.4">
      <c r="A3946" t="str">
        <f>"長島紀要"</f>
        <v>長島紀要</v>
      </c>
      <c r="B3946" s="1" t="str">
        <f t="shared" si="202"/>
        <v>長島紀要</v>
      </c>
      <c r="C3946" t="str">
        <f>"ナガシマ　キヨウ"</f>
        <v>ナガシマ　キヨウ</v>
      </c>
      <c r="D3946" t="str">
        <f>"長島愛生園"</f>
        <v>長島愛生園</v>
      </c>
      <c r="E3946" t="str">
        <f>"ナガシマ アイセイエン"</f>
        <v>ナガシマ アイセイエン</v>
      </c>
      <c r="F3946" t="str">
        <f>""</f>
        <v/>
      </c>
      <c r="G3946" t="str">
        <f>"頻度不明"</f>
        <v>頻度不明</v>
      </c>
      <c r="H3946" t="str">
        <f>"2002222285363"</f>
        <v>2002222285363</v>
      </c>
      <c r="I3946" t="str">
        <f>HYPERLINK("#", "https://opac.libnet.pref.okayama.jp/licsxp-opac/WOpacMsgNewListToTifTilDetailAction.do?tilcod=2002222285363")</f>
        <v>https://opac.libnet.pref.okayama.jp/licsxp-opac/WOpacMsgNewListToTifTilDetailAction.do?tilcod=2002222285363</v>
      </c>
    </row>
    <row r="3947" spans="1:9" x14ac:dyDescent="0.4">
      <c r="A3947" t="str">
        <f>"中島公民館だより"</f>
        <v>中島公民館だより</v>
      </c>
      <c r="B3947" s="1" t="str">
        <f t="shared" si="202"/>
        <v>中島公民館だより</v>
      </c>
      <c r="C3947" t="str">
        <f>"ナカシマ　コウミンカン　ダヨリ"</f>
        <v>ナカシマ　コウミンカン　ダヨリ</v>
      </c>
      <c r="D3947" t="str">
        <f>"中島公民館役員会"</f>
        <v>中島公民館役員会</v>
      </c>
      <c r="E3947" t="str">
        <f>"ナカシマ　コウミンカン　ヤクインカイ"</f>
        <v>ナカシマ　コウミンカン　ヤクインカイ</v>
      </c>
      <c r="F3947" t="str">
        <f>""</f>
        <v/>
      </c>
      <c r="G3947" t="str">
        <f>"頻度不明"</f>
        <v>頻度不明</v>
      </c>
      <c r="H3947" t="str">
        <f>"2002222285373"</f>
        <v>2002222285373</v>
      </c>
      <c r="I3947" t="str">
        <f>HYPERLINK("#", "https://opac.libnet.pref.okayama.jp/licsxp-opac/WOpacMsgNewListToTifTilDetailAction.do?tilcod=2002222285373")</f>
        <v>https://opac.libnet.pref.okayama.jp/licsxp-opac/WOpacMsgNewListToTifTilDetailAction.do?tilcod=2002222285373</v>
      </c>
    </row>
    <row r="3948" spans="1:9" x14ac:dyDescent="0.4">
      <c r="A3948" t="str">
        <f>"中庄の歴史"</f>
        <v>中庄の歴史</v>
      </c>
      <c r="B3948" s="1" t="str">
        <f t="shared" si="202"/>
        <v>中庄の歴史</v>
      </c>
      <c r="C3948" t="str">
        <f>"ナカショウ　ノ　レキシ"</f>
        <v>ナカショウ　ノ　レキシ</v>
      </c>
      <c r="D3948" t="str">
        <f>"中庄の歴史を語り継ぐ会"</f>
        <v>中庄の歴史を語り継ぐ会</v>
      </c>
      <c r="E3948" t="str">
        <f>"ナカショウ ノ レキシ オ カタリツグ カイ"</f>
        <v>ナカショウ ノ レキシ オ カタリツグ カイ</v>
      </c>
      <c r="F3948" t="str">
        <f>"倉敷"</f>
        <v>倉敷</v>
      </c>
      <c r="G3948" t="str">
        <f>"頻度不明"</f>
        <v>頻度不明</v>
      </c>
      <c r="H3948" t="str">
        <f>"2002222301143"</f>
        <v>2002222301143</v>
      </c>
      <c r="I3948" t="str">
        <f>HYPERLINK("#", "https://opac.libnet.pref.okayama.jp/licsxp-opac/WOpacMsgNewListToTifTilDetailAction.do?tilcod=2002222301143")</f>
        <v>https://opac.libnet.pref.okayama.jp/licsxp-opac/WOpacMsgNewListToTifTilDetailAction.do?tilcod=2002222301143</v>
      </c>
    </row>
    <row r="3949" spans="1:9" x14ac:dyDescent="0.4">
      <c r="A3949" t="str">
        <f>"永瀬清子研究年報"</f>
        <v>永瀬清子研究年報</v>
      </c>
      <c r="B3949" s="1" t="str">
        <f t="shared" si="202"/>
        <v>永瀬清子研究年報</v>
      </c>
      <c r="C3949" t="str">
        <f>"ナガセ キヨコ ケンキュウ ネンポウ"</f>
        <v>ナガセ キヨコ ケンキュウ ネンポウ</v>
      </c>
      <c r="D3949" t="str">
        <f>"赤磐市永瀬清子の里づくり推進委員会"</f>
        <v>赤磐市永瀬清子の里づくり推進委員会</v>
      </c>
      <c r="E3949" t="str">
        <f>"アカイワシ ナガセ キヨコ ノ サトズクリ スイシン イインカイ"</f>
        <v>アカイワシ ナガセ キヨコ ノ サトズクリ スイシン イインカイ</v>
      </c>
      <c r="F3949" t="str">
        <f>"赤磐"</f>
        <v>赤磐</v>
      </c>
      <c r="G3949" t="str">
        <f>"年刊"</f>
        <v>年刊</v>
      </c>
      <c r="H3949" t="str">
        <f>"2002222320246"</f>
        <v>2002222320246</v>
      </c>
      <c r="I3949" t="str">
        <f>HYPERLINK("#", "https://opac.libnet.pref.okayama.jp/licsxp-opac/WOpacMsgNewListToTifTilDetailAction.do?tilcod=2002222320246")</f>
        <v>https://opac.libnet.pref.okayama.jp/licsxp-opac/WOpacMsgNewListToTifTilDetailAction.do?tilcod=2002222320246</v>
      </c>
    </row>
    <row r="3950" spans="1:9" x14ac:dyDescent="0.4">
      <c r="A3950" t="str">
        <f>"永瀬清子保存会ニュースレター"</f>
        <v>永瀬清子保存会ニュースレター</v>
      </c>
      <c r="B3950" s="1" t="str">
        <f t="shared" si="202"/>
        <v>永瀬清子保存会ニュースレター</v>
      </c>
      <c r="C3950" t="str">
        <f>"ナガセ キヨコ ホゾンカイ ニュースレター"</f>
        <v>ナガセ キヨコ ホゾンカイ ニュースレター</v>
      </c>
      <c r="D3950" t="str">
        <f>"永瀬清子生家保存会"</f>
        <v>永瀬清子生家保存会</v>
      </c>
      <c r="E3950" t="str">
        <f>"ナガセ キヨコ セイカ ホゾンカイ"</f>
        <v>ナガセ キヨコ セイカ ホゾンカイ</v>
      </c>
      <c r="F3950" t="str">
        <f>"赤磐"</f>
        <v>赤磐</v>
      </c>
      <c r="G3950" t="str">
        <f>"頻度不明"</f>
        <v>頻度不明</v>
      </c>
      <c r="H3950" t="str">
        <f>"2002222343891"</f>
        <v>2002222343891</v>
      </c>
      <c r="I3950" t="str">
        <f>HYPERLINK("#", "https://opac.libnet.pref.okayama.jp/licsxp-opac/WOpacMsgNewListToTifTilDetailAction.do?tilcod=2002222343891")</f>
        <v>https://opac.libnet.pref.okayama.jp/licsxp-opac/WOpacMsgNewListToTifTilDetailAction.do?tilcod=2002222343891</v>
      </c>
    </row>
    <row r="3951" spans="1:9" x14ac:dyDescent="0.4">
      <c r="A3951" t="str">
        <f>"長浜同窓会誌"</f>
        <v>長浜同窓会誌</v>
      </c>
      <c r="B3951" s="1" t="str">
        <f t="shared" si="202"/>
        <v>長浜同窓会誌</v>
      </c>
      <c r="C3951" t="str">
        <f>"ナガハマ ドウソウ カイシ"</f>
        <v>ナガハマ ドウソウ カイシ</v>
      </c>
      <c r="D3951" t="str">
        <f>"就将尋常小学校内長浜同窓会"</f>
        <v>就将尋常小学校内長浜同窓会</v>
      </c>
      <c r="E3951" t="str">
        <f>"ナガハマ ドウソウカイ"</f>
        <v>ナガハマ ドウソウカイ</v>
      </c>
      <c r="F3951" t="str">
        <f>""</f>
        <v/>
      </c>
      <c r="G3951" t="str">
        <f>"頻度不明"</f>
        <v>頻度不明</v>
      </c>
      <c r="H3951" t="str">
        <f>"2002222336809"</f>
        <v>2002222336809</v>
      </c>
      <c r="I3951" t="str">
        <f>HYPERLINK("#", "https://opac.libnet.pref.okayama.jp/licsxp-opac/WOpacMsgNewListToTifTilDetailAction.do?tilcod=2002222336809")</f>
        <v>https://opac.libnet.pref.okayama.jp/licsxp-opac/WOpacMsgNewListToTifTilDetailAction.do?tilcod=2002222336809</v>
      </c>
    </row>
    <row r="3952" spans="1:9" x14ac:dyDescent="0.4">
      <c r="A3952" t="str">
        <f>"長浜男"</f>
        <v>長浜男</v>
      </c>
      <c r="B3952" s="1" t="str">
        <f t="shared" si="202"/>
        <v>長浜男</v>
      </c>
      <c r="C3952" t="str">
        <f>"ナガハマオトコ"</f>
        <v>ナガハマオトコ</v>
      </c>
      <c r="D3952" t="str">
        <f>"長浜青年一志社"</f>
        <v>長浜青年一志社</v>
      </c>
      <c r="E3952" t="str">
        <f>"ナガハマセイネンイッシシャ"</f>
        <v>ナガハマセイネンイッシシャ</v>
      </c>
      <c r="F3952" t="str">
        <f>""</f>
        <v/>
      </c>
      <c r="G3952" t="str">
        <f>"頻度不明"</f>
        <v>頻度不明</v>
      </c>
      <c r="H3952" t="str">
        <f>"2002222285383"</f>
        <v>2002222285383</v>
      </c>
      <c r="I3952" t="str">
        <f>HYPERLINK("#", "https://opac.libnet.pref.okayama.jp/licsxp-opac/WOpacMsgNewListToTifTilDetailAction.do?tilcod=2002222285383")</f>
        <v>https://opac.libnet.pref.okayama.jp/licsxp-opac/WOpacMsgNewListToTifTilDetailAction.do?tilcod=2002222285383</v>
      </c>
    </row>
    <row r="3953" spans="1:9" x14ac:dyDescent="0.4">
      <c r="A3953" t="str">
        <f>"なかま"</f>
        <v>なかま</v>
      </c>
      <c r="B3953" s="1" t="str">
        <f t="shared" si="202"/>
        <v>なかま</v>
      </c>
      <c r="C3953" t="str">
        <f>"ナカマ"</f>
        <v>ナカマ</v>
      </c>
      <c r="D3953" t="str">
        <f>"大学通信教育岡山県学生会連合会"</f>
        <v>大学通信教育岡山県学生会連合会</v>
      </c>
      <c r="E3953" t="str">
        <f>"ダイガク ツウシン キョウイク オカヤマケン ガクセイカイ レンゴウカイ"</f>
        <v>ダイガク ツウシン キョウイク オカヤマケン ガクセイカイ レンゴウカイ</v>
      </c>
      <c r="F3953" t="str">
        <f>"[岡山]"</f>
        <v>[岡山]</v>
      </c>
      <c r="G3953" t="str">
        <f>"頻度不明"</f>
        <v>頻度不明</v>
      </c>
      <c r="H3953" t="str">
        <f>"2002222337050"</f>
        <v>2002222337050</v>
      </c>
      <c r="I3953" t="str">
        <f>HYPERLINK("#", "https://opac.libnet.pref.okayama.jp/licsxp-opac/WOpacMsgNewListToTifTilDetailAction.do?tilcod=2002222337050")</f>
        <v>https://opac.libnet.pref.okayama.jp/licsxp-opac/WOpacMsgNewListToTifTilDetailAction.do?tilcod=2002222337050</v>
      </c>
    </row>
    <row r="3954" spans="1:9" x14ac:dyDescent="0.4">
      <c r="A3954" t="str">
        <f>"仲間のいぶき"</f>
        <v>仲間のいぶき</v>
      </c>
      <c r="B3954" s="1" t="str">
        <f t="shared" si="202"/>
        <v>仲間のいぶき</v>
      </c>
      <c r="C3954" t="str">
        <f>"ナカマ ノ イブキ"</f>
        <v>ナカマ ノ イブキ</v>
      </c>
      <c r="D3954" t="str">
        <f>"岡山県高校生社会問題研究連絡協議会"</f>
        <v>岡山県高校生社会問題研究連絡協議会</v>
      </c>
      <c r="E3954" t="str">
        <f>"オカヤマケン コウコウセイ シャカイ モンダイ　ケンキュウ　レンラク　キョウギカイ"</f>
        <v>オカヤマケン コウコウセイ シャカイ モンダイ　ケンキュウ　レンラク　キョウギカイ</v>
      </c>
      <c r="F3954" t="str">
        <f>"〔出版地不明〕"</f>
        <v>〔出版地不明〕</v>
      </c>
      <c r="G3954" t="str">
        <f>"年刊"</f>
        <v>年刊</v>
      </c>
      <c r="H3954" t="str">
        <f>"2002222285393"</f>
        <v>2002222285393</v>
      </c>
      <c r="I3954" t="str">
        <f>HYPERLINK("#", "https://opac.libnet.pref.okayama.jp/licsxp-opac/WOpacMsgNewListToTifTilDetailAction.do?tilcod=2002222285393")</f>
        <v>https://opac.libnet.pref.okayama.jp/licsxp-opac/WOpacMsgNewListToTifTilDetailAction.do?tilcod=2002222285393</v>
      </c>
    </row>
    <row r="3955" spans="1:9" x14ac:dyDescent="0.4">
      <c r="A3955" t="str">
        <f>"奈義山歩"</f>
        <v>奈義山歩</v>
      </c>
      <c r="B3955" s="1" t="str">
        <f t="shared" si="202"/>
        <v>奈義山歩</v>
      </c>
      <c r="C3955" t="str">
        <f>"ナギ サンポ"</f>
        <v>ナギ サンポ</v>
      </c>
      <c r="D3955" t="str">
        <f>"奈義町地域おこし協力隊"</f>
        <v>奈義町地域おこし協力隊</v>
      </c>
      <c r="E3955" t="str">
        <f>"ナギチョウ チイキ オコシ キョウリョクタイ"</f>
        <v>ナギチョウ チイキ オコシ キョウリョクタイ</v>
      </c>
      <c r="F3955" t="str">
        <f>"奈義町"</f>
        <v>奈義町</v>
      </c>
      <c r="G3955" t="str">
        <f>"季刊"</f>
        <v>季刊</v>
      </c>
      <c r="H3955" t="str">
        <f>"2002222326028"</f>
        <v>2002222326028</v>
      </c>
      <c r="I3955" t="str">
        <f>HYPERLINK("#", "https://opac.libnet.pref.okayama.jp/licsxp-opac/WOpacMsgNewListToTifTilDetailAction.do?tilcod=2002222326028")</f>
        <v>https://opac.libnet.pref.okayama.jp/licsxp-opac/WOpacMsgNewListToTifTilDetailAction.do?tilcod=2002222326028</v>
      </c>
    </row>
    <row r="3956" spans="1:9" x14ac:dyDescent="0.4">
      <c r="A3956" t="str">
        <f>"なぎ社協だより"</f>
        <v>なぎ社協だより</v>
      </c>
      <c r="B3956" s="1" t="str">
        <f t="shared" si="202"/>
        <v>なぎ社協だより</v>
      </c>
      <c r="C3956" t="str">
        <f>"ナギ　シャキョウ　ダヨリ"</f>
        <v>ナギ　シャキョウ　ダヨリ</v>
      </c>
      <c r="D3956" t="str">
        <f>"奈義町社会福祉協議会"</f>
        <v>奈義町社会福祉協議会</v>
      </c>
      <c r="E3956" t="str">
        <f>"ナギチョウシャカイフクシキョウギカイ"</f>
        <v>ナギチョウシャカイフクシキョウギカイ</v>
      </c>
      <c r="F3956" t="str">
        <f>"奈義"</f>
        <v>奈義</v>
      </c>
      <c r="G3956" t="str">
        <f>"その他"</f>
        <v>その他</v>
      </c>
      <c r="H3956" t="str">
        <f>"2002222293661"</f>
        <v>2002222293661</v>
      </c>
      <c r="I3956" t="str">
        <f>HYPERLINK("#", "https://opac.libnet.pref.okayama.jp/licsxp-opac/WOpacMsgNewListToTifTilDetailAction.do?tilcod=2002222293661")</f>
        <v>https://opac.libnet.pref.okayama.jp/licsxp-opac/WOpacMsgNewListToTifTilDetailAction.do?tilcod=2002222293661</v>
      </c>
    </row>
    <row r="3957" spans="1:9" x14ac:dyDescent="0.4">
      <c r="A3957" t="str">
        <f>"汀（なぎさ）"</f>
        <v>汀（なぎさ）</v>
      </c>
      <c r="B3957" s="1" t="str">
        <f t="shared" si="202"/>
        <v>汀（なぎさ）</v>
      </c>
      <c r="C3957" t="str">
        <f>"ナギサ"</f>
        <v>ナギサ</v>
      </c>
      <c r="D3957" t="str">
        <f>"なぎさ会本部"</f>
        <v>なぎさ会本部</v>
      </c>
      <c r="E3957" t="str">
        <f>"ナギサカイホンブ"</f>
        <v>ナギサカイホンブ</v>
      </c>
      <c r="F3957" t="str">
        <f>""</f>
        <v/>
      </c>
      <c r="G3957" t="str">
        <f>"頻度不明"</f>
        <v>頻度不明</v>
      </c>
      <c r="H3957" t="str">
        <f>"2002222285403"</f>
        <v>2002222285403</v>
      </c>
      <c r="I3957" t="str">
        <f>HYPERLINK("#", "https://opac.libnet.pref.okayama.jp/licsxp-opac/WOpacMsgNewListToTifTilDetailAction.do?tilcod=2002222285403")</f>
        <v>https://opac.libnet.pref.okayama.jp/licsxp-opac/WOpacMsgNewListToTifTilDetailAction.do?tilcod=2002222285403</v>
      </c>
    </row>
    <row r="3958" spans="1:9" x14ac:dyDescent="0.4">
      <c r="A3958" t="str">
        <f>"奈義町議会だより"</f>
        <v>奈義町議会だより</v>
      </c>
      <c r="B3958" s="1" t="str">
        <f t="shared" si="202"/>
        <v>奈義町議会だより</v>
      </c>
      <c r="C3958" t="str">
        <f>"ナギチョウ　ギカイ　ダヨリ"</f>
        <v>ナギチョウ　ギカイ　ダヨリ</v>
      </c>
      <c r="D3958" t="str">
        <f>"奈義町議会"</f>
        <v>奈義町議会</v>
      </c>
      <c r="E3958" t="str">
        <f>"ナギチョウギカイ"</f>
        <v>ナギチョウギカイ</v>
      </c>
      <c r="F3958" t="str">
        <f>"奈義町"</f>
        <v>奈義町</v>
      </c>
      <c r="G3958" t="str">
        <f>"頻度不明"</f>
        <v>頻度不明</v>
      </c>
      <c r="H3958" t="str">
        <f>"2002222280861"</f>
        <v>2002222280861</v>
      </c>
      <c r="I3958" t="str">
        <f>HYPERLINK("#", "https://opac.libnet.pref.okayama.jp/licsxp-opac/WOpacMsgNewListToTifTilDetailAction.do?tilcod=2002222280861")</f>
        <v>https://opac.libnet.pref.okayama.jp/licsxp-opac/WOpacMsgNewListToTifTilDetailAction.do?tilcod=2002222280861</v>
      </c>
    </row>
    <row r="3959" spans="1:9" x14ac:dyDescent="0.4">
      <c r="A3959" t="str">
        <f>"奈義町現代美術館ニュース"</f>
        <v>奈義町現代美術館ニュース</v>
      </c>
      <c r="B3959" s="1" t="str">
        <f t="shared" si="202"/>
        <v>奈義町現代美術館ニュース</v>
      </c>
      <c r="C3959" t="str">
        <f>"ナギチョウ ゲンダイ ビジュツカン ニュース"</f>
        <v>ナギチョウ ゲンダイ ビジュツカン ニュース</v>
      </c>
      <c r="D3959" t="str">
        <f>"奈義町現代美術館"</f>
        <v>奈義町現代美術館</v>
      </c>
      <c r="E3959" t="str">
        <f>"ナギチョウ ゲンダイ ビジュツカン"</f>
        <v>ナギチョウ ゲンダイ ビジュツカン</v>
      </c>
      <c r="F3959" t="str">
        <f>"奈義町(勝田郡)"</f>
        <v>奈義町(勝田郡)</v>
      </c>
      <c r="G3959" t="str">
        <f>"年刊"</f>
        <v>年刊</v>
      </c>
      <c r="H3959" t="str">
        <f>"2002222281161"</f>
        <v>2002222281161</v>
      </c>
      <c r="I3959" t="str">
        <f>HYPERLINK("#", "https://opac.libnet.pref.okayama.jp/licsxp-opac/WOpacMsgNewListToTifTilDetailAction.do?tilcod=2002222281161")</f>
        <v>https://opac.libnet.pref.okayama.jp/licsxp-opac/WOpacMsgNewListToTifTilDetailAction.do?tilcod=2002222281161</v>
      </c>
    </row>
    <row r="3960" spans="1:9" x14ac:dyDescent="0.4">
      <c r="A3960" t="str">
        <f>"〔奈義町〕生涯学習情報誌まなび"</f>
        <v>〔奈義町〕生涯学習情報誌まなび</v>
      </c>
      <c r="B3960" s="1" t="str">
        <f t="shared" si="202"/>
        <v>〔奈義町〕生涯学習情報誌まなび</v>
      </c>
      <c r="C3960" t="str">
        <f>"ナギチョウ　ショウガイ　ガクシュウ　ジョウホウシ＊マナビ"</f>
        <v>ナギチョウ　ショウガイ　ガクシュウ　ジョウホウシ＊マナビ</v>
      </c>
      <c r="D3960" t="str">
        <f>"奈義町生涯教育推進本部"</f>
        <v>奈義町生涯教育推進本部</v>
      </c>
      <c r="E3960" t="str">
        <f>"ナギチョウショウガイキョウイクスイシンホンブ"</f>
        <v>ナギチョウショウガイキョウイクスイシンホンブ</v>
      </c>
      <c r="F3960" t="str">
        <f>"奈義町（勝田郡）"</f>
        <v>奈義町（勝田郡）</v>
      </c>
      <c r="G3960" t="str">
        <f>"頻度不明"</f>
        <v>頻度不明</v>
      </c>
      <c r="H3960" t="str">
        <f>"2002222281171"</f>
        <v>2002222281171</v>
      </c>
      <c r="I3960" t="str">
        <f>HYPERLINK("#", "https://opac.libnet.pref.okayama.jp/licsxp-opac/WOpacMsgNewListToTifTilDetailAction.do?tilcod=2002222281171")</f>
        <v>https://opac.libnet.pref.okayama.jp/licsxp-opac/WOpacMsgNewListToTifTilDetailAction.do?tilcod=2002222281171</v>
      </c>
    </row>
    <row r="3961" spans="1:9" x14ac:dyDescent="0.4">
      <c r="A3961" t="str">
        <f>"nagomi(なごみ) ; JA-Okayamanishi free paper"</f>
        <v>nagomi(なごみ) ; JA-Okayamanishi free paper</v>
      </c>
      <c r="B3961" s="1" t="str">
        <f t="shared" si="202"/>
        <v>nagomi(なごみ) ; JA-Okayamanishi free paper</v>
      </c>
      <c r="C3961" t="str">
        <f>"ナゴミ ジェーエー オカヤマ ニシ フリーペーパー"</f>
        <v>ナゴミ ジェーエー オカヤマ ニシ フリーペーパー</v>
      </c>
      <c r="D3961" t="str">
        <f>"岡山西農業協同組合"</f>
        <v>岡山西農業協同組合</v>
      </c>
      <c r="E3961" t="str">
        <f>"オカヤマ ニシノウギョウキョウドウクミアイ"</f>
        <v>オカヤマ ニシノウギョウキョウドウクミアイ</v>
      </c>
      <c r="F3961" t="str">
        <f>"倉敷"</f>
        <v>倉敷</v>
      </c>
      <c r="G3961" t="str">
        <f>"年刊"</f>
        <v>年刊</v>
      </c>
      <c r="H3961" t="str">
        <f>"2002222332111"</f>
        <v>2002222332111</v>
      </c>
      <c r="I3961" t="str">
        <f>HYPERLINK("#", "https://opac.libnet.pref.okayama.jp/licsxp-opac/WOpacMsgNewListToTifTilDetailAction.do?tilcod=2002222332111")</f>
        <v>https://opac.libnet.pref.okayama.jp/licsxp-opac/WOpacMsgNewListToTifTilDetailAction.do?tilcod=2002222332111</v>
      </c>
    </row>
    <row r="3962" spans="1:9" x14ac:dyDescent="0.4">
      <c r="A3962" t="str">
        <f>"名古屋市中央卸売市場を中心とした農水産物流通情報"</f>
        <v>名古屋市中央卸売市場を中心とした農水産物流通情報</v>
      </c>
      <c r="B3962" s="1" t="str">
        <f t="shared" si="202"/>
        <v>名古屋市中央卸売市場を中心とした農水産物流通情報</v>
      </c>
      <c r="C3962" t="str">
        <f>"ナゴヤシ　チュウオウ　オロシウリ　イチバ　オ　チュウシント　シタ　ノウスイサンブツ　リュウツウ　ジョウホウ"</f>
        <v>ナゴヤシ　チュウオウ　オロシウリ　イチバ　オ　チュウシント　シタ　ノウスイサンブツ　リュウツウ　ジョウホウ</v>
      </c>
      <c r="D3962" t="str">
        <f>"岡山県名古屋事務所"</f>
        <v>岡山県名古屋事務所</v>
      </c>
      <c r="E3962" t="str">
        <f>"オカヤマケンナゴヤジムショ"</f>
        <v>オカヤマケンナゴヤジムショ</v>
      </c>
      <c r="F3962" t="str">
        <f>""</f>
        <v/>
      </c>
      <c r="G3962" t="str">
        <f>"頻度不明"</f>
        <v>頻度不明</v>
      </c>
      <c r="H3962" t="str">
        <f>"2002222285833"</f>
        <v>2002222285833</v>
      </c>
      <c r="I3962" t="str">
        <f>HYPERLINK("#", "https://opac.libnet.pref.okayama.jp/licsxp-opac/WOpacMsgNewListToTifTilDetailAction.do?tilcod=2002222285833")</f>
        <v>https://opac.libnet.pref.okayama.jp/licsxp-opac/WOpacMsgNewListToTifTilDetailAction.do?tilcod=2002222285833</v>
      </c>
    </row>
    <row r="3963" spans="1:9" x14ac:dyDescent="0.4">
      <c r="A3963" t="str">
        <f>"灘の響"</f>
        <v>灘の響</v>
      </c>
      <c r="B3963" s="1" t="str">
        <f t="shared" si="202"/>
        <v>灘の響</v>
      </c>
      <c r="C3963" t="str">
        <f>"ナダ　ノ　ヒビキ"</f>
        <v>ナダ　ノ　ヒビキ</v>
      </c>
      <c r="D3963" t="str">
        <f>"灘崎尋常高等小学校"</f>
        <v>灘崎尋常高等小学校</v>
      </c>
      <c r="E3963" t="str">
        <f>"ナダサキジンジョウコウトウショウガッコウ"</f>
        <v>ナダサキジンジョウコウトウショウガッコウ</v>
      </c>
      <c r="F3963" t="str">
        <f>""</f>
        <v/>
      </c>
      <c r="G3963" t="str">
        <f>"頻度不明"</f>
        <v>頻度不明</v>
      </c>
      <c r="H3963" t="str">
        <f>"2002222285423"</f>
        <v>2002222285423</v>
      </c>
      <c r="I3963" t="str">
        <f>HYPERLINK("#", "https://opac.libnet.pref.okayama.jp/licsxp-opac/WOpacMsgNewListToTifTilDetailAction.do?tilcod=2002222285423")</f>
        <v>https://opac.libnet.pref.okayama.jp/licsxp-opac/WOpacMsgNewListToTifTilDetailAction.do?tilcod=2002222285423</v>
      </c>
    </row>
    <row r="3964" spans="1:9" x14ac:dyDescent="0.4">
      <c r="A3964" t="str">
        <f>"灘崎を知る会々報"</f>
        <v>灘崎を知る会々報</v>
      </c>
      <c r="B3964" s="1" t="str">
        <f t="shared" si="202"/>
        <v>灘崎を知る会々報</v>
      </c>
      <c r="C3964" t="str">
        <f>"ナダサキ オ シル カイ カイホウ"</f>
        <v>ナダサキ オ シル カイ カイホウ</v>
      </c>
      <c r="D3964" t="str">
        <f>"灘崎を知る会"</f>
        <v>灘崎を知る会</v>
      </c>
      <c r="E3964" t="str">
        <f>"ナダサキ オ シル カイ"</f>
        <v>ナダサキ オ シル カイ</v>
      </c>
      <c r="F3964" t="str">
        <f>""</f>
        <v/>
      </c>
      <c r="G3964" t="str">
        <f>"頻度不明"</f>
        <v>頻度不明</v>
      </c>
      <c r="H3964" t="str">
        <f>"2002222285413"</f>
        <v>2002222285413</v>
      </c>
      <c r="I3964" t="str">
        <f>HYPERLINK("#", "https://opac.libnet.pref.okayama.jp/licsxp-opac/WOpacMsgNewListToTifTilDetailAction.do?tilcod=2002222285413")</f>
        <v>https://opac.libnet.pref.okayama.jp/licsxp-opac/WOpacMsgNewListToTifTilDetailAction.do?tilcod=2002222285413</v>
      </c>
    </row>
    <row r="3965" spans="1:9" x14ac:dyDescent="0.4">
      <c r="A3965" t="str">
        <f>"なださき ; 灘崎公民館だより"</f>
        <v>なださき ; 灘崎公民館だより</v>
      </c>
      <c r="B3965" s="1" t="str">
        <f t="shared" si="202"/>
        <v>なださき ; 灘崎公民館だより</v>
      </c>
      <c r="C3965" t="str">
        <f>"ナダサキ コウミンカン ダヨリ"</f>
        <v>ナダサキ コウミンカン ダヨリ</v>
      </c>
      <c r="D3965" t="str">
        <f>"岡山市立灘崎公民館"</f>
        <v>岡山市立灘崎公民館</v>
      </c>
      <c r="E3965" t="str">
        <f>"オカヤマシリツ ナダサキ コウミンカン"</f>
        <v>オカヤマシリツ ナダサキ コウミンカン</v>
      </c>
      <c r="F3965" t="str">
        <f>"岡山"</f>
        <v>岡山</v>
      </c>
      <c r="G3965" t="str">
        <f>"月刊"</f>
        <v>月刊</v>
      </c>
      <c r="H3965" t="str">
        <f>"2002222332768"</f>
        <v>2002222332768</v>
      </c>
      <c r="I3965" t="str">
        <f>HYPERLINK("#", "https://opac.libnet.pref.okayama.jp/licsxp-opac/WOpacMsgNewListToTifTilDetailAction.do?tilcod=2002222332768")</f>
        <v>https://opac.libnet.pref.okayama.jp/licsxp-opac/WOpacMsgNewListToTifTilDetailAction.do?tilcod=2002222332768</v>
      </c>
    </row>
    <row r="3966" spans="1:9" x14ac:dyDescent="0.4">
      <c r="A3966" t="str">
        <f>"なださき子どもセンターＮＥＷＳ"</f>
        <v>なださき子どもセンターＮＥＷＳ</v>
      </c>
      <c r="B3966" s="1" t="str">
        <f t="shared" si="202"/>
        <v>なださき子どもセンターＮＥＷＳ</v>
      </c>
      <c r="C3966" t="str">
        <f>"ナダサキ　コドモ　センター　ニュース"</f>
        <v>ナダサキ　コドモ　センター　ニュース</v>
      </c>
      <c r="D3966" t="str">
        <f>"なざさき子どもセンター"</f>
        <v>なざさき子どもセンター</v>
      </c>
      <c r="E3966" t="str">
        <f>"ナダサキコドモセンター"</f>
        <v>ナダサキコドモセンター</v>
      </c>
      <c r="F3966" t="str">
        <f>"灘崎町（児島郡）"</f>
        <v>灘崎町（児島郡）</v>
      </c>
      <c r="G3966" t="str">
        <f>"その他"</f>
        <v>その他</v>
      </c>
      <c r="H3966" t="str">
        <f>"2002222280321"</f>
        <v>2002222280321</v>
      </c>
      <c r="I3966" t="str">
        <f>HYPERLINK("#", "https://opac.libnet.pref.okayama.jp/licsxp-opac/WOpacMsgNewListToTifTilDetailAction.do?tilcod=2002222280321")</f>
        <v>https://opac.libnet.pref.okayama.jp/licsxp-opac/WOpacMsgNewListToTifTilDetailAction.do?tilcod=2002222280321</v>
      </c>
    </row>
    <row r="3967" spans="1:9" x14ac:dyDescent="0.4">
      <c r="A3967" t="str">
        <f>"灘崎町立灘崎小学校学校要覧"</f>
        <v>灘崎町立灘崎小学校学校要覧</v>
      </c>
      <c r="B3967" s="1" t="str">
        <f t="shared" si="202"/>
        <v>灘崎町立灘崎小学校学校要覧</v>
      </c>
      <c r="C3967" t="str">
        <f>"ナダサキチョウリツ ナダサキ ショウガッコウ ガッコウ ヨウラン"</f>
        <v>ナダサキチョウリツ ナダサキ ショウガッコウ ガッコウ ヨウラン</v>
      </c>
      <c r="D3967" t="str">
        <f>"灘崎町立灘崎小学校"</f>
        <v>灘崎町立灘崎小学校</v>
      </c>
      <c r="E3967" t="str">
        <f>"ナダサキチョウリツ ナダサキ ショウガッコウ"</f>
        <v>ナダサキチョウリツ ナダサキ ショウガッコウ</v>
      </c>
      <c r="F3967" t="str">
        <f>"灘崎町(児島郡)"</f>
        <v>灘崎町(児島郡)</v>
      </c>
      <c r="G3967" t="str">
        <f>"頻度不明"</f>
        <v>頻度不明</v>
      </c>
      <c r="H3967" t="str">
        <f>"2002222320491"</f>
        <v>2002222320491</v>
      </c>
      <c r="I3967" t="str">
        <f>HYPERLINK("#", "https://opac.libnet.pref.okayama.jp/licsxp-opac/WOpacMsgNewListToTifTilDetailAction.do?tilcod=2002222320491")</f>
        <v>https://opac.libnet.pref.okayama.jp/licsxp-opac/WOpacMsgNewListToTifTilDetailAction.do?tilcod=2002222320491</v>
      </c>
    </row>
    <row r="3968" spans="1:9" x14ac:dyDescent="0.4">
      <c r="A3968" t="str">
        <f>"灘崎町立灘崎中学校学校要覧"</f>
        <v>灘崎町立灘崎中学校学校要覧</v>
      </c>
      <c r="B3968" s="1" t="str">
        <f t="shared" si="202"/>
        <v>灘崎町立灘崎中学校学校要覧</v>
      </c>
      <c r="C3968" t="str">
        <f>"ナダサキチョウリツ ナダサキ チュウガッコウ ガッコウ ヨウラン"</f>
        <v>ナダサキチョウリツ ナダサキ チュウガッコウ ガッコウ ヨウラン</v>
      </c>
      <c r="D3968" t="str">
        <f>"灘崎町立灘崎中学校"</f>
        <v>灘崎町立灘崎中学校</v>
      </c>
      <c r="E3968" t="str">
        <f>"ナダサキチョウリツナダサキチュウガッコウ"</f>
        <v>ナダサキチョウリツナダサキチュウガッコウ</v>
      </c>
      <c r="F3968" t="str">
        <f>"灘崎町(児島郡)"</f>
        <v>灘崎町(児島郡)</v>
      </c>
      <c r="G3968" t="str">
        <f>"頻度不明"</f>
        <v>頻度不明</v>
      </c>
      <c r="H3968" t="str">
        <f>"2002222320490"</f>
        <v>2002222320490</v>
      </c>
      <c r="I3968" t="str">
        <f>HYPERLINK("#", "https://opac.libnet.pref.okayama.jp/licsxp-opac/WOpacMsgNewListToTifTilDetailAction.do?tilcod=2002222320490")</f>
        <v>https://opac.libnet.pref.okayama.jp/licsxp-opac/WOpacMsgNewListToTifTilDetailAction.do?tilcod=2002222320490</v>
      </c>
    </row>
    <row r="3969" spans="1:9" x14ac:dyDescent="0.4">
      <c r="A3969" t="str">
        <f>"灘崎町立七区小学校学校要覧"</f>
        <v>灘崎町立七区小学校学校要覧</v>
      </c>
      <c r="B3969" s="1" t="str">
        <f t="shared" si="202"/>
        <v>灘崎町立七区小学校学校要覧</v>
      </c>
      <c r="C3969" t="str">
        <f>"ナダサキチョウリツ ナナク ショウガッコウ ガッコウ ヨウラン"</f>
        <v>ナダサキチョウリツ ナナク ショウガッコウ ガッコウ ヨウラン</v>
      </c>
      <c r="D3969" t="str">
        <f>"灘崎町立七区小学校"</f>
        <v>灘崎町立七区小学校</v>
      </c>
      <c r="E3969" t="str">
        <f>"ナダサキチョウリツ ナナク ショウガッコウ"</f>
        <v>ナダサキチョウリツ ナナク ショウガッコウ</v>
      </c>
      <c r="F3969" t="str">
        <f>"灘崎町(児島郡)"</f>
        <v>灘崎町(児島郡)</v>
      </c>
      <c r="G3969" t="str">
        <f>"頻度不明"</f>
        <v>頻度不明</v>
      </c>
      <c r="H3969" t="str">
        <f>"2002222320492"</f>
        <v>2002222320492</v>
      </c>
      <c r="I3969" t="str">
        <f>HYPERLINK("#", "https://opac.libnet.pref.okayama.jp/licsxp-opac/WOpacMsgNewListToTifTilDetailAction.do?tilcod=2002222320492")</f>
        <v>https://opac.libnet.pref.okayama.jp/licsxp-opac/WOpacMsgNewListToTifTilDetailAction.do?tilcod=2002222320492</v>
      </c>
    </row>
    <row r="3970" spans="1:9" x14ac:dyDescent="0.4">
      <c r="A3970" t="str">
        <f>"灘崎町立彦崎小学校学校要覧"</f>
        <v>灘崎町立彦崎小学校学校要覧</v>
      </c>
      <c r="B3970" s="1" t="str">
        <f t="shared" si="202"/>
        <v>灘崎町立彦崎小学校学校要覧</v>
      </c>
      <c r="C3970" t="str">
        <f>"ナダサキチョウリツ ヒコサキ ショウガッコウ ガッコウ ヨウラン"</f>
        <v>ナダサキチョウリツ ヒコサキ ショウガッコウ ガッコウ ヨウラン</v>
      </c>
      <c r="D3970" t="str">
        <f>"灘崎町立彦崎小学校"</f>
        <v>灘崎町立彦崎小学校</v>
      </c>
      <c r="E3970" t="str">
        <f>"ナダサキチョウリツ ヒコサキ ショウガッコウ"</f>
        <v>ナダサキチョウリツ ヒコサキ ショウガッコウ</v>
      </c>
      <c r="F3970" t="str">
        <f>"灘崎町(児島郡)"</f>
        <v>灘崎町(児島郡)</v>
      </c>
      <c r="G3970" t="str">
        <f>"頻度不明"</f>
        <v>頻度不明</v>
      </c>
      <c r="H3970" t="str">
        <f>"2002222320493"</f>
        <v>2002222320493</v>
      </c>
      <c r="I3970" t="str">
        <f>HYPERLINK("#", "https://opac.libnet.pref.okayama.jp/licsxp-opac/WOpacMsgNewListToTifTilDetailAction.do?tilcod=2002222320493")</f>
        <v>https://opac.libnet.pref.okayama.jp/licsxp-opac/WOpacMsgNewListToTifTilDetailAction.do?tilcod=2002222320493</v>
      </c>
    </row>
    <row r="3971" spans="1:9" x14ac:dyDescent="0.4">
      <c r="A3971" t="str">
        <f>"ＮＵＴＳ（ナッツ）；Ｏｋａｙａｍａ　Ｕｎｉｖｅｒｓｉｔｙ　Ｃａｍｐｕｓ　Ｍａｇａｚｉｎｅ"</f>
        <v>ＮＵＴＳ（ナッツ）；Ｏｋａｙａｍａ　Ｕｎｉｖｅｒｓｉｔｙ　Ｃａｍｐｕｓ　Ｍａｇａｚｉｎｅ</v>
      </c>
      <c r="B3971" s="1" t="str">
        <f t="shared" si="202"/>
        <v>ＮＵＴＳ（ナッツ）；Ｏｋａｙａｍａ　Ｕｎｉｖｅｒｓｉｔｙ　Ｃａｍｐｕｓ　Ｍａｇａｚｉｎｅ</v>
      </c>
      <c r="C3971" t="str">
        <f>"ナッツ＊オカヤマ　ユニバーシティ　キャンパス　マガジン"</f>
        <v>ナッツ＊オカヤマ　ユニバーシティ　キャンパス　マガジン</v>
      </c>
      <c r="D3971" t="str">
        <f>"岡山大学キャンパスマガジンＮＵＴＳ編集部"</f>
        <v>岡山大学キャンパスマガジンＮＵＴＳ編集部</v>
      </c>
      <c r="E3971" t="str">
        <f>"オカヤマダイガクキャンパスマガジンナッツヘンシュウブ"</f>
        <v>オカヤマダイガクキャンパスマガジンナッツヘンシュウブ</v>
      </c>
      <c r="F3971" t="str">
        <f>"岡山"</f>
        <v>岡山</v>
      </c>
      <c r="G3971" t="str">
        <f>"季刊"</f>
        <v>季刊</v>
      </c>
      <c r="H3971" t="str">
        <f>"2002222301427"</f>
        <v>2002222301427</v>
      </c>
      <c r="I3971" t="str">
        <f>HYPERLINK("#", "https://opac.libnet.pref.okayama.jp/licsxp-opac/WOpacMsgNewListToTifTilDetailAction.do?tilcod=2002222301427")</f>
        <v>https://opac.libnet.pref.okayama.jp/licsxp-opac/WOpacMsgNewListToTifTilDetailAction.do?tilcod=2002222301427</v>
      </c>
    </row>
    <row r="3972" spans="1:9" x14ac:dyDescent="0.4">
      <c r="A3972" t="str">
        <f>"なでしこ"</f>
        <v>なでしこ</v>
      </c>
      <c r="B3972" s="1" t="str">
        <f t="shared" ref="B3972:B4035" si="204">HYPERLINK("#", A3972)</f>
        <v>なでしこ</v>
      </c>
      <c r="C3972" t="str">
        <f>"ナデシコ"</f>
        <v>ナデシコ</v>
      </c>
      <c r="D3972" t="str">
        <f>"就実女子大学日本文学会"</f>
        <v>就実女子大学日本文学会</v>
      </c>
      <c r="E3972" t="str">
        <f>"シュウジツジョシダイガクニホンブンガクカイ"</f>
        <v>シュウジツジョシダイガクニホンブンガクカイ</v>
      </c>
      <c r="F3972" t="str">
        <f>"岡山"</f>
        <v>岡山</v>
      </c>
      <c r="G3972" t="str">
        <f>"年２回刊"</f>
        <v>年２回刊</v>
      </c>
      <c r="H3972" t="str">
        <f>"2002222280011"</f>
        <v>2002222280011</v>
      </c>
      <c r="I3972" t="str">
        <f>HYPERLINK("#", "https://opac.libnet.pref.okayama.jp/licsxp-opac/WOpacMsgNewListToTifTilDetailAction.do?tilcod=2002222280011")</f>
        <v>https://opac.libnet.pref.okayama.jp/licsxp-opac/WOpacMsgNewListToTifTilDetailAction.do?tilcod=2002222280011</v>
      </c>
    </row>
    <row r="3973" spans="1:9" x14ac:dyDescent="0.4">
      <c r="A3973" t="str">
        <f>"撫子"</f>
        <v>撫子</v>
      </c>
      <c r="B3973" s="1" t="str">
        <f t="shared" si="204"/>
        <v>撫子</v>
      </c>
      <c r="C3973" t="str">
        <f>"ナデシコ"</f>
        <v>ナデシコ</v>
      </c>
      <c r="D3973" t="str">
        <f>"岡山県津山高等女学校校友会"</f>
        <v>岡山県津山高等女学校校友会</v>
      </c>
      <c r="E3973" t="str">
        <f>"オカヤマケン ツヤマ コウトウ ジョガッコウ コウユウカイ"</f>
        <v>オカヤマケン ツヤマ コウトウ ジョガッコウ コウユウカイ</v>
      </c>
      <c r="F3973" t="str">
        <f>"津山"</f>
        <v>津山</v>
      </c>
      <c r="G3973" t="str">
        <f>"頻度不明"</f>
        <v>頻度不明</v>
      </c>
      <c r="H3973" t="str">
        <f>"2002222341130"</f>
        <v>2002222341130</v>
      </c>
      <c r="I3973" t="str">
        <f>HYPERLINK("#", "https://opac.libnet.pref.okayama.jp/licsxp-opac/WOpacMsgNewListToTifTilDetailAction.do?tilcod=2002222341130")</f>
        <v>https://opac.libnet.pref.okayama.jp/licsxp-opac/WOpacMsgNewListToTifTilDetailAction.do?tilcod=2002222341130</v>
      </c>
    </row>
    <row r="3974" spans="1:9" x14ac:dyDescent="0.4">
      <c r="A3974" t="str">
        <f>"なでしこ"</f>
        <v>なでしこ</v>
      </c>
      <c r="B3974" s="1" t="str">
        <f t="shared" si="204"/>
        <v>なでしこ</v>
      </c>
      <c r="C3974" t="str">
        <f>"ナデシコ"</f>
        <v>ナデシコ</v>
      </c>
      <c r="D3974" t="str">
        <f>"[鴨方東尋常高等小学校]女子校友会"</f>
        <v>[鴨方東尋常高等小学校]女子校友会</v>
      </c>
      <c r="E3974" t="str">
        <f>"カモガタ ヒガシ ジンジョウ コウトウ ショウガッコウ"</f>
        <v>カモガタ ヒガシ ジンジョウ コウトウ ショウガッコウ</v>
      </c>
      <c r="F3974" t="str">
        <f>"浅口郡"</f>
        <v>浅口郡</v>
      </c>
      <c r="G3974" t="str">
        <f>"頻度不明"</f>
        <v>頻度不明</v>
      </c>
      <c r="H3974" t="str">
        <f>"2002222334827"</f>
        <v>2002222334827</v>
      </c>
      <c r="I3974" t="str">
        <f>HYPERLINK("#", "https://opac.libnet.pref.okayama.jp/licsxp-opac/WOpacMsgNewListToTifTilDetailAction.do?tilcod=2002222334827")</f>
        <v>https://opac.libnet.pref.okayama.jp/licsxp-opac/WOpacMsgNewListToTifTilDetailAction.do?tilcod=2002222334827</v>
      </c>
    </row>
    <row r="3975" spans="1:9" x14ac:dyDescent="0.4">
      <c r="A3975" t="str">
        <f>"なでしこアラムネ；ノートルダム清心学園同窓会新聞"</f>
        <v>なでしこアラムネ；ノートルダム清心学園同窓会新聞</v>
      </c>
      <c r="B3975" s="1" t="str">
        <f t="shared" si="204"/>
        <v>なでしこアラムネ；ノートルダム清心学園同窓会新聞</v>
      </c>
      <c r="C3975" t="str">
        <f>"ナデシコ　アラムネ＊ノートルダム　セイシン　ガクエン　ドウソウカイ　シンブン"</f>
        <v>ナデシコ　アラムネ＊ノートルダム　セイシン　ガクエン　ドウソウカイ　シンブン</v>
      </c>
      <c r="D3975" t="str">
        <f>"清心女子高等学校・清心中学校・なでしこ同窓会本部"</f>
        <v>清心女子高等学校・清心中学校・なでしこ同窓会本部</v>
      </c>
      <c r="E3975" t="str">
        <f>"セイシンジョシコウトウガッコウセイシンチュウガッコウナデシコドウソウカイホンブ"</f>
        <v>セイシンジョシコウトウガッコウセイシンチュウガッコウナデシコドウソウカイホンブ</v>
      </c>
      <c r="F3975" t="str">
        <f>"倉敷"</f>
        <v>倉敷</v>
      </c>
      <c r="G3975" t="str">
        <f>"頻度不明"</f>
        <v>頻度不明</v>
      </c>
      <c r="H3975" t="str">
        <f>"2002222302478"</f>
        <v>2002222302478</v>
      </c>
      <c r="I3975" t="str">
        <f>HYPERLINK("#", "https://opac.libnet.pref.okayama.jp/licsxp-opac/WOpacMsgNewListToTifTilDetailAction.do?tilcod=2002222302478")</f>
        <v>https://opac.libnet.pref.okayama.jp/licsxp-opac/WOpacMsgNewListToTifTilDetailAction.do?tilcod=2002222302478</v>
      </c>
    </row>
    <row r="3976" spans="1:9" x14ac:dyDescent="0.4">
      <c r="A3976" t="str">
        <f>"nanairo palette(ナナイロパレット)"</f>
        <v>nanairo palette(ナナイロパレット)</v>
      </c>
      <c r="B3976" s="1" t="str">
        <f t="shared" si="204"/>
        <v>nanairo palette(ナナイロパレット)</v>
      </c>
      <c r="C3976" t="str">
        <f>"ナナイロ パレット"</f>
        <v>ナナイロ パレット</v>
      </c>
      <c r="D3976" t="str">
        <f>"ノートルダム清心女子大学"</f>
        <v>ノートルダム清心女子大学</v>
      </c>
      <c r="E3976" t="str">
        <f>"ノートルダム セイシン ジョシ ダイガク"</f>
        <v>ノートルダム セイシン ジョシ ダイガク</v>
      </c>
      <c r="F3976" t="str">
        <f>"岡山"</f>
        <v>岡山</v>
      </c>
      <c r="G3976" t="str">
        <f>"頻度不明"</f>
        <v>頻度不明</v>
      </c>
      <c r="H3976" t="str">
        <f>"2002222302407"</f>
        <v>2002222302407</v>
      </c>
      <c r="I3976" t="str">
        <f>HYPERLINK("#", "https://opac.libnet.pref.okayama.jp/licsxp-opac/WOpacMsgNewListToTifTilDetailAction.do?tilcod=2002222302407")</f>
        <v>https://opac.libnet.pref.okayama.jp/licsxp-opac/WOpacMsgNewListToTifTilDetailAction.do?tilcod=2002222302407</v>
      </c>
    </row>
    <row r="3977" spans="1:9" x14ac:dyDescent="0.4">
      <c r="A3977" t="str">
        <f>"ななしぐさ"</f>
        <v>ななしぐさ</v>
      </c>
      <c r="B3977" s="1" t="str">
        <f t="shared" si="204"/>
        <v>ななしぐさ</v>
      </c>
      <c r="C3977" t="str">
        <f>"ナナシグサ"</f>
        <v>ナナシグサ</v>
      </c>
      <c r="D3977" t="str">
        <f>"至道高等学校文芸部"</f>
        <v>至道高等学校文芸部</v>
      </c>
      <c r="E3977" t="str">
        <f>"シドウ コウトウ ガッコウ ブンゲイブ"</f>
        <v>シドウ コウトウ ガッコウ ブンゲイブ</v>
      </c>
      <c r="F3977" t="str">
        <f>"北房町（上房郡）"</f>
        <v>北房町（上房郡）</v>
      </c>
      <c r="G3977" t="str">
        <f>"頻度不明"</f>
        <v>頻度不明</v>
      </c>
      <c r="H3977" t="str">
        <f>"2002222319731"</f>
        <v>2002222319731</v>
      </c>
      <c r="I3977" t="str">
        <f>HYPERLINK("#", "https://opac.libnet.pref.okayama.jp/licsxp-opac/WOpacMsgNewListToTifTilDetailAction.do?tilcod=2002222319731")</f>
        <v>https://opac.libnet.pref.okayama.jp/licsxp-opac/WOpacMsgNewListToTifTilDetailAction.do?tilcod=2002222319731</v>
      </c>
    </row>
    <row r="3978" spans="1:9" x14ac:dyDescent="0.4">
      <c r="A3978" t="str">
        <f>"７６８　ＪＯＶＶ―ＦＭ；ＦＭ岡山アミューズメントフリーマガジン"</f>
        <v>７６８　ＪＯＶＶ―ＦＭ；ＦＭ岡山アミューズメントフリーマガジン</v>
      </c>
      <c r="B3978" s="1" t="str">
        <f t="shared" si="204"/>
        <v>７６８　ＪＯＶＶ―ＦＭ；ＦＭ岡山アミューズメントフリーマガジン</v>
      </c>
      <c r="C3978" t="str">
        <f>"ナナロクハチ　ジェーオーヴイヴイエフエム＊エフエム　オカヤマ　アミューズメント　フリー　マガジン"</f>
        <v>ナナロクハチ　ジェーオーヴイヴイエフエム＊エフエム　オカヤマ　アミューズメント　フリー　マガジン</v>
      </c>
      <c r="D3978" t="str">
        <f>"岡山エフエム放送"</f>
        <v>岡山エフエム放送</v>
      </c>
      <c r="E3978" t="str">
        <f>"オカヤマ エフエム ホウソウ"</f>
        <v>オカヤマ エフエム ホウソウ</v>
      </c>
      <c r="F3978" t="str">
        <f>"岡山"</f>
        <v>岡山</v>
      </c>
      <c r="G3978" t="str">
        <f>"季刊"</f>
        <v>季刊</v>
      </c>
      <c r="H3978" t="str">
        <f>"2002222300224"</f>
        <v>2002222300224</v>
      </c>
      <c r="I3978" t="str">
        <f>HYPERLINK("#", "https://opac.libnet.pref.okayama.jp/licsxp-opac/WOpacMsgNewListToTifTilDetailAction.do?tilcod=2002222300224")</f>
        <v>https://opac.libnet.pref.okayama.jp/licsxp-opac/WOpacMsgNewListToTifTilDetailAction.do?tilcod=2002222300224</v>
      </c>
    </row>
    <row r="3979" spans="1:9" x14ac:dyDescent="0.4">
      <c r="A3979" t="str">
        <f>"Navi(ナビ)；シニアナビ岡山"</f>
        <v>Navi(ナビ)；シニアナビ岡山</v>
      </c>
      <c r="B3979" s="1" t="str">
        <f t="shared" si="204"/>
        <v>Navi(ナビ)；シニアナビ岡山</v>
      </c>
      <c r="C3979" t="str">
        <f>"ナビ＊シニア ナビ オカヤマ"</f>
        <v>ナビ＊シニア ナビ オカヤマ</v>
      </c>
      <c r="D3979" t="str">
        <f>"オージーライブデザイン"</f>
        <v>オージーライブデザイン</v>
      </c>
      <c r="E3979" t="str">
        <f>"オージーライブデザイン"</f>
        <v>オージーライブデザイン</v>
      </c>
      <c r="F3979" t="str">
        <f>"岡山"</f>
        <v>岡山</v>
      </c>
      <c r="G3979" t="str">
        <f>"頻度不明"</f>
        <v>頻度不明</v>
      </c>
      <c r="H3979" t="str">
        <f>"2002222312328"</f>
        <v>2002222312328</v>
      </c>
      <c r="I3979" t="str">
        <f>HYPERLINK("#", "https://opac.libnet.pref.okayama.jp/licsxp-opac/WOpacMsgNewListToTifTilDetailAction.do?tilcod=2002222312328")</f>
        <v>https://opac.libnet.pref.okayama.jp/licsxp-opac/WOpacMsgNewListToTifTilDetailAction.do?tilcod=2002222312328</v>
      </c>
    </row>
    <row r="3980" spans="1:9" x14ac:dyDescent="0.4">
      <c r="A3980" t="str">
        <f>"涛（なみ）"</f>
        <v>涛（なみ）</v>
      </c>
      <c r="B3980" s="1" t="str">
        <f t="shared" si="204"/>
        <v>涛（なみ）</v>
      </c>
      <c r="C3980" t="str">
        <f>"ナミ"</f>
        <v>ナミ</v>
      </c>
      <c r="D3980" t="str">
        <f>"川柳「涛」発行所"</f>
        <v>川柳「涛」発行所</v>
      </c>
      <c r="E3980" t="str">
        <f>"センリュウ　ナミ　ハッコウジョ"</f>
        <v>センリュウ　ナミ　ハッコウジョ</v>
      </c>
      <c r="F3980" t="str">
        <f>""</f>
        <v/>
      </c>
      <c r="G3980" t="str">
        <f>"頻度不明"</f>
        <v>頻度不明</v>
      </c>
      <c r="H3980" t="str">
        <f>"2002222285433"</f>
        <v>2002222285433</v>
      </c>
      <c r="I3980" t="str">
        <f>HYPERLINK("#", "https://opac.libnet.pref.okayama.jp/licsxp-opac/WOpacMsgNewListToTifTilDetailAction.do?tilcod=2002222285433")</f>
        <v>https://opac.libnet.pref.okayama.jp/licsxp-opac/WOpacMsgNewListToTifTilDetailAction.do?tilcod=2002222285433</v>
      </c>
    </row>
    <row r="3981" spans="1:9" x14ac:dyDescent="0.4">
      <c r="A3981" t="str">
        <f>"成羽高校新聞"</f>
        <v>成羽高校新聞</v>
      </c>
      <c r="B3981" s="1" t="str">
        <f t="shared" si="204"/>
        <v>成羽高校新聞</v>
      </c>
      <c r="C3981" t="str">
        <f>"ナリワ　コウコウ　シンブン"</f>
        <v>ナリワ　コウコウ　シンブン</v>
      </c>
      <c r="D3981" t="str">
        <f>"成羽高等学校生徒会"</f>
        <v>成羽高等学校生徒会</v>
      </c>
      <c r="E3981" t="str">
        <f>"ナリワコウトウガッコウセイトカイ"</f>
        <v>ナリワコウトウガッコウセイトカイ</v>
      </c>
      <c r="F3981" t="str">
        <f>"高梁"</f>
        <v>高梁</v>
      </c>
      <c r="G3981" t="str">
        <f>"年刊"</f>
        <v>年刊</v>
      </c>
      <c r="H3981" t="str">
        <f>"2002222301869"</f>
        <v>2002222301869</v>
      </c>
      <c r="I3981" t="str">
        <f>HYPERLINK("#", "https://opac.libnet.pref.okayama.jp/licsxp-opac/WOpacMsgNewListToTifTilDetailAction.do?tilcod=2002222301869")</f>
        <v>https://opac.libnet.pref.okayama.jp/licsxp-opac/WOpacMsgNewListToTifTilDetailAction.do?tilcod=2002222301869</v>
      </c>
    </row>
    <row r="3982" spans="1:9" x14ac:dyDescent="0.4">
      <c r="A3982" t="str">
        <f>"成羽高等学校学校要覧"</f>
        <v>成羽高等学校学校要覧</v>
      </c>
      <c r="B3982" s="1" t="str">
        <f t="shared" si="204"/>
        <v>成羽高等学校学校要覧</v>
      </c>
      <c r="C3982" t="str">
        <f>"ナリワ　コウトウ　ガッコウ　ガッコウ　ヨウラン"</f>
        <v>ナリワ　コウトウ　ガッコウ　ガッコウ　ヨウラン</v>
      </c>
      <c r="D3982" t="str">
        <f>"成羽高等学校"</f>
        <v>成羽高等学校</v>
      </c>
      <c r="E3982" t="str">
        <f>"ナリワ コウトウ ガッコウ"</f>
        <v>ナリワ コウトウ ガッコウ</v>
      </c>
      <c r="F3982" t="str">
        <f>"高梁"</f>
        <v>高梁</v>
      </c>
      <c r="G3982" t="str">
        <f>"年刊"</f>
        <v>年刊</v>
      </c>
      <c r="H3982" t="str">
        <f>"2002222300541"</f>
        <v>2002222300541</v>
      </c>
      <c r="I3982" t="str">
        <f>HYPERLINK("#", "https://opac.libnet.pref.okayama.jp/licsxp-opac/WOpacMsgNewListToTifTilDetailAction.do?tilcod=2002222300541")</f>
        <v>https://opac.libnet.pref.okayama.jp/licsxp-opac/WOpacMsgNewListToTifTilDetailAction.do?tilcod=2002222300541</v>
      </c>
    </row>
    <row r="3983" spans="1:9" x14ac:dyDescent="0.4">
      <c r="A3983" t="str">
        <f>"〔成羽高等学校〕成高図書館報"</f>
        <v>〔成羽高等学校〕成高図書館報</v>
      </c>
      <c r="B3983" s="1" t="str">
        <f t="shared" si="204"/>
        <v>〔成羽高等学校〕成高図書館報</v>
      </c>
      <c r="C3983" t="str">
        <f>"ナリワ　コウトウ　ガッコウ＊ナリコウ　トウショカン　ポウ"</f>
        <v>ナリワ　コウトウ　ガッコウ＊ナリコウ　トウショカン　ポウ</v>
      </c>
      <c r="D3983" t="str">
        <f>"成羽高等学校図書委員会"</f>
        <v>成羽高等学校図書委員会</v>
      </c>
      <c r="E3983" t="str">
        <f>"ナリワ　コウトウ　ガッコウ　トショ　イインカイ"</f>
        <v>ナリワ　コウトウ　ガッコウ　トショ　イインカイ</v>
      </c>
      <c r="F3983" t="str">
        <f>""</f>
        <v/>
      </c>
      <c r="G3983" t="str">
        <f>"年刊"</f>
        <v>年刊</v>
      </c>
      <c r="H3983" t="str">
        <f>"2002222301867"</f>
        <v>2002222301867</v>
      </c>
      <c r="I3983" t="str">
        <f>HYPERLINK("#", "https://opac.libnet.pref.okayama.jp/licsxp-opac/WOpacMsgNewListToTifTilDetailAction.do?tilcod=2002222301867")</f>
        <v>https://opac.libnet.pref.okayama.jp/licsxp-opac/WOpacMsgNewListToTifTilDetailAction.do?tilcod=2002222301867</v>
      </c>
    </row>
    <row r="3984" spans="1:9" x14ac:dyDescent="0.4">
      <c r="A3984" t="str">
        <f>"成羽町報"</f>
        <v>成羽町報</v>
      </c>
      <c r="B3984" s="1" t="str">
        <f t="shared" si="204"/>
        <v>成羽町報</v>
      </c>
      <c r="C3984" t="str">
        <f>"ナリワ チョウホウ"</f>
        <v>ナリワ チョウホウ</v>
      </c>
      <c r="D3984" t="str">
        <f>"成羽町役場"</f>
        <v>成羽町役場</v>
      </c>
      <c r="E3984" t="str">
        <f>"ナリワチョウ ヤクバ"</f>
        <v>ナリワチョウ ヤクバ</v>
      </c>
      <c r="F3984" t="str">
        <f>"成羽町（川上郡）"</f>
        <v>成羽町（川上郡）</v>
      </c>
      <c r="G3984" t="str">
        <f>"頻度不明"</f>
        <v>頻度不明</v>
      </c>
      <c r="H3984" t="str">
        <f>"2002222330306"</f>
        <v>2002222330306</v>
      </c>
      <c r="I3984" t="str">
        <f>HYPERLINK("#", "https://opac.libnet.pref.okayama.jp/licsxp-opac/WOpacMsgNewListToTifTilDetailAction.do?tilcod=2002222330306")</f>
        <v>https://opac.libnet.pref.okayama.jp/licsxp-opac/WOpacMsgNewListToTifTilDetailAction.do?tilcod=2002222330306</v>
      </c>
    </row>
    <row r="3985" spans="1:9" x14ac:dyDescent="0.4">
      <c r="A3985" t="str">
        <f>"成羽町議会だより"</f>
        <v>成羽町議会だより</v>
      </c>
      <c r="B3985" s="1" t="str">
        <f t="shared" si="204"/>
        <v>成羽町議会だより</v>
      </c>
      <c r="C3985" t="str">
        <f>"ナリワチョウ　ギカイ　ダヨリ"</f>
        <v>ナリワチョウ　ギカイ　ダヨリ</v>
      </c>
      <c r="D3985" t="str">
        <f>"川上郡成羽町議会"</f>
        <v>川上郡成羽町議会</v>
      </c>
      <c r="E3985" t="str">
        <f>"カワカミグンナリワチョウギカイ"</f>
        <v>カワカミグンナリワチョウギカイ</v>
      </c>
      <c r="F3985" t="str">
        <f>"成羽町"</f>
        <v>成羽町</v>
      </c>
      <c r="G3985" t="str">
        <f>"その他"</f>
        <v>その他</v>
      </c>
      <c r="H3985" t="str">
        <f>"2002222293621"</f>
        <v>2002222293621</v>
      </c>
      <c r="I3985" t="str">
        <f>HYPERLINK("#", "https://opac.libnet.pref.okayama.jp/licsxp-opac/WOpacMsgNewListToTifTilDetailAction.do?tilcod=2002222293621")</f>
        <v>https://opac.libnet.pref.okayama.jp/licsxp-opac/WOpacMsgNewListToTifTilDetailAction.do?tilcod=2002222293621</v>
      </c>
    </row>
    <row r="3986" spans="1:9" x14ac:dyDescent="0.4">
      <c r="A3986" t="str">
        <f>"成羽町美術館だより"</f>
        <v>成羽町美術館だより</v>
      </c>
      <c r="B3986" s="1" t="str">
        <f t="shared" si="204"/>
        <v>成羽町美術館だより</v>
      </c>
      <c r="C3986" t="str">
        <f>"ナリワチョウ　ビジュツカン　ダヨリ"</f>
        <v>ナリワチョウ　ビジュツカン　ダヨリ</v>
      </c>
      <c r="D3986" t="str">
        <f>"成羽町美術館"</f>
        <v>成羽町美術館</v>
      </c>
      <c r="E3986" t="str">
        <f>"ナリワチョウビジュツカン"</f>
        <v>ナリワチョウビジュツカン</v>
      </c>
      <c r="F3986" t="str">
        <f>"高梁"</f>
        <v>高梁</v>
      </c>
      <c r="G3986" t="str">
        <f>"年２回刊"</f>
        <v>年２回刊</v>
      </c>
      <c r="H3986" t="str">
        <f>"2002222284411"</f>
        <v>2002222284411</v>
      </c>
      <c r="I3986" t="str">
        <f>HYPERLINK("#", "https://opac.libnet.pref.okayama.jp/licsxp-opac/WOpacMsgNewListToTifTilDetailAction.do?tilcod=2002222284411")</f>
        <v>https://opac.libnet.pref.okayama.jp/licsxp-opac/WOpacMsgNewListToTifTilDetailAction.do?tilcod=2002222284411</v>
      </c>
    </row>
    <row r="3987" spans="1:9" x14ac:dyDescent="0.4">
      <c r="A3987" t="str">
        <f>"南山会"</f>
        <v>南山会</v>
      </c>
      <c r="B3987" s="1" t="str">
        <f t="shared" si="204"/>
        <v>南山会</v>
      </c>
      <c r="C3987" t="str">
        <f>"ナンザン カイ"</f>
        <v>ナンザン カイ</v>
      </c>
      <c r="D3987" t="str">
        <f>"福南中同窓会"</f>
        <v>福南中同窓会</v>
      </c>
      <c r="E3987" t="str">
        <f>"フクナンチュウ ドウソウカイ"</f>
        <v>フクナンチュウ ドウソウカイ</v>
      </c>
      <c r="F3987" t="str">
        <f>"岡山"</f>
        <v>岡山</v>
      </c>
      <c r="G3987" t="str">
        <f>"頻度不明"</f>
        <v>頻度不明</v>
      </c>
      <c r="H3987" t="str">
        <f>"2002222338130"</f>
        <v>2002222338130</v>
      </c>
      <c r="I3987" t="str">
        <f>HYPERLINK("#", "https://opac.libnet.pref.okayama.jp/licsxp-opac/WOpacMsgNewListToTifTilDetailAction.do?tilcod=2002222338130")</f>
        <v>https://opac.libnet.pref.okayama.jp/licsxp-opac/WOpacMsgNewListToTifTilDetailAction.do?tilcod=2002222338130</v>
      </c>
    </row>
    <row r="3988" spans="1:9" x14ac:dyDescent="0.4">
      <c r="A3988" t="str">
        <f>"なんでもパトロール"</f>
        <v>なんでもパトロール</v>
      </c>
      <c r="B3988" s="1" t="str">
        <f t="shared" si="204"/>
        <v>なんでもパトロール</v>
      </c>
      <c r="C3988" t="str">
        <f>"ナンデモ　パトロール"</f>
        <v>ナンデモ　パトロール</v>
      </c>
      <c r="D3988" t="str">
        <f>"なんでもパトロール社"</f>
        <v>なんでもパトロール社</v>
      </c>
      <c r="E3988" t="str">
        <f>"ナンデモパトロールシャ"</f>
        <v>ナンデモパトロールシャ</v>
      </c>
      <c r="F3988" t="str">
        <f>"岡山"</f>
        <v>岡山</v>
      </c>
      <c r="G3988" t="str">
        <f>"旬刊"</f>
        <v>旬刊</v>
      </c>
      <c r="H3988" t="str">
        <f>"2002222300952"</f>
        <v>2002222300952</v>
      </c>
      <c r="I3988" t="str">
        <f>HYPERLINK("#", "https://opac.libnet.pref.okayama.jp/licsxp-opac/WOpacMsgNewListToTifTilDetailAction.do?tilcod=2002222300952")</f>
        <v>https://opac.libnet.pref.okayama.jp/licsxp-opac/WOpacMsgNewListToTifTilDetailAction.do?tilcod=2002222300952</v>
      </c>
    </row>
    <row r="3989" spans="1:9" x14ac:dyDescent="0.4">
      <c r="A3989" t="str">
        <f>"南備新報"</f>
        <v>南備新報</v>
      </c>
      <c r="B3989" s="1" t="str">
        <f t="shared" si="204"/>
        <v>南備新報</v>
      </c>
      <c r="C3989" t="str">
        <f>"ナンビ　シンポウ"</f>
        <v>ナンビ　シンポウ</v>
      </c>
      <c r="D3989" t="str">
        <f>"里組門信徒会"</f>
        <v>里組門信徒会</v>
      </c>
      <c r="E3989" t="str">
        <f>"リグミモンシントカイ"</f>
        <v>リグミモンシントカイ</v>
      </c>
      <c r="F3989" t="str">
        <f>"笠岡"</f>
        <v>笠岡</v>
      </c>
      <c r="G3989" t="str">
        <f>"不定期刊"</f>
        <v>不定期刊</v>
      </c>
      <c r="H3989" t="str">
        <f>"2002222300953"</f>
        <v>2002222300953</v>
      </c>
      <c r="I3989" t="str">
        <f>HYPERLINK("#", "https://opac.libnet.pref.okayama.jp/licsxp-opac/WOpacMsgNewListToTifTilDetailAction.do?tilcod=2002222300953")</f>
        <v>https://opac.libnet.pref.okayama.jp/licsxp-opac/WOpacMsgNewListToTifTilDetailAction.do?tilcod=2002222300953</v>
      </c>
    </row>
    <row r="3990" spans="1:9" x14ac:dyDescent="0.4">
      <c r="A3990" t="str">
        <f>"南風新誌"</f>
        <v>南風新誌</v>
      </c>
      <c r="B3990" s="1" t="str">
        <f t="shared" si="204"/>
        <v>南風新誌</v>
      </c>
      <c r="C3990" t="str">
        <f>"ナンプウ　シンシ"</f>
        <v>ナンプウ　シンシ</v>
      </c>
      <c r="D3990" t="str">
        <f>"南風社"</f>
        <v>南風社</v>
      </c>
      <c r="E3990" t="str">
        <f>"ナンプウシャ"</f>
        <v>ナンプウシャ</v>
      </c>
      <c r="F3990" t="str">
        <f>""</f>
        <v/>
      </c>
      <c r="G3990" t="str">
        <f>"頻度不明"</f>
        <v>頻度不明</v>
      </c>
      <c r="H3990" t="str">
        <f>"2002222285453"</f>
        <v>2002222285453</v>
      </c>
      <c r="I3990" t="str">
        <f>HYPERLINK("#", "https://opac.libnet.pref.okayama.jp/licsxp-opac/WOpacMsgNewListToTifTilDetailAction.do?tilcod=2002222285453")</f>
        <v>https://opac.libnet.pref.okayama.jp/licsxp-opac/WOpacMsgNewListToTifTilDetailAction.do?tilcod=2002222285453</v>
      </c>
    </row>
    <row r="3991" spans="1:9" x14ac:dyDescent="0.4">
      <c r="A3991" t="str">
        <f>"南陽技術"</f>
        <v>南陽技術</v>
      </c>
      <c r="B3991" s="1" t="str">
        <f t="shared" si="204"/>
        <v>南陽技術</v>
      </c>
      <c r="C3991" t="str">
        <f>"ナンヨウ　ギジュツ"</f>
        <v>ナンヨウ　ギジュツ</v>
      </c>
      <c r="D3991" t="str">
        <f>"南陽技術振興会"</f>
        <v>南陽技術振興会</v>
      </c>
      <c r="E3991" t="str">
        <f>"ナンヨウ　ギジュツ　シンコウカイ"</f>
        <v>ナンヨウ　ギジュツ　シンコウカイ</v>
      </c>
      <c r="F3991" t="str">
        <f>""</f>
        <v/>
      </c>
      <c r="G3991" t="str">
        <f>"頻度不明"</f>
        <v>頻度不明</v>
      </c>
      <c r="H3991" t="str">
        <f>"2002222285463"</f>
        <v>2002222285463</v>
      </c>
      <c r="I3991" t="str">
        <f>HYPERLINK("#", "https://opac.libnet.pref.okayama.jp/licsxp-opac/WOpacMsgNewListToTifTilDetailAction.do?tilcod=2002222285463")</f>
        <v>https://opac.libnet.pref.okayama.jp/licsxp-opac/WOpacMsgNewListToTifTilDetailAction.do?tilcod=2002222285463</v>
      </c>
    </row>
    <row r="3992" spans="1:9" x14ac:dyDescent="0.4">
      <c r="A3992" t="str">
        <f>"南陽新聞"</f>
        <v>南陽新聞</v>
      </c>
      <c r="B3992" s="1" t="str">
        <f t="shared" si="204"/>
        <v>南陽新聞</v>
      </c>
      <c r="C3992" t="str">
        <f>"ナンヨウ シンブン"</f>
        <v>ナンヨウ シンブン</v>
      </c>
      <c r="D3992" t="str">
        <f>"南陽新聞社"</f>
        <v>南陽新聞社</v>
      </c>
      <c r="E3992" t="str">
        <f>"ナンヨウシンブンシャ"</f>
        <v>ナンヨウシンブンシャ</v>
      </c>
      <c r="F3992" t="str">
        <f>"宇野町(児島郡)"</f>
        <v>宇野町(児島郡)</v>
      </c>
      <c r="G3992" t="str">
        <f>"月２回刊"</f>
        <v>月２回刊</v>
      </c>
      <c r="H3992" t="str">
        <f>"2002222337029"</f>
        <v>2002222337029</v>
      </c>
      <c r="I3992" t="str">
        <f>HYPERLINK("#", "https://opac.libnet.pref.okayama.jp/licsxp-opac/WOpacMsgNewListToTifTilDetailAction.do?tilcod=2002222337029")</f>
        <v>https://opac.libnet.pref.okayama.jp/licsxp-opac/WOpacMsgNewListToTifTilDetailAction.do?tilcod=2002222337029</v>
      </c>
    </row>
    <row r="3993" spans="1:9" x14ac:dyDescent="0.4">
      <c r="A3993" t="str">
        <f>"にひかげ"</f>
        <v>にひかげ</v>
      </c>
      <c r="B3993" s="1" t="str">
        <f t="shared" si="204"/>
        <v>にひかげ</v>
      </c>
      <c r="C3993" t="str">
        <f>"ニイカゲ"</f>
        <v>ニイカゲ</v>
      </c>
      <c r="D3993" t="str">
        <f>"新光短歌会"</f>
        <v>新光短歌会</v>
      </c>
      <c r="E3993" t="str">
        <f>"シンコウタンカカイ"</f>
        <v>シンコウタンカカイ</v>
      </c>
      <c r="F3993" t="str">
        <f>"倉敷"</f>
        <v>倉敷</v>
      </c>
      <c r="G3993" t="str">
        <f>"頻度不明"</f>
        <v>頻度不明</v>
      </c>
      <c r="H3993" t="str">
        <f>"2002222302096"</f>
        <v>2002222302096</v>
      </c>
      <c r="I3993" t="str">
        <f>HYPERLINK("#", "https://opac.libnet.pref.okayama.jp/licsxp-opac/WOpacMsgNewListToTifTilDetailAction.do?tilcod=2002222302096")</f>
        <v>https://opac.libnet.pref.okayama.jp/licsxp-opac/WOpacMsgNewListToTifTilDetailAction.do?tilcod=2002222302096</v>
      </c>
    </row>
    <row r="3994" spans="1:9" x14ac:dyDescent="0.4">
      <c r="A3994" t="str">
        <f>"新高シラバス"</f>
        <v>新高シラバス</v>
      </c>
      <c r="B3994" s="1" t="str">
        <f t="shared" si="204"/>
        <v>新高シラバス</v>
      </c>
      <c r="C3994" t="str">
        <f>"ニイコウ　シラバス"</f>
        <v>ニイコウ　シラバス</v>
      </c>
      <c r="D3994" t="str">
        <f>"新見高等学校"</f>
        <v>新見高等学校</v>
      </c>
      <c r="E3994" t="str">
        <f>"ニイミコウトウガッコウ"</f>
        <v>ニイミコウトウガッコウ</v>
      </c>
      <c r="F3994" t="str">
        <f>"新見"</f>
        <v>新見</v>
      </c>
      <c r="G3994" t="str">
        <f>"年刊"</f>
        <v>年刊</v>
      </c>
      <c r="H3994" t="str">
        <f>"2002222300728"</f>
        <v>2002222300728</v>
      </c>
      <c r="I3994" t="str">
        <f>HYPERLINK("#", "https://opac.libnet.pref.okayama.jp/licsxp-opac/WOpacMsgNewListToTifTilDetailAction.do?tilcod=2002222300728")</f>
        <v>https://opac.libnet.pref.okayama.jp/licsxp-opac/WOpacMsgNewListToTifTilDetailAction.do?tilcod=2002222300728</v>
      </c>
    </row>
    <row r="3995" spans="1:9" x14ac:dyDescent="0.4">
      <c r="A3995" t="str">
        <f>"にひじほ"</f>
        <v>にひじほ</v>
      </c>
      <c r="B3995" s="1" t="str">
        <f t="shared" si="204"/>
        <v>にひじほ</v>
      </c>
      <c r="C3995" t="str">
        <f>"ニイジオ"</f>
        <v>ニイジオ</v>
      </c>
      <c r="D3995" t="str">
        <f>"玉野高等学校"</f>
        <v>玉野高等学校</v>
      </c>
      <c r="E3995" t="str">
        <f>"タマノ コウトウ ガッコウ"</f>
        <v>タマノ コウトウ ガッコウ</v>
      </c>
      <c r="F3995" t="str">
        <f>"玉野"</f>
        <v>玉野</v>
      </c>
      <c r="G3995" t="str">
        <f>"年刊"</f>
        <v>年刊</v>
      </c>
      <c r="H3995" t="str">
        <f>"2002222284501"</f>
        <v>2002222284501</v>
      </c>
      <c r="I3995" t="str">
        <f>HYPERLINK("#", "https://opac.libnet.pref.okayama.jp/licsxp-opac/WOpacMsgNewListToTifTilDetailAction.do?tilcod=2002222284501")</f>
        <v>https://opac.libnet.pref.okayama.jp/licsxp-opac/WOpacMsgNewListToTifTilDetailAction.do?tilcod=2002222284501</v>
      </c>
    </row>
    <row r="3996" spans="1:9" x14ac:dyDescent="0.4">
      <c r="A3996" t="str">
        <f>"新見、阿哲"</f>
        <v>新見、阿哲</v>
      </c>
      <c r="B3996" s="1" t="str">
        <f t="shared" si="204"/>
        <v>新見、阿哲</v>
      </c>
      <c r="C3996" t="str">
        <f>"ニイミ　アテツ"</f>
        <v>ニイミ　アテツ</v>
      </c>
      <c r="D3996" t="str">
        <f>"新見阿哲郷土研究会"</f>
        <v>新見阿哲郷土研究会</v>
      </c>
      <c r="E3996" t="str">
        <f>"ニイミアテツキョウドキョウドケンキュウカイ"</f>
        <v>ニイミアテツキョウドキョウドケンキュウカイ</v>
      </c>
      <c r="F3996" t="str">
        <f>""</f>
        <v/>
      </c>
      <c r="G3996" t="str">
        <f>"頻度不明"</f>
        <v>頻度不明</v>
      </c>
      <c r="H3996" t="str">
        <f>"2002222285473"</f>
        <v>2002222285473</v>
      </c>
      <c r="I3996" t="str">
        <f>HYPERLINK("#", "https://opac.libnet.pref.okayama.jp/licsxp-opac/WOpacMsgNewListToTifTilDetailAction.do?tilcod=2002222285473")</f>
        <v>https://opac.libnet.pref.okayama.jp/licsxp-opac/WOpacMsgNewListToTifTilDetailAction.do?tilcod=2002222285473</v>
      </c>
    </row>
    <row r="3997" spans="1:9" x14ac:dyDescent="0.4">
      <c r="A3997" t="str">
        <f>"新見北高等学校学校要覧"</f>
        <v>新見北高等学校学校要覧</v>
      </c>
      <c r="B3997" s="1" t="str">
        <f t="shared" si="204"/>
        <v>新見北高等学校学校要覧</v>
      </c>
      <c r="C3997" t="str">
        <f>"ニイミ　キタ　コウトウガッコウ　ガッコウ　ヨウラン"</f>
        <v>ニイミ　キタ　コウトウガッコウ　ガッコウ　ヨウラン</v>
      </c>
      <c r="D3997" t="str">
        <f>"新見北高等学校"</f>
        <v>新見北高等学校</v>
      </c>
      <c r="E3997" t="str">
        <f>"ニイミキタコウトウガッコウ"</f>
        <v>ニイミキタコウトウガッコウ</v>
      </c>
      <c r="F3997" t="str">
        <f t="shared" ref="F3997:F4007" si="205">"新見"</f>
        <v>新見</v>
      </c>
      <c r="G3997" t="str">
        <f>"年刊"</f>
        <v>年刊</v>
      </c>
      <c r="H3997" t="str">
        <f>"2002222300721"</f>
        <v>2002222300721</v>
      </c>
      <c r="I3997" t="str">
        <f>HYPERLINK("#", "https://opac.libnet.pref.okayama.jp/licsxp-opac/WOpacMsgNewListToTifTilDetailAction.do?tilcod=2002222300721")</f>
        <v>https://opac.libnet.pref.okayama.jp/licsxp-opac/WOpacMsgNewListToTifTilDetailAction.do?tilcod=2002222300721</v>
      </c>
    </row>
    <row r="3998" spans="1:9" x14ac:dyDescent="0.4">
      <c r="A3998" t="str">
        <f>"[新見高等学校] 学校案内"</f>
        <v>[新見高等学校] 学校案内</v>
      </c>
      <c r="B3998" s="1" t="str">
        <f t="shared" si="204"/>
        <v>[新見高等学校] 学校案内</v>
      </c>
      <c r="C3998" t="str">
        <f>"ニイミ　コウトウ　ガッコウ　ガッコウ　アンナイ"</f>
        <v>ニイミ　コウトウ　ガッコウ　ガッコウ　アンナイ</v>
      </c>
      <c r="D3998" t="str">
        <f>"新見高等学校"</f>
        <v>新見高等学校</v>
      </c>
      <c r="E3998" t="str">
        <f>"ニイミコウトウガッコウ"</f>
        <v>ニイミコウトウガッコウ</v>
      </c>
      <c r="F3998" t="str">
        <f t="shared" si="205"/>
        <v>新見</v>
      </c>
      <c r="G3998" t="str">
        <f>"年刊"</f>
        <v>年刊</v>
      </c>
      <c r="H3998" t="str">
        <f>"2002222301275"</f>
        <v>2002222301275</v>
      </c>
      <c r="I3998" t="str">
        <f>HYPERLINK("#", "https://opac.libnet.pref.okayama.jp/licsxp-opac/WOpacMsgNewListToTifTilDetailAction.do?tilcod=2002222301275")</f>
        <v>https://opac.libnet.pref.okayama.jp/licsxp-opac/WOpacMsgNewListToTifTilDetailAction.do?tilcod=2002222301275</v>
      </c>
    </row>
    <row r="3999" spans="1:9" x14ac:dyDescent="0.4">
      <c r="A3999" t="str">
        <f>"[新見高等学校] 学校要覧"</f>
        <v>[新見高等学校] 学校要覧</v>
      </c>
      <c r="B3999" s="1" t="str">
        <f t="shared" si="204"/>
        <v>[新見高等学校] 学校要覧</v>
      </c>
      <c r="C3999" t="str">
        <f>"ニイミ　コウトウ　ガッコウ　ガッコウ　ヨウラン"</f>
        <v>ニイミ　コウトウ　ガッコウ　ガッコウ　ヨウラン</v>
      </c>
      <c r="D3999" t="str">
        <f>"新見高等学校"</f>
        <v>新見高等学校</v>
      </c>
      <c r="E3999" t="str">
        <f>"ニイミコウトウガッコウ"</f>
        <v>ニイミコウトウガッコウ</v>
      </c>
      <c r="F3999" t="str">
        <f t="shared" si="205"/>
        <v>新見</v>
      </c>
      <c r="G3999" t="str">
        <f>"年刊"</f>
        <v>年刊</v>
      </c>
      <c r="H3999" t="str">
        <f>"2002222300529"</f>
        <v>2002222300529</v>
      </c>
      <c r="I3999" t="str">
        <f>HYPERLINK("#", "https://opac.libnet.pref.okayama.jp/licsxp-opac/WOpacMsgNewListToTifTilDetailAction.do?tilcod=2002222300529")</f>
        <v>https://opac.libnet.pref.okayama.jp/licsxp-opac/WOpacMsgNewListToTifTilDetailAction.do?tilcod=2002222300529</v>
      </c>
    </row>
    <row r="4000" spans="1:9" x14ac:dyDescent="0.4">
      <c r="A4000" t="str">
        <f>"〔新見高等学校〕にいみ"</f>
        <v>〔新見高等学校〕にいみ</v>
      </c>
      <c r="B4000" s="1" t="str">
        <f t="shared" si="204"/>
        <v>〔新見高等学校〕にいみ</v>
      </c>
      <c r="C4000" t="str">
        <f>"ニイミ　コウトウ　ガッコウ　ニイミ"</f>
        <v>ニイミ　コウトウ　ガッコウ　ニイミ</v>
      </c>
      <c r="D4000" t="str">
        <f>"新見高等学校"</f>
        <v>新見高等学校</v>
      </c>
      <c r="E4000" t="str">
        <f>"ニイミコウトウガッコウ"</f>
        <v>ニイミコウトウガッコウ</v>
      </c>
      <c r="F4000" t="str">
        <f t="shared" si="205"/>
        <v>新見</v>
      </c>
      <c r="G4000" t="str">
        <f>"年刊"</f>
        <v>年刊</v>
      </c>
      <c r="H4000" t="str">
        <f>"2002222301749"</f>
        <v>2002222301749</v>
      </c>
      <c r="I4000" t="str">
        <f>HYPERLINK("#", "https://opac.libnet.pref.okayama.jp/licsxp-opac/WOpacMsgNewListToTifTilDetailAction.do?tilcod=2002222301749")</f>
        <v>https://opac.libnet.pref.okayama.jp/licsxp-opac/WOpacMsgNewListToTifTilDetailAction.do?tilcod=2002222301749</v>
      </c>
    </row>
    <row r="4001" spans="1:9" x14ac:dyDescent="0.4">
      <c r="A4001" t="str">
        <f>"〔新見高等学校〕学園通信"</f>
        <v>〔新見高等学校〕学園通信</v>
      </c>
      <c r="B4001" s="1" t="str">
        <f t="shared" si="204"/>
        <v>〔新見高等学校〕学園通信</v>
      </c>
      <c r="C4001" t="str">
        <f>"ニイミ　コウトウ　ガッコウ＊ガクエン　ツウシン"</f>
        <v>ニイミ　コウトウ　ガッコウ＊ガクエン　ツウシン</v>
      </c>
      <c r="D4001" t="str">
        <f>"新見高校ＰＴＡ"</f>
        <v>新見高校ＰＴＡ</v>
      </c>
      <c r="E4001" t="str">
        <f>"ニイミコウコウピーティーエー"</f>
        <v>ニイミコウコウピーティーエー</v>
      </c>
      <c r="F4001" t="str">
        <f t="shared" si="205"/>
        <v>新見</v>
      </c>
      <c r="G4001" t="str">
        <f>"頻度不明"</f>
        <v>頻度不明</v>
      </c>
      <c r="H4001" t="str">
        <f>"2002222302024"</f>
        <v>2002222302024</v>
      </c>
      <c r="I4001" t="str">
        <f>HYPERLINK("#", "https://opac.libnet.pref.okayama.jp/licsxp-opac/WOpacMsgNewListToTifTilDetailAction.do?tilcod=2002222302024")</f>
        <v>https://opac.libnet.pref.okayama.jp/licsxp-opac/WOpacMsgNewListToTifTilDetailAction.do?tilcod=2002222302024</v>
      </c>
    </row>
    <row r="4002" spans="1:9" x14ac:dyDescent="0.4">
      <c r="A4002" t="str">
        <f>"新見公立短期大学紀要"</f>
        <v>新見公立短期大学紀要</v>
      </c>
      <c r="B4002" s="1" t="str">
        <f t="shared" si="204"/>
        <v>新見公立短期大学紀要</v>
      </c>
      <c r="C4002" t="str">
        <f>"ニイミ　コウリツ　タンキ　ダイガク　キヨウ"</f>
        <v>ニイミ　コウリツ　タンキ　ダイガク　キヨウ</v>
      </c>
      <c r="D4002" t="str">
        <f>"新見公立短期大学"</f>
        <v>新見公立短期大学</v>
      </c>
      <c r="E4002" t="str">
        <f>"ニイミコウリツタンキダイガク"</f>
        <v>ニイミコウリツタンキダイガク</v>
      </c>
      <c r="F4002" t="str">
        <f t="shared" si="205"/>
        <v>新見</v>
      </c>
      <c r="G4002" t="str">
        <f>"年２回刊"</f>
        <v>年２回刊</v>
      </c>
      <c r="H4002" t="str">
        <f>"2002222282681"</f>
        <v>2002222282681</v>
      </c>
      <c r="I4002" t="str">
        <f>HYPERLINK("#", "https://opac.libnet.pref.okayama.jp/licsxp-opac/WOpacMsgNewListToTifTilDetailAction.do?tilcod=2002222282681")</f>
        <v>https://opac.libnet.pref.okayama.jp/licsxp-opac/WOpacMsgNewListToTifTilDetailAction.do?tilcod=2002222282681</v>
      </c>
    </row>
    <row r="4003" spans="1:9" x14ac:dyDescent="0.4">
      <c r="A4003" t="str">
        <f>"〔新見公立短期大学〕人文科学論叢"</f>
        <v>〔新見公立短期大学〕人文科学論叢</v>
      </c>
      <c r="B4003" s="1" t="str">
        <f t="shared" si="204"/>
        <v>〔新見公立短期大学〕人文科学論叢</v>
      </c>
      <c r="C4003" t="str">
        <f>"ニイミ　コウリツ　タンキ　ダイガク　ジンブン　カガク　ロンソウ"</f>
        <v>ニイミ　コウリツ　タンキ　ダイガク　ジンブン　カガク　ロンソウ</v>
      </c>
      <c r="D4003" t="str">
        <f>"新見公立短期大学備北人文科学学会"</f>
        <v>新見公立短期大学備北人文科学学会</v>
      </c>
      <c r="E4003" t="str">
        <f>"ニイミ　コウリツ　タンキ　ダイガク　ビホク　ジンブン　カガク　ガッカイ"</f>
        <v>ニイミ　コウリツ　タンキ　ダイガク　ビホク　ジンブン　カガク　ガッカイ</v>
      </c>
      <c r="F4003" t="str">
        <f t="shared" si="205"/>
        <v>新見</v>
      </c>
      <c r="G4003" t="str">
        <f>"年刊"</f>
        <v>年刊</v>
      </c>
      <c r="H4003" t="str">
        <f>"2002222300244"</f>
        <v>2002222300244</v>
      </c>
      <c r="I4003" t="str">
        <f>HYPERLINK("#", "https://opac.libnet.pref.okayama.jp/licsxp-opac/WOpacMsgNewListToTifTilDetailAction.do?tilcod=2002222300244")</f>
        <v>https://opac.libnet.pref.okayama.jp/licsxp-opac/WOpacMsgNewListToTifTilDetailAction.do?tilcod=2002222300244</v>
      </c>
    </row>
    <row r="4004" spans="1:9" x14ac:dyDescent="0.4">
      <c r="A4004" t="str">
        <f>"新見公立短期大学年報"</f>
        <v>新見公立短期大学年報</v>
      </c>
      <c r="B4004" s="1" t="str">
        <f t="shared" si="204"/>
        <v>新見公立短期大学年報</v>
      </c>
      <c r="C4004" t="str">
        <f>"ニイミ　コウリツ　タンキ　ダイガク　ネンポウ"</f>
        <v>ニイミ　コウリツ　タンキ　ダイガク　ネンポウ</v>
      </c>
      <c r="D4004" t="str">
        <f>"新見公立短期大学"</f>
        <v>新見公立短期大学</v>
      </c>
      <c r="E4004" t="str">
        <f>"ニイミコウリツタンキダイガク"</f>
        <v>ニイミコウリツタンキダイガク</v>
      </c>
      <c r="F4004" t="str">
        <f t="shared" si="205"/>
        <v>新見</v>
      </c>
      <c r="G4004" t="str">
        <f>"年刊"</f>
        <v>年刊</v>
      </c>
      <c r="H4004" t="str">
        <f>"2002222302427"</f>
        <v>2002222302427</v>
      </c>
      <c r="I4004" t="str">
        <f>HYPERLINK("#", "https://opac.libnet.pref.okayama.jp/licsxp-opac/WOpacMsgNewListToTifTilDetailAction.do?tilcod=2002222302427")</f>
        <v>https://opac.libnet.pref.okayama.jp/licsxp-opac/WOpacMsgNewListToTifTilDetailAction.do?tilcod=2002222302427</v>
      </c>
    </row>
    <row r="4005" spans="1:9" x14ac:dyDescent="0.4">
      <c r="A4005" t="str">
        <f>"にいみ市議会だより ; 新見市議会広報紙"</f>
        <v>にいみ市議会だより ; 新見市議会広報紙</v>
      </c>
      <c r="B4005" s="1" t="str">
        <f t="shared" si="204"/>
        <v>にいみ市議会だより ; 新見市議会広報紙</v>
      </c>
      <c r="C4005" t="str">
        <f>"ニイミ シギカイ ダヨリ ニイミ シギカイ コウホウシ"</f>
        <v>ニイミ シギカイ ダヨリ ニイミ シギカイ コウホウシ</v>
      </c>
      <c r="D4005" t="str">
        <f>"新見市議会事務局"</f>
        <v>新見市議会事務局</v>
      </c>
      <c r="E4005" t="str">
        <f>"ニイミ シギカイ ジムキョク"</f>
        <v>ニイミ シギカイ ジムキョク</v>
      </c>
      <c r="F4005" t="str">
        <f t="shared" si="205"/>
        <v>新見</v>
      </c>
      <c r="G4005" t="str">
        <f>"頻度不明"</f>
        <v>頻度不明</v>
      </c>
      <c r="H4005" t="str">
        <f>"2002222332769"</f>
        <v>2002222332769</v>
      </c>
      <c r="I4005" t="str">
        <f>HYPERLINK("#", "https://opac.libnet.pref.okayama.jp/licsxp-opac/WOpacMsgNewListToTifTilDetailAction.do?tilcod=2002222332769")</f>
        <v>https://opac.libnet.pref.okayama.jp/licsxp-opac/WOpacMsgNewListToTifTilDetailAction.do?tilcod=2002222332769</v>
      </c>
    </row>
    <row r="4006" spans="1:9" x14ac:dyDescent="0.4">
      <c r="A4006" t="str">
        <f>"にいみ社協だより"</f>
        <v>にいみ社協だより</v>
      </c>
      <c r="B4006" s="1" t="str">
        <f t="shared" si="204"/>
        <v>にいみ社協だより</v>
      </c>
      <c r="C4006" t="str">
        <f>"ニイミ　シャキョウ　ダヨリ"</f>
        <v>ニイミ　シャキョウ　ダヨリ</v>
      </c>
      <c r="D4006" t="str">
        <f>"新見市社会福祉協議会"</f>
        <v>新見市社会福祉協議会</v>
      </c>
      <c r="E4006" t="str">
        <f>"ニイミシ シャカイ フクシ キョウギカイ"</f>
        <v>ニイミシ シャカイ フクシ キョウギカイ</v>
      </c>
      <c r="F4006" t="str">
        <f t="shared" si="205"/>
        <v>新見</v>
      </c>
      <c r="G4006" t="str">
        <f>"不定期刊"</f>
        <v>不定期刊</v>
      </c>
      <c r="H4006" t="str">
        <f>"2002222301015"</f>
        <v>2002222301015</v>
      </c>
      <c r="I4006" t="str">
        <f>HYPERLINK("#", "https://opac.libnet.pref.okayama.jp/licsxp-opac/WOpacMsgNewListToTifTilDetailAction.do?tilcod=2002222301015")</f>
        <v>https://opac.libnet.pref.okayama.jp/licsxp-opac/WOpacMsgNewListToTifTilDetailAction.do?tilcod=2002222301015</v>
      </c>
    </row>
    <row r="4007" spans="1:9" x14ac:dyDescent="0.4">
      <c r="A4007" t="str">
        <f>"新見女子短期大学紀要"</f>
        <v>新見女子短期大学紀要</v>
      </c>
      <c r="B4007" s="1" t="str">
        <f t="shared" si="204"/>
        <v>新見女子短期大学紀要</v>
      </c>
      <c r="C4007" t="str">
        <f>"ニイミ　ジョシ　タンキ　ダイガク　キヨウ"</f>
        <v>ニイミ　ジョシ　タンキ　ダイガク　キヨウ</v>
      </c>
      <c r="D4007" t="str">
        <f>"新見女子短期大学"</f>
        <v>新見女子短期大学</v>
      </c>
      <c r="E4007" t="str">
        <f>"ニイミジョシタンキダイガク"</f>
        <v>ニイミジョシタンキダイガク</v>
      </c>
      <c r="F4007" t="str">
        <f t="shared" si="205"/>
        <v>新見</v>
      </c>
      <c r="G4007" t="str">
        <f>"年刊"</f>
        <v>年刊</v>
      </c>
      <c r="H4007" t="str">
        <f>"2002222294511"</f>
        <v>2002222294511</v>
      </c>
      <c r="I4007" t="str">
        <f>HYPERLINK("#", "https://opac.libnet.pref.okayama.jp/licsxp-opac/WOpacMsgNewListToTifTilDetailAction.do?tilcod=2002222294511")</f>
        <v>https://opac.libnet.pref.okayama.jp/licsxp-opac/WOpacMsgNewListToTifTilDetailAction.do?tilcod=2002222294511</v>
      </c>
    </row>
    <row r="4008" spans="1:9" x14ac:dyDescent="0.4">
      <c r="A4008" t="str">
        <f>"新見青年連盟機関誌"</f>
        <v>新見青年連盟機関誌</v>
      </c>
      <c r="B4008" s="1" t="str">
        <f t="shared" si="204"/>
        <v>新見青年連盟機関誌</v>
      </c>
      <c r="C4008" t="str">
        <f>"ニイミ セイネン レンメイ キカンシ"</f>
        <v>ニイミ セイネン レンメイ キカンシ</v>
      </c>
      <c r="D4008" t="str">
        <f>"[新見青年連盟]"</f>
        <v>[新見青年連盟]</v>
      </c>
      <c r="E4008" t="str">
        <f>"ニイミ セイネン レンメイ"</f>
        <v>ニイミ セイネン レンメイ</v>
      </c>
      <c r="F4008" t="str">
        <f>"[新見]"</f>
        <v>[新見]</v>
      </c>
      <c r="G4008" t="str">
        <f>"頻度不明"</f>
        <v>頻度不明</v>
      </c>
      <c r="H4008" t="str">
        <f>"2002222333646"</f>
        <v>2002222333646</v>
      </c>
      <c r="I4008" t="str">
        <f>HYPERLINK("#", "https://opac.libnet.pref.okayama.jp/licsxp-opac/WOpacMsgNewListToTifTilDetailAction.do?tilcod=2002222333646")</f>
        <v>https://opac.libnet.pref.okayama.jp/licsxp-opac/WOpacMsgNewListToTifTilDetailAction.do?tilcod=2002222333646</v>
      </c>
    </row>
    <row r="4009" spans="1:9" x14ac:dyDescent="0.4">
      <c r="A4009" t="str">
        <f>"新見叢書"</f>
        <v>新見叢書</v>
      </c>
      <c r="B4009" s="1" t="str">
        <f t="shared" si="204"/>
        <v>新見叢書</v>
      </c>
      <c r="C4009" t="str">
        <f>"ニイミ　ソウショ"</f>
        <v>ニイミ　ソウショ</v>
      </c>
      <c r="D4009" t="str">
        <f>"新見叢書刊行会"</f>
        <v>新見叢書刊行会</v>
      </c>
      <c r="E4009" t="str">
        <f>"ニイミソウショカンコウカイ"</f>
        <v>ニイミソウショカンコウカイ</v>
      </c>
      <c r="F4009" t="str">
        <f>""</f>
        <v/>
      </c>
      <c r="G4009" t="str">
        <f>"頻度不明"</f>
        <v>頻度不明</v>
      </c>
      <c r="H4009" t="str">
        <f>"2002222285483"</f>
        <v>2002222285483</v>
      </c>
      <c r="I4009" t="str">
        <f>HYPERLINK("#", "https://opac.libnet.pref.okayama.jp/licsxp-opac/WOpacMsgNewListToTifTilDetailAction.do?tilcod=2002222285483")</f>
        <v>https://opac.libnet.pref.okayama.jp/licsxp-opac/WOpacMsgNewListToTifTilDetailAction.do?tilcod=2002222285483</v>
      </c>
    </row>
    <row r="4010" spans="1:9" x14ac:dyDescent="0.4">
      <c r="A4010" t="str">
        <f>"新見美術館だより"</f>
        <v>新見美術館だより</v>
      </c>
      <c r="B4010" s="1" t="str">
        <f t="shared" si="204"/>
        <v>新見美術館だより</v>
      </c>
      <c r="C4010" t="str">
        <f>"ニイミ　ビジュツカン　ダヨリ"</f>
        <v>ニイミ　ビジュツカン　ダヨリ</v>
      </c>
      <c r="D4010" t="str">
        <f>"新見美術館"</f>
        <v>新見美術館</v>
      </c>
      <c r="E4010" t="str">
        <f>"ニイミ ビジュツカン"</f>
        <v>ニイミ ビジュツカン</v>
      </c>
      <c r="F4010" t="str">
        <f t="shared" ref="F4010:F4016" si="206">"新見"</f>
        <v>新見</v>
      </c>
      <c r="G4010" t="str">
        <f>"年刊"</f>
        <v>年刊</v>
      </c>
      <c r="H4010" t="str">
        <f>"2002222302371"</f>
        <v>2002222302371</v>
      </c>
      <c r="I4010" t="str">
        <f>HYPERLINK("#", "https://opac.libnet.pref.okayama.jp/licsxp-opac/WOpacMsgNewListToTifTilDetailAction.do?tilcod=2002222302371")</f>
        <v>https://opac.libnet.pref.okayama.jp/licsxp-opac/WOpacMsgNewListToTifTilDetailAction.do?tilcod=2002222302371</v>
      </c>
    </row>
    <row r="4011" spans="1:9" x14ac:dyDescent="0.4">
      <c r="A4011" t="str">
        <f>"〔新見美術館〕美術館ＮＥＷＳ〔美術館ニュース〕"</f>
        <v>〔新見美術館〕美術館ＮＥＷＳ〔美術館ニュース〕</v>
      </c>
      <c r="B4011" s="1" t="str">
        <f t="shared" si="204"/>
        <v>〔新見美術館〕美術館ＮＥＷＳ〔美術館ニュース〕</v>
      </c>
      <c r="C4011" t="str">
        <f>"ニイミ　ビジュツカン＊ビジュツカン　ニュース"</f>
        <v>ニイミ　ビジュツカン＊ビジュツカン　ニュース</v>
      </c>
      <c r="D4011" t="str">
        <f>"新見美術館"</f>
        <v>新見美術館</v>
      </c>
      <c r="E4011" t="str">
        <f>"ニイミ ビジュツカン"</f>
        <v>ニイミ ビジュツカン</v>
      </c>
      <c r="F4011" t="str">
        <f t="shared" si="206"/>
        <v>新見</v>
      </c>
      <c r="G4011" t="str">
        <f>"頻度不明"</f>
        <v>頻度不明</v>
      </c>
      <c r="H4011" t="str">
        <f>"2002222281964"</f>
        <v>2002222281964</v>
      </c>
      <c r="I4011" t="str">
        <f>HYPERLINK("#", "https://opac.libnet.pref.okayama.jp/licsxp-opac/WOpacMsgNewListToTifTilDetailAction.do?tilcod=2002222281964")</f>
        <v>https://opac.libnet.pref.okayama.jp/licsxp-opac/WOpacMsgNewListToTifTilDetailAction.do?tilcod=2002222281964</v>
      </c>
    </row>
    <row r="4012" spans="1:9" x14ac:dyDescent="0.4">
      <c r="A4012" t="str">
        <f>"新見〔新見高等学校〕"</f>
        <v>新見〔新見高等学校〕</v>
      </c>
      <c r="B4012" s="1" t="str">
        <f t="shared" si="204"/>
        <v>新見〔新見高等学校〕</v>
      </c>
      <c r="C4012" t="str">
        <f>"ニイミ＊ニイミ　コウトウ　ガッコウ"</f>
        <v>ニイミ＊ニイミ　コウトウ　ガッコウ</v>
      </c>
      <c r="D4012" t="str">
        <f>"新見高等学校"</f>
        <v>新見高等学校</v>
      </c>
      <c r="E4012" t="str">
        <f>"ニイミコウトウガッコウ"</f>
        <v>ニイミコウトウガッコウ</v>
      </c>
      <c r="F4012" t="str">
        <f t="shared" si="206"/>
        <v>新見</v>
      </c>
      <c r="G4012" t="str">
        <f>"年刊"</f>
        <v>年刊</v>
      </c>
      <c r="H4012" t="str">
        <f>"2002222288263"</f>
        <v>2002222288263</v>
      </c>
      <c r="I4012" t="str">
        <f>HYPERLINK("#", "https://opac.libnet.pref.okayama.jp/licsxp-opac/WOpacMsgNewListToTifTilDetailAction.do?tilcod=2002222288263")</f>
        <v>https://opac.libnet.pref.okayama.jp/licsxp-opac/WOpacMsgNewListToTifTilDetailAction.do?tilcod=2002222288263</v>
      </c>
    </row>
    <row r="4013" spans="1:9" x14ac:dyDescent="0.4">
      <c r="A4013" t="str">
        <f>"にいみ；新見市立図書館報"</f>
        <v>にいみ；新見市立図書館報</v>
      </c>
      <c r="B4013" s="1" t="str">
        <f t="shared" si="204"/>
        <v>にいみ；新見市立図書館報</v>
      </c>
      <c r="C4013" t="str">
        <f>"ニイミ＊ニイミ　シ　リツ　トショカン　ホウ"</f>
        <v>ニイミ＊ニイミ　シ　リツ　トショカン　ホウ</v>
      </c>
      <c r="D4013" t="str">
        <f>"新見市立新見図書館"</f>
        <v>新見市立新見図書館</v>
      </c>
      <c r="E4013" t="str">
        <f>"ニイミシリツニイミトショカン"</f>
        <v>ニイミシリツニイミトショカン</v>
      </c>
      <c r="F4013" t="str">
        <f t="shared" si="206"/>
        <v>新見</v>
      </c>
      <c r="G4013" t="str">
        <f>"隔年刊"</f>
        <v>隔年刊</v>
      </c>
      <c r="H4013" t="str">
        <f>"2002222302391"</f>
        <v>2002222302391</v>
      </c>
      <c r="I4013" t="str">
        <f>HYPERLINK("#", "https://opac.libnet.pref.okayama.jp/licsxp-opac/WOpacMsgNewListToTifTilDetailAction.do?tilcod=2002222302391")</f>
        <v>https://opac.libnet.pref.okayama.jp/licsxp-opac/WOpacMsgNewListToTifTilDetailAction.do?tilcod=2002222302391</v>
      </c>
    </row>
    <row r="4014" spans="1:9" x14ac:dyDescent="0.4">
      <c r="A4014" t="str">
        <f>"にいみいろ = niimiiro；日常をもっと快適に。新見のまち・人・暮らしの魅力を伝えるフリーペーパー"</f>
        <v>にいみいろ = niimiiro；日常をもっと快適に。新見のまち・人・暮らしの魅力を伝えるフリーペーパー</v>
      </c>
      <c r="B4014" s="1" t="str">
        <f t="shared" si="204"/>
        <v>にいみいろ = niimiiro；日常をもっと快適に。新見のまち・人・暮らしの魅力を伝えるフリーペーパー</v>
      </c>
      <c r="C4014" t="str">
        <f>"ニイミイロニチ＊ジョウ オ モット カイテキ ニ ニイミ ノ マチ ヒト クラシ ノ ミリョク オ ツタエル フリーペーパー"</f>
        <v>ニイミイロニチ＊ジョウ オ モット カイテキ ニ ニイミ ノ マチ ヒト クラシ ノ ミリョク オ ツタエル フリーペーパー</v>
      </c>
      <c r="D4014" t="str">
        <f>"田中実業"</f>
        <v>田中実業</v>
      </c>
      <c r="E4014" t="str">
        <f>"タナカ ジツギョウ"</f>
        <v>タナカ ジツギョウ</v>
      </c>
      <c r="F4014" t="str">
        <f t="shared" si="206"/>
        <v>新見</v>
      </c>
      <c r="G4014" t="str">
        <f>"月刊"</f>
        <v>月刊</v>
      </c>
      <c r="H4014" t="str">
        <f>"2002222341510"</f>
        <v>2002222341510</v>
      </c>
      <c r="I4014" t="str">
        <f>HYPERLINK("#", "https://opac.libnet.pref.okayama.jp/licsxp-opac/WOpacMsgNewListToTifTilDetailAction.do?tilcod=2002222341510")</f>
        <v>https://opac.libnet.pref.okayama.jp/licsxp-opac/WOpacMsgNewListToTifTilDetailAction.do?tilcod=2002222341510</v>
      </c>
    </row>
    <row r="4015" spans="1:9" x14ac:dyDescent="0.4">
      <c r="A4015" t="str">
        <f>"新見公立大学紀要"</f>
        <v>新見公立大学紀要</v>
      </c>
      <c r="B4015" s="1" t="str">
        <f t="shared" si="204"/>
        <v>新見公立大学紀要</v>
      </c>
      <c r="C4015" t="str">
        <f>"ニイミコウリツ ダイガク キヨウ "</f>
        <v xml:space="preserve">ニイミコウリツ ダイガク キヨウ </v>
      </c>
      <c r="D4015" t="str">
        <f>"新見公立大学"</f>
        <v>新見公立大学</v>
      </c>
      <c r="E4015" t="str">
        <f>"ニイミ コウリツ ダイガク"</f>
        <v>ニイミ コウリツ ダイガク</v>
      </c>
      <c r="F4015" t="str">
        <f t="shared" si="206"/>
        <v>新見</v>
      </c>
      <c r="G4015" t="str">
        <f>"年２回刊"</f>
        <v>年２回刊</v>
      </c>
      <c r="H4015" t="str">
        <f>"2002222306403"</f>
        <v>2002222306403</v>
      </c>
      <c r="I4015" t="str">
        <f>HYPERLINK("#", "https://opac.libnet.pref.okayama.jp/licsxp-opac/WOpacMsgNewListToTifTilDetailAction.do?tilcod=2002222306403")</f>
        <v>https://opac.libnet.pref.okayama.jp/licsxp-opac/WOpacMsgNewListToTifTilDetailAction.do?tilcod=2002222306403</v>
      </c>
    </row>
    <row r="4016" spans="1:9" x14ac:dyDescent="0.4">
      <c r="A4016" t="str">
        <f>"新見市生涯学習だよりよろこび"</f>
        <v>新見市生涯学習だよりよろこび</v>
      </c>
      <c r="B4016" s="1" t="str">
        <f t="shared" si="204"/>
        <v>新見市生涯学習だよりよろこび</v>
      </c>
      <c r="C4016" t="str">
        <f>"ニイミシ　ショウガイ　ガクシュウ　ダヨリ　ヨロコビ"</f>
        <v>ニイミシ　ショウガイ　ガクシュウ　ダヨリ　ヨロコビ</v>
      </c>
      <c r="D4016" t="str">
        <f>"新見市生涯学習推進本部"</f>
        <v>新見市生涯学習推進本部</v>
      </c>
      <c r="E4016" t="str">
        <f>"ニイミシショウガイガクシュウスイシンホンブ"</f>
        <v>ニイミシショウガイガクシュウスイシンホンブ</v>
      </c>
      <c r="F4016" t="str">
        <f t="shared" si="206"/>
        <v>新見</v>
      </c>
      <c r="G4016" t="str">
        <f>"頻度不明"</f>
        <v>頻度不明</v>
      </c>
      <c r="H4016" t="str">
        <f>"2002222281021"</f>
        <v>2002222281021</v>
      </c>
      <c r="I4016" t="str">
        <f>HYPERLINK("#", "https://opac.libnet.pref.okayama.jp/licsxp-opac/WOpacMsgNewListToTifTilDetailAction.do?tilcod=2002222281021")</f>
        <v>https://opac.libnet.pref.okayama.jp/licsxp-opac/WOpacMsgNewListToTifTilDetailAction.do?tilcod=2002222281021</v>
      </c>
    </row>
    <row r="4017" spans="1:9" x14ac:dyDescent="0.4">
      <c r="A4017" t="str">
        <f>"にこにこ便り"</f>
        <v>にこにこ便り</v>
      </c>
      <c r="B4017" s="1" t="str">
        <f t="shared" si="204"/>
        <v>にこにこ便り</v>
      </c>
      <c r="C4017" t="str">
        <f>"ニコニコ　ダヨリ"</f>
        <v>ニコニコ　ダヨリ</v>
      </c>
      <c r="D4017" t="str">
        <f>"おかやまコープ"</f>
        <v>おかやまコープ</v>
      </c>
      <c r="E4017" t="str">
        <f>"オカヤマ コープ"</f>
        <v>オカヤマ コープ</v>
      </c>
      <c r="F4017" t="str">
        <f>"岡山"</f>
        <v>岡山</v>
      </c>
      <c r="G4017" t="str">
        <f>"季刊"</f>
        <v>季刊</v>
      </c>
      <c r="H4017" t="str">
        <f>"2002222329466"</f>
        <v>2002222329466</v>
      </c>
      <c r="I4017" t="str">
        <f>HYPERLINK("#", "https://opac.libnet.pref.okayama.jp/licsxp-opac/WOpacMsgNewListToTifTilDetailAction.do?tilcod=2002222329466")</f>
        <v>https://opac.libnet.pref.okayama.jp/licsxp-opac/WOpacMsgNewListToTifTilDetailAction.do?tilcod=2002222329466</v>
      </c>
    </row>
    <row r="4018" spans="1:9" x14ac:dyDescent="0.4">
      <c r="A4018" t="str">
        <f>"にじ"</f>
        <v>にじ</v>
      </c>
      <c r="B4018" s="1" t="str">
        <f t="shared" si="204"/>
        <v>にじ</v>
      </c>
      <c r="C4018" t="str">
        <f>"ニジ"</f>
        <v>ニジ</v>
      </c>
      <c r="D4018" t="str">
        <f>"六条院中学校文芸部"</f>
        <v>六条院中学校文芸部</v>
      </c>
      <c r="E4018" t="str">
        <f>"ロクジョウイン チュウガッコウ ブンゲイブ"</f>
        <v>ロクジョウイン チュウガッコウ ブンゲイブ</v>
      </c>
      <c r="F4018" t="str">
        <f>"六条院町(浅口郡)"</f>
        <v>六条院町(浅口郡)</v>
      </c>
      <c r="G4018" t="str">
        <f>"年刊"</f>
        <v>年刊</v>
      </c>
      <c r="H4018" t="str">
        <f>"2002222334829"</f>
        <v>2002222334829</v>
      </c>
      <c r="I4018" t="str">
        <f>HYPERLINK("#", "https://opac.libnet.pref.okayama.jp/licsxp-opac/WOpacMsgNewListToTifTilDetailAction.do?tilcod=2002222334829")</f>
        <v>https://opac.libnet.pref.okayama.jp/licsxp-opac/WOpacMsgNewListToTifTilDetailAction.do?tilcod=2002222334829</v>
      </c>
    </row>
    <row r="4019" spans="1:9" x14ac:dyDescent="0.4">
      <c r="A4019" t="str">
        <f>"西Navi 岡山・福山版"</f>
        <v>西Navi 岡山・福山版</v>
      </c>
      <c r="B4019" s="1" t="str">
        <f t="shared" si="204"/>
        <v>西Navi 岡山・福山版</v>
      </c>
      <c r="C4019" t="str">
        <f>"ニシ ナビ オカヤマ フクヤマ バン"</f>
        <v>ニシ ナビ オカヤマ フクヤマ バン</v>
      </c>
      <c r="D4019" t="str">
        <f>"ジェイアール西日本コミュニケーションズ"</f>
        <v>ジェイアール西日本コミュニケーションズ</v>
      </c>
      <c r="E4019" t="str">
        <f>"ジェイアール ニシニホン コミュニケーションズ"</f>
        <v>ジェイアール ニシニホン コミュニケーションズ</v>
      </c>
      <c r="F4019" t="str">
        <f>"大阪"</f>
        <v>大阪</v>
      </c>
      <c r="G4019" t="str">
        <f>"月刊"</f>
        <v>月刊</v>
      </c>
      <c r="H4019" t="str">
        <f>"2002222328946"</f>
        <v>2002222328946</v>
      </c>
      <c r="I4019" t="str">
        <f>HYPERLINK("#", "https://opac.libnet.pref.okayama.jp/licsxp-opac/WOpacMsgNewListToTifTilDetailAction.do?tilcod=2002222328946")</f>
        <v>https://opac.libnet.pref.okayama.jp/licsxp-opac/WOpacMsgNewListToTifTilDetailAction.do?tilcod=2002222328946</v>
      </c>
    </row>
    <row r="4020" spans="1:9" x14ac:dyDescent="0.4">
      <c r="A4020" t="str">
        <f>"虹のレール"</f>
        <v>虹のレール</v>
      </c>
      <c r="B4020" s="1" t="str">
        <f t="shared" si="204"/>
        <v>虹のレール</v>
      </c>
      <c r="C4020" t="str">
        <f>"ニジ　ノ　レール"</f>
        <v>ニジ　ノ　レール</v>
      </c>
      <c r="D4020" t="str">
        <f>"岡山市民生活協同組合"</f>
        <v>岡山市民生活協同組合</v>
      </c>
      <c r="E4020" t="str">
        <f>"オカヤマシミンセイカツキョウドウクミアイ"</f>
        <v>オカヤマシミンセイカツキョウドウクミアイ</v>
      </c>
      <c r="F4020" t="str">
        <f>""</f>
        <v/>
      </c>
      <c r="G4020" t="str">
        <f>"頻度不明"</f>
        <v>頻度不明</v>
      </c>
      <c r="H4020" t="str">
        <f>"2002222285513"</f>
        <v>2002222285513</v>
      </c>
      <c r="I4020" t="str">
        <f>HYPERLINK("#", "https://opac.libnet.pref.okayama.jp/licsxp-opac/WOpacMsgNewListToTifTilDetailAction.do?tilcod=2002222285513")</f>
        <v>https://opac.libnet.pref.okayama.jp/licsxp-opac/WOpacMsgNewListToTifTilDetailAction.do?tilcod=2002222285513</v>
      </c>
    </row>
    <row r="4021" spans="1:9" x14ac:dyDescent="0.4">
      <c r="A4021" t="str">
        <f>"ニシアワー"</f>
        <v>ニシアワー</v>
      </c>
      <c r="B4021" s="1" t="str">
        <f t="shared" si="204"/>
        <v>ニシアワー</v>
      </c>
      <c r="C4021" t="str">
        <f>"ニシアワー"</f>
        <v>ニシアワー</v>
      </c>
      <c r="D4021" t="str">
        <f>"西粟倉森の学校"</f>
        <v>西粟倉森の学校</v>
      </c>
      <c r="E4021" t="str">
        <f>"ニシアワクラモリノガッコウ"</f>
        <v>ニシアワクラモリノガッコウ</v>
      </c>
      <c r="F4021" t="str">
        <f>"英田"</f>
        <v>英田</v>
      </c>
      <c r="G4021" t="str">
        <f>"季刊"</f>
        <v>季刊</v>
      </c>
      <c r="H4021" t="str">
        <f>"2002222302309"</f>
        <v>2002222302309</v>
      </c>
      <c r="I4021" t="str">
        <f>HYPERLINK("#", "https://opac.libnet.pref.okayama.jp/licsxp-opac/WOpacMsgNewListToTifTilDetailAction.do?tilcod=2002222302309")</f>
        <v>https://opac.libnet.pref.okayama.jp/licsxp-opac/WOpacMsgNewListToTifTilDetailAction.do?tilcod=2002222302309</v>
      </c>
    </row>
    <row r="4022" spans="1:9" x14ac:dyDescent="0.4">
      <c r="A4022" t="str">
        <f>"西江原史跡顕彰会報"</f>
        <v>西江原史跡顕彰会報</v>
      </c>
      <c r="B4022" s="1" t="str">
        <f t="shared" si="204"/>
        <v>西江原史跡顕彰会報</v>
      </c>
      <c r="C4022" t="str">
        <f>"ニシエバラ　シセキ　ケンショウカイ　ホウ"</f>
        <v>ニシエバラ　シセキ　ケンショウカイ　ホウ</v>
      </c>
      <c r="D4022" t="str">
        <f>"西江原史跡顕彰会"</f>
        <v>西江原史跡顕彰会</v>
      </c>
      <c r="E4022" t="str">
        <f>"ニシエバラ シセキ ケンショウカイ"</f>
        <v>ニシエバラ シセキ ケンショウカイ</v>
      </c>
      <c r="F4022" t="str">
        <f>"井原"</f>
        <v>井原</v>
      </c>
      <c r="G4022" t="str">
        <f>"年２回刊"</f>
        <v>年２回刊</v>
      </c>
      <c r="H4022" t="str">
        <f>"2002222292701"</f>
        <v>2002222292701</v>
      </c>
      <c r="I4022" t="str">
        <f>HYPERLINK("#", "https://opac.libnet.pref.okayama.jp/licsxp-opac/WOpacMsgNewListToTifTilDetailAction.do?tilcod=2002222292701")</f>
        <v>https://opac.libnet.pref.okayama.jp/licsxp-opac/WOpacMsgNewListToTifTilDetailAction.do?tilcod=2002222292701</v>
      </c>
    </row>
    <row r="4023" spans="1:9" x14ac:dyDescent="0.4">
      <c r="A4023" t="str">
        <f>"西川流域"</f>
        <v>西川流域</v>
      </c>
      <c r="B4023" s="1" t="str">
        <f t="shared" si="204"/>
        <v>西川流域</v>
      </c>
      <c r="C4023" t="str">
        <f>"ニシガワ　リュウイキ"</f>
        <v>ニシガワ　リュウイキ</v>
      </c>
      <c r="D4023" t="str">
        <f>"西川流域美化運動協議会"</f>
        <v>西川流域美化運動協議会</v>
      </c>
      <c r="E4023" t="str">
        <f>"ニシガワリュウイキビカウンドウキョウギカイ"</f>
        <v>ニシガワリュウイキビカウンドウキョウギカイ</v>
      </c>
      <c r="F4023" t="str">
        <f>"岡山"</f>
        <v>岡山</v>
      </c>
      <c r="G4023" t="str">
        <f>"頻度不明"</f>
        <v>頻度不明</v>
      </c>
      <c r="H4023" t="str">
        <f>"2002222300954"</f>
        <v>2002222300954</v>
      </c>
      <c r="I4023" t="str">
        <f>HYPERLINK("#", "https://opac.libnet.pref.okayama.jp/licsxp-opac/WOpacMsgNewListToTifTilDetailAction.do?tilcod=2002222300954")</f>
        <v>https://opac.libnet.pref.okayama.jp/licsxp-opac/WOpacMsgNewListToTifTilDetailAction.do?tilcod=2002222300954</v>
      </c>
    </row>
    <row r="4024" spans="1:9" x14ac:dyDescent="0.4">
      <c r="A4024" t="str">
        <f>"西川緑道公園イベント情報"</f>
        <v>西川緑道公園イベント情報</v>
      </c>
      <c r="B4024" s="1" t="str">
        <f t="shared" si="204"/>
        <v>西川緑道公園イベント情報</v>
      </c>
      <c r="C4024" t="str">
        <f>"ニシガワ リョクドウ コウエン イベント ジョウホウ"</f>
        <v>ニシガワ リョクドウ コウエン イベント ジョウホウ</v>
      </c>
      <c r="D4024" t="str">
        <f>"岡山市都市整備局庭園都市推進課"</f>
        <v>岡山市都市整備局庭園都市推進課</v>
      </c>
      <c r="E4024" t="str">
        <f>"オカヤマシ トシ セイビキョク テイエン トシ スイシンカ"</f>
        <v>オカヤマシ トシ セイビキョク テイエン トシ スイシンカ</v>
      </c>
      <c r="F4024" t="str">
        <f>"岡山"</f>
        <v>岡山</v>
      </c>
      <c r="G4024" t="str">
        <f>"季刊"</f>
        <v>季刊</v>
      </c>
      <c r="H4024" t="str">
        <f>"2002222333706"</f>
        <v>2002222333706</v>
      </c>
      <c r="I4024" t="str">
        <f>HYPERLINK("#", "https://opac.libnet.pref.okayama.jp/licsxp-opac/WOpacMsgNewListToTifTilDetailAction.do?tilcod=2002222333706")</f>
        <v>https://opac.libnet.pref.okayama.jp/licsxp-opac/WOpacMsgNewListToTifTilDetailAction.do?tilcod=2002222333706</v>
      </c>
    </row>
    <row r="4025" spans="1:9" x14ac:dyDescent="0.4">
      <c r="A4025" t="str">
        <f>"錦会だより"</f>
        <v>錦会だより</v>
      </c>
      <c r="B4025" s="1" t="str">
        <f t="shared" si="204"/>
        <v>錦会だより</v>
      </c>
      <c r="C4025" t="str">
        <f>"ニシキカイ　ダヨリ"</f>
        <v>ニシキカイ　ダヨリ</v>
      </c>
      <c r="D4025" t="str">
        <f>"平坂謙二方錦会"</f>
        <v>平坂謙二方錦会</v>
      </c>
      <c r="E4025" t="str">
        <f>"ヒラサカケンジカタニシキカイ"</f>
        <v>ヒラサカケンジカタニシキカイ</v>
      </c>
      <c r="F4025" t="str">
        <f>""</f>
        <v/>
      </c>
      <c r="G4025" t="str">
        <f>"頻度不明"</f>
        <v>頻度不明</v>
      </c>
      <c r="H4025" t="str">
        <f>"2002222285493"</f>
        <v>2002222285493</v>
      </c>
      <c r="I4025" t="str">
        <f>HYPERLINK("#", "https://opac.libnet.pref.okayama.jp/licsxp-opac/WOpacMsgNewListToTifTilDetailAction.do?tilcod=2002222285493")</f>
        <v>https://opac.libnet.pref.okayama.jp/licsxp-opac/WOpacMsgNewListToTifTilDetailAction.do?tilcod=2002222285493</v>
      </c>
    </row>
    <row r="4026" spans="1:9" x14ac:dyDescent="0.4">
      <c r="A4026" t="str">
        <f>"西小だより"</f>
        <v>西小だより</v>
      </c>
      <c r="B4026" s="1" t="str">
        <f t="shared" si="204"/>
        <v>西小だより</v>
      </c>
      <c r="C4026" t="str">
        <f>"ニシショウ ダヨリ"</f>
        <v>ニシショウ ダヨリ</v>
      </c>
      <c r="D4026" t="str">
        <f>"岡山市立西小学校"</f>
        <v>岡山市立西小学校</v>
      </c>
      <c r="E4026" t="str">
        <f>"オカヤマシリツ ニシ ショウガッコウ"</f>
        <v>オカヤマシリツ ニシ ショウガッコウ</v>
      </c>
      <c r="F4026" t="str">
        <f>"[岡山]"</f>
        <v>[岡山]</v>
      </c>
      <c r="G4026" t="str">
        <f>"頻度不明"</f>
        <v>頻度不明</v>
      </c>
      <c r="H4026" t="str">
        <f>"2002222338771"</f>
        <v>2002222338771</v>
      </c>
      <c r="I4026" t="str">
        <f>HYPERLINK("#", "https://opac.libnet.pref.okayama.jp/licsxp-opac/WOpacMsgNewListToTifTilDetailAction.do?tilcod=2002222338771")</f>
        <v>https://opac.libnet.pref.okayama.jp/licsxp-opac/WOpacMsgNewListToTifTilDetailAction.do?tilcod=2002222338771</v>
      </c>
    </row>
    <row r="4027" spans="1:9" x14ac:dyDescent="0.4">
      <c r="A4027" t="str">
        <f>"虹のぽけっと童話集"</f>
        <v>虹のぽけっと童話集</v>
      </c>
      <c r="B4027" s="1" t="str">
        <f t="shared" si="204"/>
        <v>虹のぽけっと童話集</v>
      </c>
      <c r="C4027" t="str">
        <f>"ニジノ　ポケット　ドウワシュウ"</f>
        <v>ニジノ　ポケット　ドウワシュウ</v>
      </c>
      <c r="D4027" t="str">
        <f>"山陽新聞カルチャープラザ岡山教室事務局"</f>
        <v>山陽新聞カルチャープラザ岡山教室事務局</v>
      </c>
      <c r="E4027" t="str">
        <f>"サンヨウシンブンカルチャープラザオカヤマキョウシツジムキョク"</f>
        <v>サンヨウシンブンカルチャープラザオカヤマキョウシツジムキョク</v>
      </c>
      <c r="F4027" t="str">
        <f>""</f>
        <v/>
      </c>
      <c r="G4027" t="str">
        <f>"頻度不明"</f>
        <v>頻度不明</v>
      </c>
      <c r="H4027" t="str">
        <f>"2002222285503"</f>
        <v>2002222285503</v>
      </c>
      <c r="I4027" t="str">
        <f>HYPERLINK("#", "https://opac.libnet.pref.okayama.jp/licsxp-opac/WOpacMsgNewListToTifTilDetailAction.do?tilcod=2002222285503")</f>
        <v>https://opac.libnet.pref.okayama.jp/licsxp-opac/WOpacMsgNewListToTifTilDetailAction.do?tilcod=2002222285503</v>
      </c>
    </row>
    <row r="4028" spans="1:9" x14ac:dyDescent="0.4">
      <c r="A4028" t="str">
        <f>"西原校報まごころ"</f>
        <v>西原校報まごころ</v>
      </c>
      <c r="B4028" s="1" t="str">
        <f t="shared" si="204"/>
        <v>西原校報まごころ</v>
      </c>
      <c r="C4028" t="str">
        <f>"ニシバラ コウホウ マゴコロ"</f>
        <v>ニシバラ コウホウ マゴコロ</v>
      </c>
      <c r="D4028" t="str">
        <f>"[西原尋常小学校]"</f>
        <v>[西原尋常小学校]</v>
      </c>
      <c r="E4028" t="str">
        <f>"ニシバラ ジンジョウ ショウガッコウ"</f>
        <v>ニシバラ ジンジョウ ショウガッコウ</v>
      </c>
      <c r="F4028" t="str">
        <f>"[豊並村(勝田郡)]"</f>
        <v>[豊並村(勝田郡)]</v>
      </c>
      <c r="G4028" t="str">
        <f>"頻度不明"</f>
        <v>頻度不明</v>
      </c>
      <c r="H4028" t="str">
        <f>"2002222328507"</f>
        <v>2002222328507</v>
      </c>
      <c r="I4028" t="str">
        <f>HYPERLINK("#", "https://opac.libnet.pref.okayama.jp/licsxp-opac/WOpacMsgNewListToTifTilDetailAction.do?tilcod=2002222328507")</f>
        <v>https://opac.libnet.pref.okayama.jp/licsxp-opac/WOpacMsgNewListToTifTilDetailAction.do?tilcod=2002222328507</v>
      </c>
    </row>
    <row r="4029" spans="1:9" x14ac:dyDescent="0.4">
      <c r="A4029" t="str">
        <f>"西山拙斎顕彰会会報"</f>
        <v>西山拙斎顕彰会会報</v>
      </c>
      <c r="B4029" s="1" t="str">
        <f t="shared" si="204"/>
        <v>西山拙斎顕彰会会報</v>
      </c>
      <c r="C4029" t="str">
        <f>"ニシヤマ　セッサイ　ケンショウカイ　カイホウ"</f>
        <v>ニシヤマ　セッサイ　ケンショウカイ　カイホウ</v>
      </c>
      <c r="D4029" t="str">
        <f>"西山拙斎顕彰会"</f>
        <v>西山拙斎顕彰会</v>
      </c>
      <c r="E4029" t="str">
        <f>"ニシヤマセッサイケンショウカイ"</f>
        <v>ニシヤマセッサイケンショウカイ</v>
      </c>
      <c r="F4029" t="str">
        <f>"鴨方町（浅口郡）"</f>
        <v>鴨方町（浅口郡）</v>
      </c>
      <c r="G4029" t="str">
        <f>"年刊"</f>
        <v>年刊</v>
      </c>
      <c r="H4029" t="str">
        <f>"2002222285321"</f>
        <v>2002222285321</v>
      </c>
      <c r="I4029" t="str">
        <f>HYPERLINK("#", "https://opac.libnet.pref.okayama.jp/licsxp-opac/WOpacMsgNewListToTifTilDetailAction.do?tilcod=2002222285321")</f>
        <v>https://opac.libnet.pref.okayama.jp/licsxp-opac/WOpacMsgNewListToTifTilDetailAction.do?tilcod=2002222285321</v>
      </c>
    </row>
    <row r="4030" spans="1:9" x14ac:dyDescent="0.4">
      <c r="A4030" t="str">
        <f>"22世紀の理想郷(ふるさと)・加茂川＆賀陽 合併協だより"</f>
        <v>22世紀の理想郷(ふるさと)・加茂川＆賀陽 合併協だより</v>
      </c>
      <c r="B4030" s="1" t="str">
        <f t="shared" si="204"/>
        <v>22世紀の理想郷(ふるさと)・加茂川＆賀陽 合併協だより</v>
      </c>
      <c r="C4030" t="str">
        <f>"ニジュウニ セイキ ノ フルサト カモガワ アンド カヨウ ガッペイ キョウ ダヨリ"</f>
        <v>ニジュウニ セイキ ノ フルサト カモガワ アンド カヨウ ガッペイ キョウ ダヨリ</v>
      </c>
      <c r="D4030" t="str">
        <f>"吉備高原中央地域合併協議会事務局"</f>
        <v>吉備高原中央地域合併協議会事務局</v>
      </c>
      <c r="E4030" t="str">
        <f>"キビコウゲンチュウオウチイキガッペイキョウギカイジムキョク"</f>
        <v>キビコウゲンチュウオウチイキガッペイキョウギカイジムキョク</v>
      </c>
      <c r="F4030" t="str">
        <f>"賀陽町(上房郡)"</f>
        <v>賀陽町(上房郡)</v>
      </c>
      <c r="G4030" t="str">
        <f>"月刊"</f>
        <v>月刊</v>
      </c>
      <c r="H4030" t="str">
        <f>"2002222281494"</f>
        <v>2002222281494</v>
      </c>
      <c r="I4030" t="str">
        <f>HYPERLINK("#", "https://opac.libnet.pref.okayama.jp/licsxp-opac/WOpacMsgNewListToTifTilDetailAction.do?tilcod=2002222281494")</f>
        <v>https://opac.libnet.pref.okayama.jp/licsxp-opac/WOpacMsgNewListToTifTilDetailAction.do?tilcod=2002222281494</v>
      </c>
    </row>
    <row r="4031" spans="1:9" x14ac:dyDescent="0.4">
      <c r="A4031" t="str">
        <f>"２２世紀の理想郷（ふるさと）・吉備中央町　合併協だより"</f>
        <v>２２世紀の理想郷（ふるさと）・吉備中央町　合併協だより</v>
      </c>
      <c r="B4031" s="1" t="str">
        <f t="shared" si="204"/>
        <v>２２世紀の理想郷（ふるさと）・吉備中央町　合併協だより</v>
      </c>
      <c r="C4031" t="str">
        <f>"ニジュウニ　セイキ　ノ　フルサト　キビチュウオウチョウ＊ガッペイ　キョウ　ダヨリ"</f>
        <v>ニジュウニ　セイキ　ノ　フルサト　キビチュウオウチョウ＊ガッペイ　キョウ　ダヨリ</v>
      </c>
      <c r="D4031" t="str">
        <f>"吉備高原中央地域合併協議会事務局"</f>
        <v>吉備高原中央地域合併協議会事務局</v>
      </c>
      <c r="E4031" t="str">
        <f>"キビコウゲンチュウオウチイキガッペイキョウギカイジムキョク"</f>
        <v>キビコウゲンチュウオウチイキガッペイキョウギカイジムキョク</v>
      </c>
      <c r="F4031" t="str">
        <f>"賀陽町（上房郡）"</f>
        <v>賀陽町（上房郡）</v>
      </c>
      <c r="G4031" t="str">
        <f>"月刊"</f>
        <v>月刊</v>
      </c>
      <c r="H4031" t="str">
        <f>"2002222300189"</f>
        <v>2002222300189</v>
      </c>
      <c r="I4031" t="str">
        <f>HYPERLINK("#", "https://opac.libnet.pref.okayama.jp/licsxp-opac/WOpacMsgNewListToTifTilDetailAction.do?tilcod=2002222300189")</f>
        <v>https://opac.libnet.pref.okayama.jp/licsxp-opac/WOpacMsgNewListToTifTilDetailAction.do?tilcod=2002222300189</v>
      </c>
    </row>
    <row r="4032" spans="1:9" x14ac:dyDescent="0.4">
      <c r="A4032" t="str">
        <f>"二松岡山"</f>
        <v>二松岡山</v>
      </c>
      <c r="B4032" s="1" t="str">
        <f t="shared" si="204"/>
        <v>二松岡山</v>
      </c>
      <c r="C4032" t="str">
        <f>"ニショウ　オカヤマ"</f>
        <v>ニショウ　オカヤマ</v>
      </c>
      <c r="D4032" t="str">
        <f>"二松岡山県人会"</f>
        <v>二松岡山県人会</v>
      </c>
      <c r="E4032" t="str">
        <f>"ニショウオカヤマケンジンカイ"</f>
        <v>ニショウオカヤマケンジンカイ</v>
      </c>
      <c r="F4032" t="str">
        <f>"東京"</f>
        <v>東京</v>
      </c>
      <c r="G4032" t="str">
        <f>"頻度不明"</f>
        <v>頻度不明</v>
      </c>
      <c r="H4032" t="str">
        <f>"2002222302067"</f>
        <v>2002222302067</v>
      </c>
      <c r="I4032" t="str">
        <f>HYPERLINK("#", "https://opac.libnet.pref.okayama.jp/licsxp-opac/WOpacMsgNewListToTifTilDetailAction.do?tilcod=2002222302067")</f>
        <v>https://opac.libnet.pref.okayama.jp/licsxp-opac/WOpacMsgNewListToTifTilDetailAction.do?tilcod=2002222302067</v>
      </c>
    </row>
    <row r="4033" spans="1:9" x14ac:dyDescent="0.4">
      <c r="A4033" t="str">
        <f>"２００５ＯＫＡＹＡＭＡ〔晴れの国おかやま国体輝いて！おかやま大会〕"</f>
        <v>２００５ＯＫＡＹＡＭＡ〔晴れの国おかやま国体輝いて！おかやま大会〕</v>
      </c>
      <c r="B4033" s="1" t="str">
        <f t="shared" si="204"/>
        <v>２００５ＯＫＡＹＡＭＡ〔晴れの国おかやま国体輝いて！おかやま大会〕</v>
      </c>
      <c r="C4033" t="str">
        <f>"ニセンゴ　オカヤマ　ハレ　ノ　クニ　オカヤマ　コクタイ　カガヤイテ　オカヤマ　タイカイ"</f>
        <v>ニセンゴ　オカヤマ　ハレ　ノ　クニ　オカヤマ　コクタイ　カガヤイテ　オカヤマ　タイカイ</v>
      </c>
      <c r="D4033" t="str">
        <f>"第６０回国民体育大会・第５回障害者スポーツ大会岡山県準備委員会"</f>
        <v>第６０回国民体育大会・第５回障害者スポーツ大会岡山県準備委員会</v>
      </c>
      <c r="E4033" t="str">
        <f>"ダイロクジッカイコクミンタイイクタイカイダイゴカイショウガイシャスポーツタイカイオカヤマケンジュンビイインカイ"</f>
        <v>ダイロクジッカイコクミンタイイクタイカイダイゴカイショウガイシャスポーツタイカイオカヤマケンジュンビイインカイ</v>
      </c>
      <c r="F4033" t="str">
        <f>"岡山"</f>
        <v>岡山</v>
      </c>
      <c r="G4033" t="str">
        <f>"頻度不明"</f>
        <v>頻度不明</v>
      </c>
      <c r="H4033" t="str">
        <f>"2002222285331"</f>
        <v>2002222285331</v>
      </c>
      <c r="I4033" t="str">
        <f>HYPERLINK("#", "https://opac.libnet.pref.okayama.jp/licsxp-opac/WOpacMsgNewListToTifTilDetailAction.do?tilcod=2002222285331")</f>
        <v>https://opac.libnet.pref.okayama.jp/licsxp-opac/WOpacMsgNewListToTifTilDetailAction.do?tilcod=2002222285331</v>
      </c>
    </row>
    <row r="4034" spans="1:9" x14ac:dyDescent="0.4">
      <c r="A4034" t="str">
        <f>"日輪"</f>
        <v>日輪</v>
      </c>
      <c r="B4034" s="1" t="str">
        <f t="shared" si="204"/>
        <v>日輪</v>
      </c>
      <c r="C4034" t="str">
        <f>"ニチリン"</f>
        <v>ニチリン</v>
      </c>
      <c r="D4034" t="str">
        <f>"岡山県職員文芸同好会"</f>
        <v>岡山県職員文芸同好会</v>
      </c>
      <c r="E4034" t="str">
        <f>"オカヤマケンショクインブンゲイドウコウカイ"</f>
        <v>オカヤマケンショクインブンゲイドウコウカイ</v>
      </c>
      <c r="F4034" t="str">
        <f>"岡山"</f>
        <v>岡山</v>
      </c>
      <c r="G4034" t="str">
        <f>"頻度不明"</f>
        <v>頻度不明</v>
      </c>
      <c r="H4034" t="str">
        <f>"2002222301358"</f>
        <v>2002222301358</v>
      </c>
      <c r="I4034" t="str">
        <f>HYPERLINK("#", "https://opac.libnet.pref.okayama.jp/licsxp-opac/WOpacMsgNewListToTifTilDetailAction.do?tilcod=2002222301358")</f>
        <v>https://opac.libnet.pref.okayama.jp/licsxp-opac/WOpacMsgNewListToTifTilDetailAction.do?tilcod=2002222301358</v>
      </c>
    </row>
    <row r="4035" spans="1:9" x14ac:dyDescent="0.4">
      <c r="A4035" t="str">
        <f>"日蓮"</f>
        <v>日蓮</v>
      </c>
      <c r="B4035" s="1" t="str">
        <f t="shared" si="204"/>
        <v>日蓮</v>
      </c>
      <c r="C4035" t="str">
        <f>"ニチレン"</f>
        <v>ニチレン</v>
      </c>
      <c r="D4035" t="str">
        <f>"岡山日蓮鑚仰会"</f>
        <v>岡山日蓮鑚仰会</v>
      </c>
      <c r="E4035" t="str">
        <f>"オカヤマ ニチレン サンギョウカイ"</f>
        <v>オカヤマ ニチレン サンギョウカイ</v>
      </c>
      <c r="F4035" t="str">
        <f>""</f>
        <v/>
      </c>
      <c r="G4035" t="str">
        <f>"頻度不明"</f>
        <v>頻度不明</v>
      </c>
      <c r="H4035" t="str">
        <f>"2002222285523"</f>
        <v>2002222285523</v>
      </c>
      <c r="I4035" t="str">
        <f>HYPERLINK("#", "https://opac.libnet.pref.okayama.jp/licsxp-opac/WOpacMsgNewListToTifTilDetailAction.do?tilcod=2002222285523")</f>
        <v>https://opac.libnet.pref.okayama.jp/licsxp-opac/WOpacMsgNewListToTifTilDetailAction.do?tilcod=2002222285523</v>
      </c>
    </row>
    <row r="4036" spans="1:9" x14ac:dyDescent="0.4">
      <c r="A4036" t="str">
        <f>"日新"</f>
        <v>日新</v>
      </c>
      <c r="B4036" s="1" t="str">
        <f t="shared" ref="B4036:B4099" si="207">HYPERLINK("#", A4036)</f>
        <v>日新</v>
      </c>
      <c r="C4036" t="str">
        <f>"ニッシン"</f>
        <v>ニッシン</v>
      </c>
      <c r="D4036" t="str">
        <f>"黒住教日新社"</f>
        <v>黒住教日新社</v>
      </c>
      <c r="E4036" t="str">
        <f>"クロズミキョウ ニッシンシャ"</f>
        <v>クロズミキョウ ニッシンシャ</v>
      </c>
      <c r="F4036" t="str">
        <f>"岡山"</f>
        <v>岡山</v>
      </c>
      <c r="G4036" t="str">
        <f>"月刊"</f>
        <v>月刊</v>
      </c>
      <c r="H4036" t="str">
        <f>"2002222293071"</f>
        <v>2002222293071</v>
      </c>
      <c r="I4036" t="str">
        <f>HYPERLINK("#", "https://opac.libnet.pref.okayama.jp/licsxp-opac/WOpacMsgNewListToTifTilDetailAction.do?tilcod=2002222293071")</f>
        <v>https://opac.libnet.pref.okayama.jp/licsxp-opac/WOpacMsgNewListToTifTilDetailAction.do?tilcod=2002222293071</v>
      </c>
    </row>
    <row r="4037" spans="1:9" x14ac:dyDescent="0.4">
      <c r="A4037" t="str">
        <f>"日赤ふれあい新聞"</f>
        <v>日赤ふれあい新聞</v>
      </c>
      <c r="B4037" s="1" t="str">
        <f t="shared" si="207"/>
        <v>日赤ふれあい新聞</v>
      </c>
      <c r="C4037" t="str">
        <f>"ニッセキ　フレアイ　シンブン"</f>
        <v>ニッセキ　フレアイ　シンブン</v>
      </c>
      <c r="D4037" t="str">
        <f>"岡山赤十字病院"</f>
        <v>岡山赤十字病院</v>
      </c>
      <c r="E4037" t="str">
        <f>"オカヤマセキジュウジビョウイン"</f>
        <v>オカヤマセキジュウジビョウイン</v>
      </c>
      <c r="F4037" t="str">
        <f>"岡山"</f>
        <v>岡山</v>
      </c>
      <c r="G4037" t="str">
        <f>"季刊"</f>
        <v>季刊</v>
      </c>
      <c r="H4037" t="str">
        <f>"2002222301728"</f>
        <v>2002222301728</v>
      </c>
      <c r="I4037" t="str">
        <f>HYPERLINK("#", "https://opac.libnet.pref.okayama.jp/licsxp-opac/WOpacMsgNewListToTifTilDetailAction.do?tilcod=2002222301728")</f>
        <v>https://opac.libnet.pref.okayama.jp/licsxp-opac/WOpacMsgNewListToTifTilDetailAction.do?tilcod=2002222301728</v>
      </c>
    </row>
    <row r="4038" spans="1:9" x14ac:dyDescent="0.4">
      <c r="A4038" t="str">
        <f>"ＮⅰＮⅰ（ニニ）"</f>
        <v>ＮⅰＮⅰ（ニニ）</v>
      </c>
      <c r="B4038" s="1" t="str">
        <f t="shared" si="207"/>
        <v>ＮⅰＮⅰ（ニニ）</v>
      </c>
      <c r="C4038" t="str">
        <f>"ニニ"</f>
        <v>ニニ</v>
      </c>
      <c r="D4038" t="str">
        <f>"岡山日日新聞社"</f>
        <v>岡山日日新聞社</v>
      </c>
      <c r="E4038" t="str">
        <f>"オカヤマニチニチシンブンシャ"</f>
        <v>オカヤマニチニチシンブンシャ</v>
      </c>
      <c r="F4038" t="str">
        <f>"岡山"</f>
        <v>岡山</v>
      </c>
      <c r="G4038" t="str">
        <f>"季刊"</f>
        <v>季刊</v>
      </c>
      <c r="H4038" t="str">
        <f>"2002222301887"</f>
        <v>2002222301887</v>
      </c>
      <c r="I4038" t="str">
        <f>HYPERLINK("#", "https://opac.libnet.pref.okayama.jp/licsxp-opac/WOpacMsgNewListToTifTilDetailAction.do?tilcod=2002222301887")</f>
        <v>https://opac.libnet.pref.okayama.jp/licsxp-opac/WOpacMsgNewListToTifTilDetailAction.do?tilcod=2002222301887</v>
      </c>
    </row>
    <row r="4039" spans="1:9" x14ac:dyDescent="0.4">
      <c r="A4039" t="str">
        <f>"日本科学者会議岡山支部通信"</f>
        <v>日本科学者会議岡山支部通信</v>
      </c>
      <c r="B4039" s="1" t="str">
        <f t="shared" si="207"/>
        <v>日本科学者会議岡山支部通信</v>
      </c>
      <c r="C4039" t="str">
        <f>"ニホン　カガクシャ　カイギ　オカヤマ　シブ　ツウシン"</f>
        <v>ニホン　カガクシャ　カイギ　オカヤマ　シブ　ツウシン</v>
      </c>
      <c r="D4039" t="str">
        <f>"日本科学者会議岡山支部"</f>
        <v>日本科学者会議岡山支部</v>
      </c>
      <c r="E4039" t="str">
        <f>"ニホンカガクシャカイギオカヤマシブ"</f>
        <v>ニホンカガクシャカイギオカヤマシブ</v>
      </c>
      <c r="F4039" t="str">
        <f>""</f>
        <v/>
      </c>
      <c r="G4039" t="str">
        <f>"頻度不明"</f>
        <v>頻度不明</v>
      </c>
      <c r="H4039" t="str">
        <f>"2002222285543"</f>
        <v>2002222285543</v>
      </c>
      <c r="I4039" t="str">
        <f>HYPERLINK("#", "https://opac.libnet.pref.okayama.jp/licsxp-opac/WOpacMsgNewListToTifTilDetailAction.do?tilcod=2002222285543")</f>
        <v>https://opac.libnet.pref.okayama.jp/licsxp-opac/WOpacMsgNewListToTifTilDetailAction.do?tilcod=2002222285543</v>
      </c>
    </row>
    <row r="4040" spans="1:9" x14ac:dyDescent="0.4">
      <c r="A4040" t="str">
        <f>"日本科学者会議岡山つうしん"</f>
        <v>日本科学者会議岡山つうしん</v>
      </c>
      <c r="B4040" s="1" t="str">
        <f t="shared" si="207"/>
        <v>日本科学者会議岡山つうしん</v>
      </c>
      <c r="C4040" t="str">
        <f>"ニホン カガクシャ カイギ オカヤマ ツウシン"</f>
        <v>ニホン カガクシャ カイギ オカヤマ ツウシン</v>
      </c>
      <c r="D4040" t="str">
        <f>"日本科学者会議岡山支部事務局"</f>
        <v>日本科学者会議岡山支部事務局</v>
      </c>
      <c r="E4040" t="str">
        <f>"ニホン カガクシャ カイギ オカヤマ シブ ジムキョク"</f>
        <v>ニホン カガクシャ カイギ オカヤマ シブ ジムキョク</v>
      </c>
      <c r="F4040" t="str">
        <f>"岡山"</f>
        <v>岡山</v>
      </c>
      <c r="G4040" t="str">
        <f>"頻度不明"</f>
        <v>頻度不明</v>
      </c>
      <c r="H4040" t="str">
        <f>"2002222308406"</f>
        <v>2002222308406</v>
      </c>
      <c r="I4040" t="str">
        <f>HYPERLINK("#", "https://opac.libnet.pref.okayama.jp/licsxp-opac/WOpacMsgNewListToTifTilDetailAction.do?tilcod=2002222308406")</f>
        <v>https://opac.libnet.pref.okayama.jp/licsxp-opac/WOpacMsgNewListToTifTilDetailAction.do?tilcod=2002222308406</v>
      </c>
    </row>
    <row r="4041" spans="1:9" x14ac:dyDescent="0.4">
      <c r="A4041" t="str">
        <f>"〔日本カブトガニを守る会〕会報"</f>
        <v>〔日本カブトガニを守る会〕会報</v>
      </c>
      <c r="B4041" s="1" t="str">
        <f t="shared" si="207"/>
        <v>〔日本カブトガニを守る会〕会報</v>
      </c>
      <c r="C4041" t="str">
        <f>"ニホン　カブトガニ　オ　マモル　カイ　カイホウ"</f>
        <v>ニホン　カブトガニ　オ　マモル　カイ　カイホウ</v>
      </c>
      <c r="D4041" t="str">
        <f>"日本カブトガニを守る会"</f>
        <v>日本カブトガニを守る会</v>
      </c>
      <c r="E4041" t="str">
        <f>"ニホン カブトガニ オ マモル カイ"</f>
        <v>ニホン カブトガニ オ マモル カイ</v>
      </c>
      <c r="F4041" t="str">
        <f>""</f>
        <v/>
      </c>
      <c r="G4041" t="str">
        <f>"頻度不明"</f>
        <v>頻度不明</v>
      </c>
      <c r="H4041" t="str">
        <f>"2002222285553"</f>
        <v>2002222285553</v>
      </c>
      <c r="I4041" t="str">
        <f>HYPERLINK("#", "https://opac.libnet.pref.okayama.jp/licsxp-opac/WOpacMsgNewListToTifTilDetailAction.do?tilcod=2002222285553")</f>
        <v>https://opac.libnet.pref.okayama.jp/licsxp-opac/WOpacMsgNewListToTifTilDetailAction.do?tilcod=2002222285553</v>
      </c>
    </row>
    <row r="4042" spans="1:9" x14ac:dyDescent="0.4">
      <c r="A4042" t="str">
        <f>"日本漢詩文学"</f>
        <v>日本漢詩文学</v>
      </c>
      <c r="B4042" s="1" t="str">
        <f t="shared" si="207"/>
        <v>日本漢詩文学</v>
      </c>
      <c r="C4042" t="str">
        <f>"ニホン　カンシ　ブンガク"</f>
        <v>ニホン　カンシ　ブンガク</v>
      </c>
      <c r="D4042" t="str">
        <f>"日本漢詩文学連盟"</f>
        <v>日本漢詩文学連盟</v>
      </c>
      <c r="E4042" t="str">
        <f>"ニホンカンシブンガクレンメイ"</f>
        <v>ニホンカンシブンガクレンメイ</v>
      </c>
      <c r="F4042" t="str">
        <f>""</f>
        <v/>
      </c>
      <c r="G4042" t="str">
        <f>"頻度不明"</f>
        <v>頻度不明</v>
      </c>
      <c r="H4042" t="str">
        <f>"2002222285563"</f>
        <v>2002222285563</v>
      </c>
      <c r="I4042" t="str">
        <f>HYPERLINK("#", "https://opac.libnet.pref.okayama.jp/licsxp-opac/WOpacMsgNewListToTifTilDetailAction.do?tilcod=2002222285563")</f>
        <v>https://opac.libnet.pref.okayama.jp/licsxp-opac/WOpacMsgNewListToTifTilDetailAction.do?tilcod=2002222285563</v>
      </c>
    </row>
    <row r="4043" spans="1:9" x14ac:dyDescent="0.4">
      <c r="A4043" t="str">
        <f>"日本教育新聞　岡山県版特集"</f>
        <v>日本教育新聞　岡山県版特集</v>
      </c>
      <c r="B4043" s="1" t="str">
        <f t="shared" si="207"/>
        <v>日本教育新聞　岡山県版特集</v>
      </c>
      <c r="C4043" t="str">
        <f>"ニホン　キョウイク　シンブン　オカヤマ　ケンバン　トクシュウ"</f>
        <v>ニホン　キョウイク　シンブン　オカヤマ　ケンバン　トクシュウ</v>
      </c>
      <c r="D4043" t="str">
        <f>"日本教育新聞社岡山支局"</f>
        <v>日本教育新聞社岡山支局</v>
      </c>
      <c r="E4043" t="str">
        <f>"ニホン キョウイク シンブンシャ オカヤマ シキョク"</f>
        <v>ニホン キョウイク シンブンシャ オカヤマ シキョク</v>
      </c>
      <c r="F4043" t="str">
        <f t="shared" ref="F4043:F4058" si="208">"岡山"</f>
        <v>岡山</v>
      </c>
      <c r="G4043" t="str">
        <f>"その他"</f>
        <v>その他</v>
      </c>
      <c r="H4043" t="str">
        <f>"2002222300955"</f>
        <v>2002222300955</v>
      </c>
      <c r="I4043" t="str">
        <f>HYPERLINK("#", "https://opac.libnet.pref.okayama.jp/licsxp-opac/WOpacMsgNewListToTifTilDetailAction.do?tilcod=2002222300955")</f>
        <v>https://opac.libnet.pref.okayama.jp/licsxp-opac/WOpacMsgNewListToTifTilDetailAction.do?tilcod=2002222300955</v>
      </c>
    </row>
    <row r="4044" spans="1:9" x14ac:dyDescent="0.4">
      <c r="A4044" t="str">
        <f>"日本共産党岡山県議会NEWS"</f>
        <v>日本共産党岡山県議会NEWS</v>
      </c>
      <c r="B4044" s="1" t="str">
        <f t="shared" si="207"/>
        <v>日本共産党岡山県議会NEWS</v>
      </c>
      <c r="C4044" t="str">
        <f>"ニホン キョウサントウ オカヤマ ケンギカイ ニュース"</f>
        <v>ニホン キョウサントウ オカヤマ ケンギカイ ニュース</v>
      </c>
      <c r="D4044" t="str">
        <f>"日本共産党岡山県議会議員団"</f>
        <v>日本共産党岡山県議会議員団</v>
      </c>
      <c r="E4044" t="str">
        <f>"ニホンキョウサントウオカヤマケンギカイギインダン"</f>
        <v>ニホンキョウサントウオカヤマケンギカイギインダン</v>
      </c>
      <c r="F4044" t="str">
        <f t="shared" si="208"/>
        <v>岡山</v>
      </c>
      <c r="G4044" t="str">
        <f>"不定期刊"</f>
        <v>不定期刊</v>
      </c>
      <c r="H4044" t="str">
        <f>"2002222341250"</f>
        <v>2002222341250</v>
      </c>
      <c r="I4044" t="str">
        <f>HYPERLINK("#", "https://opac.libnet.pref.okayama.jp/licsxp-opac/WOpacMsgNewListToTifTilDetailAction.do?tilcod=2002222341250")</f>
        <v>https://opac.libnet.pref.okayama.jp/licsxp-opac/WOpacMsgNewListToTifTilDetailAction.do?tilcod=2002222341250</v>
      </c>
    </row>
    <row r="4045" spans="1:9" x14ac:dyDescent="0.4">
      <c r="A4045" t="str">
        <f>"日本共産党岡山県議会報告"</f>
        <v>日本共産党岡山県議会報告</v>
      </c>
      <c r="B4045" s="1" t="str">
        <f t="shared" si="207"/>
        <v>日本共産党岡山県議会報告</v>
      </c>
      <c r="C4045" t="str">
        <f>"ニホン　キョウサントウ　オカヤマ　ケンギカイ　ホウコク"</f>
        <v>ニホン　キョウサントウ　オカヤマ　ケンギカイ　ホウコク</v>
      </c>
      <c r="D4045" t="str">
        <f>"日本共産党岡山県議会議員団"</f>
        <v>日本共産党岡山県議会議員団</v>
      </c>
      <c r="E4045" t="str">
        <f>"ニホンキョウサントウオカヤマケンギカイギインダン"</f>
        <v>ニホンキョウサントウオカヤマケンギカイギインダン</v>
      </c>
      <c r="F4045" t="str">
        <f t="shared" si="208"/>
        <v>岡山</v>
      </c>
      <c r="G4045" t="str">
        <f>"不定期刊"</f>
        <v>不定期刊</v>
      </c>
      <c r="H4045" t="str">
        <f>"2002222301902"</f>
        <v>2002222301902</v>
      </c>
      <c r="I4045" t="str">
        <f>HYPERLINK("#", "https://opac.libnet.pref.okayama.jp/licsxp-opac/WOpacMsgNewListToTifTilDetailAction.do?tilcod=2002222301902")</f>
        <v>https://opac.libnet.pref.okayama.jp/licsxp-opac/WOpacMsgNewListToTifTilDetailAction.do?tilcod=2002222301902</v>
      </c>
    </row>
    <row r="4046" spans="1:9" x14ac:dyDescent="0.4">
      <c r="A4046" t="str">
        <f>"日本共産党岡山市議会議員東つよしニュース；東つよしの東奔西走"</f>
        <v>日本共産党岡山市議会議員東つよしニュース；東つよしの東奔西走</v>
      </c>
      <c r="B4046" s="1" t="str">
        <f t="shared" si="207"/>
        <v>日本共産党岡山市議会議員東つよしニュース；東つよしの東奔西走</v>
      </c>
      <c r="C4046" t="str">
        <f>"ニホン キョウサントウ オカヤマ シギカイ ギイン アズマ ツヨシ ニュース＊アズマ ツヨシノ トウホン セイソウ"</f>
        <v>ニホン キョウサントウ オカヤマ シギカイ ギイン アズマ ツヨシ ニュース＊アズマ ツヨシノ トウホン セイソウ</v>
      </c>
      <c r="D4046" t="str">
        <f>"日本共産党岡山市議会議員団"</f>
        <v>日本共産党岡山市議会議員団</v>
      </c>
      <c r="E4046" t="str">
        <f>"ニホンキョウサントウオカヤマシギカイギインダン"</f>
        <v>ニホンキョウサントウオカヤマシギカイギインダン</v>
      </c>
      <c r="F4046" t="str">
        <f t="shared" si="208"/>
        <v>岡山</v>
      </c>
      <c r="G4046" t="str">
        <f>"頻度不明"</f>
        <v>頻度不明</v>
      </c>
      <c r="H4046" t="str">
        <f>"2002222311167"</f>
        <v>2002222311167</v>
      </c>
      <c r="I4046" t="str">
        <f>HYPERLINK("#", "https://opac.libnet.pref.okayama.jp/licsxp-opac/WOpacMsgNewListToTifTilDetailAction.do?tilcod=2002222311167")</f>
        <v>https://opac.libnet.pref.okayama.jp/licsxp-opac/WOpacMsgNewListToTifTilDetailAction.do?tilcod=2002222311167</v>
      </c>
    </row>
    <row r="4047" spans="1:9" x14ac:dyDescent="0.4">
      <c r="A4047" t="str">
        <f>"日本共産党岡山市議会議員林じゅんニュース"</f>
        <v>日本共産党岡山市議会議員林じゅんニュース</v>
      </c>
      <c r="B4047" s="1" t="str">
        <f t="shared" si="207"/>
        <v>日本共産党岡山市議会議員林じゅんニュース</v>
      </c>
      <c r="C4047" t="str">
        <f>"ニホン　キョウサントウ　オカヤマ　シギカイ　ギイン　ハヤシ　ジュン　ニュース"</f>
        <v>ニホン　キョウサントウ　オカヤマ　シギカイ　ギイン　ハヤシ　ジュン　ニュース</v>
      </c>
      <c r="D4047" t="str">
        <f>"日本共産党岡山市議会議員団"</f>
        <v>日本共産党岡山市議会議員団</v>
      </c>
      <c r="E4047" t="str">
        <f>"ニホンキョウサントウオカヤマシギカイギインダン"</f>
        <v>ニホンキョウサントウオカヤマシギカイギインダン</v>
      </c>
      <c r="F4047" t="str">
        <f t="shared" si="208"/>
        <v>岡山</v>
      </c>
      <c r="G4047" t="str">
        <f>"頻度不明"</f>
        <v>頻度不明</v>
      </c>
      <c r="H4047" t="str">
        <f>"2002222301898"</f>
        <v>2002222301898</v>
      </c>
      <c r="I4047" t="str">
        <f>HYPERLINK("#", "https://opac.libnet.pref.okayama.jp/licsxp-opac/WOpacMsgNewListToTifTilDetailAction.do?tilcod=2002222301898")</f>
        <v>https://opac.libnet.pref.okayama.jp/licsxp-opac/WOpacMsgNewListToTifTilDetailAction.do?tilcod=2002222301898</v>
      </c>
    </row>
    <row r="4048" spans="1:9" x14ac:dyDescent="0.4">
      <c r="A4048" t="str">
        <f>"日本共産党岡山市議団news"</f>
        <v>日本共産党岡山市議団news</v>
      </c>
      <c r="B4048" s="1" t="str">
        <f t="shared" si="207"/>
        <v>日本共産党岡山市議団news</v>
      </c>
      <c r="C4048" t="str">
        <f>"ニホン キョウサントウ オカヤマ シギダン ニュース"</f>
        <v>ニホン キョウサントウ オカヤマ シギダン ニュース</v>
      </c>
      <c r="D4048" t="str">
        <f>"日本共産党岡山市議団"</f>
        <v>日本共産党岡山市議団</v>
      </c>
      <c r="E4048" t="str">
        <f>"ニホン　キョウサントウ　オカヤマ　シギダン"</f>
        <v>ニホン　キョウサントウ　オカヤマ　シギダン</v>
      </c>
      <c r="F4048" t="str">
        <f t="shared" si="208"/>
        <v>岡山</v>
      </c>
      <c r="G4048" t="str">
        <f>"不定期刊"</f>
        <v>不定期刊</v>
      </c>
      <c r="H4048" t="str">
        <f>"2002222281931"</f>
        <v>2002222281931</v>
      </c>
      <c r="I4048" t="str">
        <f>HYPERLINK("#", "https://opac.libnet.pref.okayama.jp/licsxp-opac/WOpacMsgNewListToTifTilDetailAction.do?tilcod=2002222281931")</f>
        <v>https://opac.libnet.pref.okayama.jp/licsxp-opac/WOpacMsgNewListToTifTilDetailAction.do?tilcod=2002222281931</v>
      </c>
    </row>
    <row r="4049" spans="1:9" x14ac:dyDescent="0.4">
      <c r="A4049" t="str">
        <f>"日本共産党岡山県後援会ニュース"</f>
        <v>日本共産党岡山県後援会ニュース</v>
      </c>
      <c r="B4049" s="1" t="str">
        <f t="shared" si="207"/>
        <v>日本共産党岡山県後援会ニュース</v>
      </c>
      <c r="C4049" t="str">
        <f>"ニホン　キョウサントウ　オカヤマケン　コウエンカイ　ニュース"</f>
        <v>ニホン　キョウサントウ　オカヤマケン　コウエンカイ　ニュース</v>
      </c>
      <c r="D4049" t="str">
        <f>"日本共産党岡山県後援会"</f>
        <v>日本共産党岡山県後援会</v>
      </c>
      <c r="E4049" t="str">
        <f>"ニホンキョウサントウオカヤマケンコウエンカイ"</f>
        <v>ニホンキョウサントウオカヤマケンコウエンカイ</v>
      </c>
      <c r="F4049" t="str">
        <f t="shared" si="208"/>
        <v>岡山</v>
      </c>
      <c r="G4049" t="str">
        <f>"頻度不明"</f>
        <v>頻度不明</v>
      </c>
      <c r="H4049" t="str">
        <f>"2002222301904"</f>
        <v>2002222301904</v>
      </c>
      <c r="I4049" t="str">
        <f>HYPERLINK("#", "https://opac.libnet.pref.okayama.jp/licsxp-opac/WOpacMsgNewListToTifTilDetailAction.do?tilcod=2002222301904")</f>
        <v>https://opac.libnet.pref.okayama.jp/licsxp-opac/WOpacMsgNewListToTifTilDetailAction.do?tilcod=2002222301904</v>
      </c>
    </row>
    <row r="4050" spans="1:9" x14ac:dyDescent="0.4">
      <c r="A4050" t="str">
        <f>"日本共産党岡山市後援会ニュース"</f>
        <v>日本共産党岡山市後援会ニュース</v>
      </c>
      <c r="B4050" s="1" t="str">
        <f t="shared" si="207"/>
        <v>日本共産党岡山市後援会ニュース</v>
      </c>
      <c r="C4050" t="str">
        <f>"ニホン　キョウサントウ　オカヤマシ　コウエンカイ　ニュース"</f>
        <v>ニホン　キョウサントウ　オカヤマシ　コウエンカイ　ニュース</v>
      </c>
      <c r="D4050" t="str">
        <f>"日本共産党岡山市後援会"</f>
        <v>日本共産党岡山市後援会</v>
      </c>
      <c r="E4050" t="str">
        <f>"ニホンキョウサントウオカヤマシコウエンカイ"</f>
        <v>ニホンキョウサントウオカヤマシコウエンカイ</v>
      </c>
      <c r="F4050" t="str">
        <f t="shared" si="208"/>
        <v>岡山</v>
      </c>
      <c r="G4050" t="str">
        <f>"頻度不明"</f>
        <v>頻度不明</v>
      </c>
      <c r="H4050" t="str">
        <f>"2002222301903"</f>
        <v>2002222301903</v>
      </c>
      <c r="I4050" t="str">
        <f>HYPERLINK("#", "https://opac.libnet.pref.okayama.jp/licsxp-opac/WOpacMsgNewListToTifTilDetailAction.do?tilcod=2002222301903")</f>
        <v>https://opac.libnet.pref.okayama.jp/licsxp-opac/WOpacMsgNewListToTifTilDetailAction.do?tilcod=2002222301903</v>
      </c>
    </row>
    <row r="4051" spans="1:9" x14ac:dyDescent="0.4">
      <c r="A4051" t="str">
        <f>"〔日本共産党岡山地区委員会〕後援会ニュース；岡山地域後援会ニュース"</f>
        <v>〔日本共産党岡山地区委員会〕後援会ニュース；岡山地域後援会ニュース</v>
      </c>
      <c r="B4051" s="1" t="str">
        <f t="shared" si="207"/>
        <v>〔日本共産党岡山地区委員会〕後援会ニュース；岡山地域後援会ニュース</v>
      </c>
      <c r="C4051" t="str">
        <f>"ニホン　キョウサントウ　オカヤマチク　イインカイ　コウエンカイ　ニュース＊オカヤマ　チイキ　コウエンカイ　ニュース"</f>
        <v>ニホン　キョウサントウ　オカヤマチク　イインカイ　コウエンカイ　ニュース＊オカヤマ　チイキ　コウエンカイ　ニュース</v>
      </c>
      <c r="D4051" t="str">
        <f>"日本共産党岡山地区委員会"</f>
        <v>日本共産党岡山地区委員会</v>
      </c>
      <c r="E4051" t="str">
        <f>"ニホン キョウサントウ オカヤマ チク イインカイ"</f>
        <v>ニホン キョウサントウ オカヤマ チク イインカイ</v>
      </c>
      <c r="F4051" t="str">
        <f t="shared" si="208"/>
        <v>岡山</v>
      </c>
      <c r="G4051" t="str">
        <f>"不定期刊"</f>
        <v>不定期刊</v>
      </c>
      <c r="H4051" t="str">
        <f>"2002222301901"</f>
        <v>2002222301901</v>
      </c>
      <c r="I4051" t="str">
        <f>HYPERLINK("#", "https://opac.libnet.pref.okayama.jp/licsxp-opac/WOpacMsgNewListToTifTilDetailAction.do?tilcod=2002222301901")</f>
        <v>https://opac.libnet.pref.okayama.jp/licsxp-opac/WOpacMsgNewListToTifTilDetailAction.do?tilcod=2002222301901</v>
      </c>
    </row>
    <row r="4052" spans="1:9" x14ac:dyDescent="0.4">
      <c r="A4052" t="str">
        <f>"日本共産党救援復興ニュース"</f>
        <v>日本共産党救援復興ニュース</v>
      </c>
      <c r="B4052" s="1" t="str">
        <f t="shared" si="207"/>
        <v>日本共産党救援復興ニュース</v>
      </c>
      <c r="C4052" t="str">
        <f>"ニホン キョウサントウ キュウエン フッコウ ニュース "</f>
        <v xml:space="preserve">ニホン キョウサントウ キュウエン フッコウ ニュース </v>
      </c>
      <c r="D4052" t="str">
        <f>"日本共産党岡山県委員会"</f>
        <v>日本共産党岡山県委員会</v>
      </c>
      <c r="E4052" t="str">
        <f>"ニホン キョウサントウ オカヤマケン イインカイ"</f>
        <v>ニホン キョウサントウ オカヤマケン イインカイ</v>
      </c>
      <c r="F4052" t="str">
        <f t="shared" si="208"/>
        <v>岡山</v>
      </c>
      <c r="G4052" t="str">
        <f>"頻度不明"</f>
        <v>頻度不明</v>
      </c>
      <c r="H4052" t="str">
        <f>"2002222307866"</f>
        <v>2002222307866</v>
      </c>
      <c r="I4052" t="str">
        <f>HYPERLINK("#", "https://opac.libnet.pref.okayama.jp/licsxp-opac/WOpacMsgNewListToTifTilDetailAction.do?tilcod=2002222307866")</f>
        <v>https://opac.libnet.pref.okayama.jp/licsxp-opac/WOpacMsgNewListToTifTilDetailAction.do?tilcod=2002222307866</v>
      </c>
    </row>
    <row r="4053" spans="1:9" x14ac:dyDescent="0.4">
      <c r="A4053" t="str">
        <f>"日本共産党県議会議員・森脇ひさきニュース；お元気ですか"</f>
        <v>日本共産党県議会議員・森脇ひさきニュース；お元気ですか</v>
      </c>
      <c r="B4053" s="1" t="str">
        <f t="shared" si="207"/>
        <v>日本共産党県議会議員・森脇ひさきニュース；お元気ですか</v>
      </c>
      <c r="C4053" t="str">
        <f>"ニホン　キョウサントウ　ケンギカイ　ギイン　モリワキ　ヒサキ　ニュース＊オゲンキ　デスカ"</f>
        <v>ニホン　キョウサントウ　ケンギカイ　ギイン　モリワキ　ヒサキ　ニュース＊オゲンキ　デスカ</v>
      </c>
      <c r="D4053" t="str">
        <f>"日本共産党県議会議員団"</f>
        <v>日本共産党県議会議員団</v>
      </c>
      <c r="E4053" t="str">
        <f>"ニホン キョウサントウ ケンギカイ ギインダン"</f>
        <v>ニホン キョウサントウ ケンギカイ ギインダン</v>
      </c>
      <c r="F4053" t="str">
        <f t="shared" si="208"/>
        <v>岡山</v>
      </c>
      <c r="G4053" t="str">
        <f>"不定期刊"</f>
        <v>不定期刊</v>
      </c>
      <c r="H4053" t="str">
        <f>"2002222301897"</f>
        <v>2002222301897</v>
      </c>
      <c r="I4053" t="str">
        <f>HYPERLINK("#", "https://opac.libnet.pref.okayama.jp/licsxp-opac/WOpacMsgNewListToTifTilDetailAction.do?tilcod=2002222301897")</f>
        <v>https://opac.libnet.pref.okayama.jp/licsxp-opac/WOpacMsgNewListToTifTilDetailAction.do?tilcod=2002222301897</v>
      </c>
    </row>
    <row r="4054" spans="1:9" x14ac:dyDescent="0.4">
      <c r="A4054" t="str">
        <f>"日本共産党林じゅん後援会ニュース"</f>
        <v>日本共産党林じゅん後援会ニュース</v>
      </c>
      <c r="B4054" s="1" t="str">
        <f t="shared" si="207"/>
        <v>日本共産党林じゅん後援会ニュース</v>
      </c>
      <c r="C4054" t="str">
        <f>"ニホン　キョウサントウ　ハヤシ　ジュン　コウエンカイ　ニュース"</f>
        <v>ニホン　キョウサントウ　ハヤシ　ジュン　コウエンカイ　ニュース</v>
      </c>
      <c r="D4054" t="str">
        <f>"日本共産党林じゅん後援会"</f>
        <v>日本共産党林じゅん後援会</v>
      </c>
      <c r="E4054" t="str">
        <f>"ニホンキョウサントウハヤシジュンコウエンカイ"</f>
        <v>ニホンキョウサントウハヤシジュンコウエンカイ</v>
      </c>
      <c r="F4054" t="str">
        <f t="shared" si="208"/>
        <v>岡山</v>
      </c>
      <c r="G4054" t="str">
        <f>"頻度不明"</f>
        <v>頻度不明</v>
      </c>
      <c r="H4054" t="str">
        <f>"2002222301900"</f>
        <v>2002222301900</v>
      </c>
      <c r="I4054" t="str">
        <f>HYPERLINK("#", "https://opac.libnet.pref.okayama.jp/licsxp-opac/WOpacMsgNewListToTifTilDetailAction.do?tilcod=2002222301900")</f>
        <v>https://opac.libnet.pref.okayama.jp/licsxp-opac/WOpacMsgNewListToTifTilDetailAction.do?tilcod=2002222301900</v>
      </c>
    </row>
    <row r="4055" spans="1:9" x14ac:dyDescent="0.4">
      <c r="A4055" t="str">
        <f>"日本工芸会中国支部会報"</f>
        <v>日本工芸会中国支部会報</v>
      </c>
      <c r="B4055" s="1" t="str">
        <f t="shared" si="207"/>
        <v>日本工芸会中国支部会報</v>
      </c>
      <c r="C4055" t="str">
        <f>"ニホン コウゲイカイ チュウゴク シブ カイホウ"</f>
        <v>ニホン コウゲイカイ チュウゴク シブ カイホウ</v>
      </c>
      <c r="D4055" t="str">
        <f>"日本工芸会中国支部"</f>
        <v>日本工芸会中国支部</v>
      </c>
      <c r="E4055" t="str">
        <f>"ニホン コウゲイカイ チュウゴク シブ"</f>
        <v>ニホン コウゲイカイ チュウゴク シブ</v>
      </c>
      <c r="F4055" t="str">
        <f t="shared" si="208"/>
        <v>岡山</v>
      </c>
      <c r="G4055" t="str">
        <f>"年刊"</f>
        <v>年刊</v>
      </c>
      <c r="H4055" t="str">
        <f>"2002222319618"</f>
        <v>2002222319618</v>
      </c>
      <c r="I4055" t="str">
        <f>HYPERLINK("#", "https://opac.libnet.pref.okayama.jp/licsxp-opac/WOpacMsgNewListToTifTilDetailAction.do?tilcod=2002222319618")</f>
        <v>https://opac.libnet.pref.okayama.jp/licsxp-opac/WOpacMsgNewListToTifTilDetailAction.do?tilcod=2002222319618</v>
      </c>
    </row>
    <row r="4056" spans="1:9" x14ac:dyDescent="0.4">
      <c r="A4056" t="str">
        <f>"日本興信岡山版"</f>
        <v>日本興信岡山版</v>
      </c>
      <c r="B4056" s="1" t="str">
        <f t="shared" si="207"/>
        <v>日本興信岡山版</v>
      </c>
      <c r="C4056" t="str">
        <f>"ニホン　コウシン　オカヤマバン"</f>
        <v>ニホン　コウシン　オカヤマバン</v>
      </c>
      <c r="D4056" t="str">
        <f>"日本興信岡山支社"</f>
        <v>日本興信岡山支社</v>
      </c>
      <c r="E4056" t="str">
        <f>"ニホンコウシンオカヤマシシャ"</f>
        <v>ニホンコウシンオカヤマシシャ</v>
      </c>
      <c r="F4056" t="str">
        <f t="shared" si="208"/>
        <v>岡山</v>
      </c>
      <c r="G4056" t="str">
        <f>"旬刊"</f>
        <v>旬刊</v>
      </c>
      <c r="H4056" t="str">
        <f>"2002222300956"</f>
        <v>2002222300956</v>
      </c>
      <c r="I4056" t="str">
        <f>HYPERLINK("#", "https://opac.libnet.pref.okayama.jp/licsxp-opac/WOpacMsgNewListToTifTilDetailAction.do?tilcod=2002222300956")</f>
        <v>https://opac.libnet.pref.okayama.jp/licsxp-opac/WOpacMsgNewListToTifTilDetailAction.do?tilcod=2002222300956</v>
      </c>
    </row>
    <row r="4057" spans="1:9" x14ac:dyDescent="0.4">
      <c r="A4057" t="str">
        <f>"日本女性会議’９７おかやま実行委員会ＮＥＷＳ"</f>
        <v>日本女性会議’９７おかやま実行委員会ＮＥＷＳ</v>
      </c>
      <c r="B4057" s="1" t="str">
        <f t="shared" si="207"/>
        <v>日本女性会議’９７おかやま実行委員会ＮＥＷＳ</v>
      </c>
      <c r="C4057" t="str">
        <f>"ニホン　ジョセイ　カイギ　キュウジュウ　ナナ　オカヤマ　ジッコウ　イインカイ　ニュース"</f>
        <v>ニホン　ジョセイ　カイギ　キュウジュウ　ナナ　オカヤマ　ジッコウ　イインカイ　ニュース</v>
      </c>
      <c r="D4057" t="str">
        <f>"日本女性会議’９７おかやま実行委員会広報部"</f>
        <v>日本女性会議’９７おかやま実行委員会広報部</v>
      </c>
      <c r="E4057" t="str">
        <f>"ニホンジョセイカイギキュウジュウナナオカヤマジッコウイインカイコウホウブ"</f>
        <v>ニホンジョセイカイギキュウジュウナナオカヤマジッコウイインカイコウホウブ</v>
      </c>
      <c r="F4057" t="str">
        <f t="shared" si="208"/>
        <v>岡山</v>
      </c>
      <c r="G4057" t="str">
        <f t="shared" ref="G4057:G4062" si="209">"頻度不明"</f>
        <v>頻度不明</v>
      </c>
      <c r="H4057" t="str">
        <f>"2002222280871"</f>
        <v>2002222280871</v>
      </c>
      <c r="I4057" t="str">
        <f>HYPERLINK("#", "https://opac.libnet.pref.okayama.jp/licsxp-opac/WOpacMsgNewListToTifTilDetailAction.do?tilcod=2002222280871")</f>
        <v>https://opac.libnet.pref.okayama.jp/licsxp-opac/WOpacMsgNewListToTifTilDetailAction.do?tilcod=2002222280871</v>
      </c>
    </row>
    <row r="4058" spans="1:9" x14ac:dyDescent="0.4">
      <c r="A4058" t="str">
        <f>"日本ディスコン通信"</f>
        <v>日本ディスコン通信</v>
      </c>
      <c r="B4058" s="1" t="str">
        <f t="shared" si="207"/>
        <v>日本ディスコン通信</v>
      </c>
      <c r="C4058" t="str">
        <f>"ニホン ディスコン ツウシン"</f>
        <v>ニホン ディスコン ツウシン</v>
      </c>
      <c r="D4058" t="str">
        <f>"日本ディスコン協会"</f>
        <v>日本ディスコン協会</v>
      </c>
      <c r="E4058" t="str">
        <f>"ニホン ディスコン キョウカイ"</f>
        <v>ニホン ディスコン キョウカイ</v>
      </c>
      <c r="F4058" t="str">
        <f t="shared" si="208"/>
        <v>岡山</v>
      </c>
      <c r="G4058" t="str">
        <f t="shared" si="209"/>
        <v>頻度不明</v>
      </c>
      <c r="H4058" t="str">
        <f>"2002222342230"</f>
        <v>2002222342230</v>
      </c>
      <c r="I4058" t="str">
        <f>HYPERLINK("#", "https://opac.libnet.pref.okayama.jp/licsxp-opac/WOpacMsgNewListToTifTilDetailAction.do?tilcod=2002222342230")</f>
        <v>https://opac.libnet.pref.okayama.jp/licsxp-opac/WOpacMsgNewListToTifTilDetailAction.do?tilcod=2002222342230</v>
      </c>
    </row>
    <row r="4059" spans="1:9" x14ac:dyDescent="0.4">
      <c r="A4059" t="str">
        <f>"日本俳諧新報"</f>
        <v>日本俳諧新報</v>
      </c>
      <c r="B4059" s="1" t="str">
        <f t="shared" si="207"/>
        <v>日本俳諧新報</v>
      </c>
      <c r="C4059" t="str">
        <f>"ニホン　ハイカイ　シンポウ"</f>
        <v>ニホン　ハイカイ　シンポウ</v>
      </c>
      <c r="D4059" t="str">
        <f>"日本俳諧新報社"</f>
        <v>日本俳諧新報社</v>
      </c>
      <c r="E4059" t="str">
        <f>"ニホンハイカイシンポウシャ"</f>
        <v>ニホンハイカイシンポウシャ</v>
      </c>
      <c r="F4059" t="str">
        <f>""</f>
        <v/>
      </c>
      <c r="G4059" t="str">
        <f t="shared" si="209"/>
        <v>頻度不明</v>
      </c>
      <c r="H4059" t="str">
        <f>"2002222285573"</f>
        <v>2002222285573</v>
      </c>
      <c r="I4059" t="str">
        <f>HYPERLINK("#", "https://opac.libnet.pref.okayama.jp/licsxp-opac/WOpacMsgNewListToTifTilDetailAction.do?tilcod=2002222285573")</f>
        <v>https://opac.libnet.pref.okayama.jp/licsxp-opac/WOpacMsgNewListToTifTilDetailAction.do?tilcod=2002222285573</v>
      </c>
    </row>
    <row r="4060" spans="1:9" x14ac:dyDescent="0.4">
      <c r="A4060" t="str">
        <f>"日本共産党岡山市北区後援会ニュース"</f>
        <v>日本共産党岡山市北区後援会ニュース</v>
      </c>
      <c r="B4060" s="1" t="str">
        <f t="shared" si="207"/>
        <v>日本共産党岡山市北区後援会ニュース</v>
      </c>
      <c r="C4060" t="str">
        <f>"ニホンキョウサントウ オカヤマシ キタク コウエンカイ ニュース "</f>
        <v xml:space="preserve">ニホンキョウサントウ オカヤマシ キタク コウエンカイ ニュース </v>
      </c>
      <c r="D4060" t="str">
        <f>"日本共産党岡山市北区後援会"</f>
        <v>日本共産党岡山市北区後援会</v>
      </c>
      <c r="E4060" t="str">
        <f>"ニホン キョウサントウ オカヤマシ キタク コウエンカイ "</f>
        <v xml:space="preserve">ニホン キョウサントウ オカヤマシ キタク コウエンカイ </v>
      </c>
      <c r="F4060" t="str">
        <f>"岡山"</f>
        <v>岡山</v>
      </c>
      <c r="G4060" t="str">
        <f t="shared" si="209"/>
        <v>頻度不明</v>
      </c>
      <c r="H4060" t="str">
        <f>"2002222307811"</f>
        <v>2002222307811</v>
      </c>
      <c r="I4060" t="str">
        <f>HYPERLINK("#", "https://opac.libnet.pref.okayama.jp/licsxp-opac/WOpacMsgNewListToTifTilDetailAction.do?tilcod=2002222307811")</f>
        <v>https://opac.libnet.pref.okayama.jp/licsxp-opac/WOpacMsgNewListToTifTilDetailAction.do?tilcod=2002222307811</v>
      </c>
    </row>
    <row r="4061" spans="1:9" x14ac:dyDescent="0.4">
      <c r="A4061" t="str">
        <f>"日本史研究室通信"</f>
        <v>日本史研究室通信</v>
      </c>
      <c r="B4061" s="1" t="str">
        <f t="shared" si="207"/>
        <v>日本史研究室通信</v>
      </c>
      <c r="C4061" t="str">
        <f>"ニホンシ　ケンキュウシツ　ツウシン"</f>
        <v>ニホンシ　ケンキュウシツ　ツウシン</v>
      </c>
      <c r="D4061" t="str">
        <f>"岡山大学文学部日本史研究室"</f>
        <v>岡山大学文学部日本史研究室</v>
      </c>
      <c r="E4061" t="str">
        <f>"オカヤマ ダイガク ブンガクブ ニホンシ ケンキュウシツ"</f>
        <v>オカヤマ ダイガク ブンガクブ ニホンシ ケンキュウシツ</v>
      </c>
      <c r="F4061" t="str">
        <f>"岡山"</f>
        <v>岡山</v>
      </c>
      <c r="G4061" t="str">
        <f t="shared" si="209"/>
        <v>頻度不明</v>
      </c>
      <c r="H4061" t="str">
        <f>"2002222280914"</f>
        <v>2002222280914</v>
      </c>
      <c r="I4061" t="str">
        <f>HYPERLINK("#", "https://opac.libnet.pref.okayama.jp/licsxp-opac/WOpacMsgNewListToTifTilDetailAction.do?tilcod=2002222280914")</f>
        <v>https://opac.libnet.pref.okayama.jp/licsxp-opac/WOpacMsgNewListToTifTilDetailAction.do?tilcod=2002222280914</v>
      </c>
    </row>
    <row r="4062" spans="1:9" x14ac:dyDescent="0.4">
      <c r="A4062" t="str">
        <f>"日本主体派"</f>
        <v>日本主体派</v>
      </c>
      <c r="B4062" s="1" t="str">
        <f t="shared" si="207"/>
        <v>日本主体派</v>
      </c>
      <c r="C4062" t="str">
        <f>"ニホンシュタイハ"</f>
        <v>ニホンシュタイハ</v>
      </c>
      <c r="D4062" t="str">
        <f>"前衛文学会"</f>
        <v>前衛文学会</v>
      </c>
      <c r="E4062" t="str">
        <f>"ゼンエイ ブンガクカイ"</f>
        <v>ゼンエイ ブンガクカイ</v>
      </c>
      <c r="F4062" t="str">
        <f>"岡山"</f>
        <v>岡山</v>
      </c>
      <c r="G4062" t="str">
        <f t="shared" si="209"/>
        <v>頻度不明</v>
      </c>
      <c r="H4062" t="str">
        <f>"2002222327387"</f>
        <v>2002222327387</v>
      </c>
      <c r="I4062" t="str">
        <f>HYPERLINK("#", "https://opac.libnet.pref.okayama.jp/licsxp-opac/WOpacMsgNewListToTifTilDetailAction.do?tilcod=2002222327387")</f>
        <v>https://opac.libnet.pref.okayama.jp/licsxp-opac/WOpacMsgNewListToTifTilDetailAction.do?tilcod=2002222327387</v>
      </c>
    </row>
    <row r="4063" spans="1:9" x14ac:dyDescent="0.4">
      <c r="A4063" t="str">
        <f>"日本原高校新聞"</f>
        <v>日本原高校新聞</v>
      </c>
      <c r="B4063" s="1" t="str">
        <f t="shared" si="207"/>
        <v>日本原高校新聞</v>
      </c>
      <c r="C4063" t="str">
        <f>"ニホンバラ　コウコウ　シンブン"</f>
        <v>ニホンバラ　コウコウ　シンブン</v>
      </c>
      <c r="D4063" t="str">
        <f>"日本原高等学校"</f>
        <v>日本原高等学校</v>
      </c>
      <c r="E4063" t="str">
        <f>"ニホンバラコウトウガッコウ"</f>
        <v>ニホンバラコウトウガッコウ</v>
      </c>
      <c r="F4063" t="str">
        <f>"津山"</f>
        <v>津山</v>
      </c>
      <c r="G4063" t="str">
        <f>"年３回刊"</f>
        <v>年３回刊</v>
      </c>
      <c r="H4063" t="str">
        <f>"2002222301864"</f>
        <v>2002222301864</v>
      </c>
      <c r="I4063" t="str">
        <f>HYPERLINK("#", "https://opac.libnet.pref.okayama.jp/licsxp-opac/WOpacMsgNewListToTifTilDetailAction.do?tilcod=2002222301864")</f>
        <v>https://opac.libnet.pref.okayama.jp/licsxp-opac/WOpacMsgNewListToTifTilDetailAction.do?tilcod=2002222301864</v>
      </c>
    </row>
    <row r="4064" spans="1:9" x14ac:dyDescent="0.4">
      <c r="A4064" t="str">
        <f>"日本原高校だより"</f>
        <v>日本原高校だより</v>
      </c>
      <c r="B4064" s="1" t="str">
        <f t="shared" si="207"/>
        <v>日本原高校だより</v>
      </c>
      <c r="C4064" t="str">
        <f>"ニホンバラ　コウコウ　ダヨリ"</f>
        <v>ニホンバラ　コウコウ　ダヨリ</v>
      </c>
      <c r="D4064" t="str">
        <f>"日本原高等学校"</f>
        <v>日本原高等学校</v>
      </c>
      <c r="E4064" t="str">
        <f>"ニホンバラコウトウガッコウ"</f>
        <v>ニホンバラコウトウガッコウ</v>
      </c>
      <c r="F4064" t="str">
        <f>"津山"</f>
        <v>津山</v>
      </c>
      <c r="G4064" t="str">
        <f>"月刊"</f>
        <v>月刊</v>
      </c>
      <c r="H4064" t="str">
        <f>"2002222301865"</f>
        <v>2002222301865</v>
      </c>
      <c r="I4064" t="str">
        <f>HYPERLINK("#", "https://opac.libnet.pref.okayama.jp/licsxp-opac/WOpacMsgNewListToTifTilDetailAction.do?tilcod=2002222301865")</f>
        <v>https://opac.libnet.pref.okayama.jp/licsxp-opac/WOpacMsgNewListToTifTilDetailAction.do?tilcod=2002222301865</v>
      </c>
    </row>
    <row r="4065" spans="1:9" x14ac:dyDescent="0.4">
      <c r="A4065" t="str">
        <f>"日本原高等学校学校要覧"</f>
        <v>日本原高等学校学校要覧</v>
      </c>
      <c r="B4065" s="1" t="str">
        <f t="shared" si="207"/>
        <v>日本原高等学校学校要覧</v>
      </c>
      <c r="C4065" t="str">
        <f>"ニホンバラ　コウトウ　ガッコウ　ガッコウ　ヨウラン"</f>
        <v>ニホンバラ　コウトウ　ガッコウ　ガッコウ　ヨウラン</v>
      </c>
      <c r="D4065" t="str">
        <f>"日本原高等学校"</f>
        <v>日本原高等学校</v>
      </c>
      <c r="E4065" t="str">
        <f>"ニホンバラコウトウガッコウ"</f>
        <v>ニホンバラコウトウガッコウ</v>
      </c>
      <c r="F4065" t="str">
        <f>"勝北町（勝田郡）"</f>
        <v>勝北町（勝田郡）</v>
      </c>
      <c r="G4065" t="str">
        <f>"年刊"</f>
        <v>年刊</v>
      </c>
      <c r="H4065" t="str">
        <f>"2002222300547"</f>
        <v>2002222300547</v>
      </c>
      <c r="I4065" t="str">
        <f>HYPERLINK("#", "https://opac.libnet.pref.okayama.jp/licsxp-opac/WOpacMsgNewListToTifTilDetailAction.do?tilcod=2002222300547")</f>
        <v>https://opac.libnet.pref.okayama.jp/licsxp-opac/WOpacMsgNewListToTifTilDetailAction.do?tilcod=2002222300547</v>
      </c>
    </row>
    <row r="4066" spans="1:9" x14ac:dyDescent="0.4">
      <c r="A4066" t="str">
        <f>"〔日本原高等学校〕校友会報"</f>
        <v>〔日本原高等学校〕校友会報</v>
      </c>
      <c r="B4066" s="1" t="str">
        <f t="shared" si="207"/>
        <v>〔日本原高等学校〕校友会報</v>
      </c>
      <c r="C4066" t="str">
        <f>"ニホンバラ　コウトウ　ガッコウ＊コウユウカイ　ホウ"</f>
        <v>ニホンバラ　コウトウ　ガッコウ＊コウユウカイ　ホウ</v>
      </c>
      <c r="D4066" t="str">
        <f>"日本原高等学校校友会"</f>
        <v>日本原高等学校校友会</v>
      </c>
      <c r="E4066" t="str">
        <f>"ニホンバラコウトウガッコウコウユウカイ"</f>
        <v>ニホンバラコウトウガッコウコウユウカイ</v>
      </c>
      <c r="F4066" t="str">
        <f>"津山"</f>
        <v>津山</v>
      </c>
      <c r="G4066" t="str">
        <f>"頻度不明"</f>
        <v>頻度不明</v>
      </c>
      <c r="H4066" t="str">
        <f>"2002222301866"</f>
        <v>2002222301866</v>
      </c>
      <c r="I4066" t="str">
        <f>HYPERLINK("#", "https://opac.libnet.pref.okayama.jp/licsxp-opac/WOpacMsgNewListToTifTilDetailAction.do?tilcod=2002222301866")</f>
        <v>https://opac.libnet.pref.okayama.jp/licsxp-opac/WOpacMsgNewListToTifTilDetailAction.do?tilcod=2002222301866</v>
      </c>
    </row>
    <row r="4067" spans="1:9" x14ac:dyDescent="0.4">
      <c r="A4067" t="str">
        <f>"〔日本原高等学校〕シラバス"</f>
        <v>〔日本原高等学校〕シラバス</v>
      </c>
      <c r="B4067" s="1" t="str">
        <f t="shared" si="207"/>
        <v>〔日本原高等学校〕シラバス</v>
      </c>
      <c r="C4067" t="str">
        <f>"ニホンバラ　コウトウ　ガッコウ＊シラバス"</f>
        <v>ニホンバラ　コウトウ　ガッコウ＊シラバス</v>
      </c>
      <c r="D4067" t="str">
        <f>"日本原高等学校"</f>
        <v>日本原高等学校</v>
      </c>
      <c r="E4067" t="str">
        <f>"ニホンバラコウトウガッコウ"</f>
        <v>ニホンバラコウトウガッコウ</v>
      </c>
      <c r="F4067" t="str">
        <f>"津山"</f>
        <v>津山</v>
      </c>
      <c r="G4067" t="str">
        <f>"年刊"</f>
        <v>年刊</v>
      </c>
      <c r="H4067" t="str">
        <f>"2002222301161"</f>
        <v>2002222301161</v>
      </c>
      <c r="I4067" t="str">
        <f>HYPERLINK("#", "https://opac.libnet.pref.okayama.jp/licsxp-opac/WOpacMsgNewListToTifTilDetailAction.do?tilcod=2002222301161")</f>
        <v>https://opac.libnet.pref.okayama.jp/licsxp-opac/WOpacMsgNewListToTifTilDetailAction.do?tilcod=2002222301161</v>
      </c>
    </row>
    <row r="4068" spans="1:9" x14ac:dyDescent="0.4">
      <c r="A4068" t="str">
        <f>"ＮＥＷ　ＯＫＥＲ（ニューオーカー）"</f>
        <v>ＮＥＷ　ＯＫＥＲ（ニューオーカー）</v>
      </c>
      <c r="B4068" s="1" t="str">
        <f t="shared" si="207"/>
        <v>ＮＥＷ　ＯＫＥＲ（ニューオーカー）</v>
      </c>
      <c r="C4068" t="str">
        <f>"ニュー　オーカー"</f>
        <v>ニュー　オーカー</v>
      </c>
      <c r="D4068" t="str">
        <f>"ダイヤモンドプレス"</f>
        <v>ダイヤモンドプレス</v>
      </c>
      <c r="E4068" t="str">
        <f>"ダイヤモンドプレス"</f>
        <v>ダイヤモンドプレス</v>
      </c>
      <c r="F4068" t="str">
        <f>""</f>
        <v/>
      </c>
      <c r="G4068" t="str">
        <f>"頻度不明"</f>
        <v>頻度不明</v>
      </c>
      <c r="H4068" t="str">
        <f>"2002222285593"</f>
        <v>2002222285593</v>
      </c>
      <c r="I4068" t="str">
        <f>HYPERLINK("#", "https://opac.libnet.pref.okayama.jp/licsxp-opac/WOpacMsgNewListToTifTilDetailAction.do?tilcod=2002222285593")</f>
        <v>https://opac.libnet.pref.okayama.jp/licsxp-opac/WOpacMsgNewListToTifTilDetailAction.do?tilcod=2002222285593</v>
      </c>
    </row>
    <row r="4069" spans="1:9" x14ac:dyDescent="0.4">
      <c r="A4069" t="str">
        <f>"NEW CITY TIMES"</f>
        <v>NEW CITY TIMES</v>
      </c>
      <c r="B4069" s="1" t="str">
        <f t="shared" si="207"/>
        <v>NEW CITY TIMES</v>
      </c>
      <c r="C4069" t="str">
        <f>"ニュー シティ タイムズ"</f>
        <v>ニュー シティ タイムズ</v>
      </c>
      <c r="D4069" t="str">
        <f>"両備バス株式会社不動産事業本部"</f>
        <v>両備バス株式会社不動産事業本部</v>
      </c>
      <c r="E4069" t="str">
        <f>"リョウビバスカブシキガイシャフドウサンジギョウホンブ"</f>
        <v>リョウビバスカブシキガイシャフドウサンジギョウホンブ</v>
      </c>
      <c r="F4069" t="str">
        <f>"岡山"</f>
        <v>岡山</v>
      </c>
      <c r="G4069" t="str">
        <f>"不定期刊"</f>
        <v>不定期刊</v>
      </c>
      <c r="H4069" t="str">
        <f>"2002222300957"</f>
        <v>2002222300957</v>
      </c>
      <c r="I4069" t="str">
        <f>HYPERLINK("#", "https://opac.libnet.pref.okayama.jp/licsxp-opac/WOpacMsgNewListToTifTilDetailAction.do?tilcod=2002222300957")</f>
        <v>https://opac.libnet.pref.okayama.jp/licsxp-opac/WOpacMsgNewListToTifTilDetailAction.do?tilcod=2002222300957</v>
      </c>
    </row>
    <row r="4070" spans="1:9" x14ac:dyDescent="0.4">
      <c r="A4070" t="str">
        <f>"New ぱれっと"</f>
        <v>New ぱれっと</v>
      </c>
      <c r="B4070" s="1" t="str">
        <f t="shared" si="207"/>
        <v>New ぱれっと</v>
      </c>
      <c r="C4070" t="str">
        <f>"ニュー パレット"</f>
        <v>ニュー パレット</v>
      </c>
      <c r="D4070" t="str">
        <f>"岡山大学生活協同組合学生委員会C.C.C! New ぱれっと編集部"</f>
        <v>岡山大学生活協同組合学生委員会C.C.C! New ぱれっと編集部</v>
      </c>
      <c r="E4070" t="str">
        <f>"オカヤマ ダイガク セイカツ キョウドウ クミアイ ガクセイ イインカイ シー シー シー ニュー パレット ヘンシュウブ"</f>
        <v>オカヤマ ダイガク セイカツ キョウドウ クミアイ ガクセイ イインカイ シー シー シー ニュー パレット ヘンシュウブ</v>
      </c>
      <c r="F4070" t="str">
        <f>"岡山"</f>
        <v>岡山</v>
      </c>
      <c r="G4070" t="str">
        <f>"季刊"</f>
        <v>季刊</v>
      </c>
      <c r="H4070" t="str">
        <f>"2002222328527"</f>
        <v>2002222328527</v>
      </c>
      <c r="I4070" t="str">
        <f>HYPERLINK("#", "https://opac.libnet.pref.okayama.jp/licsxp-opac/WOpacMsgNewListToTifTilDetailAction.do?tilcod=2002222328527")</f>
        <v>https://opac.libnet.pref.okayama.jp/licsxp-opac/WOpacMsgNewListToTifTilDetailAction.do?tilcod=2002222328527</v>
      </c>
    </row>
    <row r="4071" spans="1:9" x14ac:dyDescent="0.4">
      <c r="A4071" t="str">
        <f>"New Lifeおかやま"</f>
        <v>New Lifeおかやま</v>
      </c>
      <c r="B4071" s="1" t="str">
        <f t="shared" si="207"/>
        <v>New Lifeおかやま</v>
      </c>
      <c r="C4071" t="str">
        <f>"ニュー ライフ オカヤマ"</f>
        <v>ニュー ライフ オカヤマ</v>
      </c>
      <c r="D4071" t="str">
        <f>"毎日サービス新社"</f>
        <v>毎日サービス新社</v>
      </c>
      <c r="E4071" t="str">
        <f>"マイニチサービスシンシャ"</f>
        <v>マイニチサービスシンシャ</v>
      </c>
      <c r="F4071" t="str">
        <f>"倉敷"</f>
        <v>倉敷</v>
      </c>
      <c r="G4071" t="str">
        <f>"季刊"</f>
        <v>季刊</v>
      </c>
      <c r="H4071" t="str">
        <f>"2002222293081"</f>
        <v>2002222293081</v>
      </c>
      <c r="I4071" t="str">
        <f>HYPERLINK("#", "https://opac.libnet.pref.okayama.jp/licsxp-opac/WOpacMsgNewListToTifTilDetailAction.do?tilcod=2002222293081")</f>
        <v>https://opac.libnet.pref.okayama.jp/licsxp-opac/WOpacMsgNewListToTifTilDetailAction.do?tilcod=2002222293081</v>
      </c>
    </row>
    <row r="4072" spans="1:9" x14ac:dyDescent="0.4">
      <c r="A4072" t="str">
        <f>"ニュース・レター"</f>
        <v>ニュース・レター</v>
      </c>
      <c r="B4072" s="1" t="str">
        <f t="shared" si="207"/>
        <v>ニュース・レター</v>
      </c>
      <c r="C4072" t="str">
        <f>"ニュース　・　レター"</f>
        <v>ニュース　・　レター</v>
      </c>
      <c r="D4072" t="str">
        <f>"田代菊雄・東裕子"</f>
        <v>田代菊雄・東裕子</v>
      </c>
      <c r="E4072" t="str">
        <f>"タシロキクオ・アズマヒロコ"</f>
        <v>タシロキクオ・アズマヒロコ</v>
      </c>
      <c r="F4072" t="str">
        <f>"岡山"</f>
        <v>岡山</v>
      </c>
      <c r="G4072" t="str">
        <f>"隔月刊"</f>
        <v>隔月刊</v>
      </c>
      <c r="H4072" t="str">
        <f>"2002222293511"</f>
        <v>2002222293511</v>
      </c>
      <c r="I4072" t="str">
        <f>HYPERLINK("#", "https://opac.libnet.pref.okayama.jp/licsxp-opac/WOpacMsgNewListToTifTilDetailAction.do?tilcod=2002222293511")</f>
        <v>https://opac.libnet.pref.okayama.jp/licsxp-opac/WOpacMsgNewListToTifTilDetailAction.do?tilcod=2002222293511</v>
      </c>
    </row>
    <row r="4073" spans="1:9" x14ac:dyDescent="0.4">
      <c r="A4073" t="str">
        <f>"News Letter 岡山県版(ニュースレター岡山県版)"</f>
        <v>News Letter 岡山県版(ニュースレター岡山県版)</v>
      </c>
      <c r="B4073" s="1" t="str">
        <f t="shared" si="207"/>
        <v>News Letter 岡山県版(ニュースレター岡山県版)</v>
      </c>
      <c r="C4073" t="str">
        <f>"ニュース レター オカヤマケン バン"</f>
        <v>ニュース レター オカヤマケン バン</v>
      </c>
      <c r="D4073" t="str">
        <f>"中国四国農政局"</f>
        <v>中国四国農政局</v>
      </c>
      <c r="E4073" t="str">
        <f>"チュウゴク シコク ノウセイキョク"</f>
        <v>チュウゴク シコク ノウセイキョク</v>
      </c>
      <c r="F4073" t="str">
        <f>"岡山"</f>
        <v>岡山</v>
      </c>
      <c r="G4073" t="str">
        <f>"頻度不明"</f>
        <v>頻度不明</v>
      </c>
      <c r="H4073" t="str">
        <f>"2002222307648"</f>
        <v>2002222307648</v>
      </c>
      <c r="I4073" t="str">
        <f>HYPERLINK("#", "https://opac.libnet.pref.okayama.jp/licsxp-opac/WOpacMsgNewListToTifTilDetailAction.do?tilcod=2002222307648")</f>
        <v>https://opac.libnet.pref.okayama.jp/licsxp-opac/WOpacMsgNewListToTifTilDetailAction.do?tilcod=2002222307648</v>
      </c>
    </row>
    <row r="4074" spans="1:9" x14ac:dyDescent="0.4">
      <c r="A4074" t="str">
        <f>"ニョキニョキ"</f>
        <v>ニョキニョキ</v>
      </c>
      <c r="B4074" s="1" t="str">
        <f t="shared" si="207"/>
        <v>ニョキニョキ</v>
      </c>
      <c r="C4074" t="str">
        <f>"ニョキニョキ"</f>
        <v>ニョキニョキ</v>
      </c>
      <c r="D4074" t="str">
        <f>"岡山放送編成局"</f>
        <v>岡山放送編成局</v>
      </c>
      <c r="E4074" t="str">
        <f>"オカヤマホウソウヘンセイキョク"</f>
        <v>オカヤマホウソウヘンセイキョク</v>
      </c>
      <c r="F4074" t="str">
        <f>"岡山"</f>
        <v>岡山</v>
      </c>
      <c r="G4074" t="str">
        <f>"月刊"</f>
        <v>月刊</v>
      </c>
      <c r="H4074" t="str">
        <f>"2002222281431"</f>
        <v>2002222281431</v>
      </c>
      <c r="I4074" t="str">
        <f>HYPERLINK("#", "https://opac.libnet.pref.okayama.jp/licsxp-opac/WOpacMsgNewListToTifTilDetailAction.do?tilcod=2002222281431")</f>
        <v>https://opac.libnet.pref.okayama.jp/licsxp-opac/WOpacMsgNewListToTifTilDetailAction.do?tilcod=2002222281431</v>
      </c>
    </row>
    <row r="4075" spans="1:9" x14ac:dyDescent="0.4">
      <c r="A4075" t="str">
        <f>"女像"</f>
        <v>女像</v>
      </c>
      <c r="B4075" s="1" t="str">
        <f t="shared" si="207"/>
        <v>女像</v>
      </c>
      <c r="C4075" t="str">
        <f>"ニョゾウ"</f>
        <v>ニョゾウ</v>
      </c>
      <c r="D4075" t="str">
        <f>"女像社"</f>
        <v>女像社</v>
      </c>
      <c r="E4075" t="str">
        <f>"ニョゾウシャ"</f>
        <v>ニョゾウシャ</v>
      </c>
      <c r="F4075" t="str">
        <f>""</f>
        <v/>
      </c>
      <c r="G4075" t="str">
        <f>"頻度不明"</f>
        <v>頻度不明</v>
      </c>
      <c r="H4075" t="str">
        <f>"2002222285603"</f>
        <v>2002222285603</v>
      </c>
      <c r="I4075" t="str">
        <f>HYPERLINK("#", "https://opac.libnet.pref.okayama.jp/licsxp-opac/WOpacMsgNewListToTifTilDetailAction.do?tilcod=2002222285603")</f>
        <v>https://opac.libnet.pref.okayama.jp/licsxp-opac/WOpacMsgNewListToTifTilDetailAction.do?tilcod=2002222285603</v>
      </c>
    </row>
    <row r="4076" spans="1:9" x14ac:dyDescent="0.4">
      <c r="A4076" t="str">
        <f>"女人随筆"</f>
        <v>女人随筆</v>
      </c>
      <c r="B4076" s="1" t="str">
        <f t="shared" si="207"/>
        <v>女人随筆</v>
      </c>
      <c r="C4076" t="str">
        <f>"ニョニン ズイヒツ"</f>
        <v>ニョニン ズイヒツ</v>
      </c>
      <c r="D4076" t="str">
        <f>"女人随筆社"</f>
        <v>女人随筆社</v>
      </c>
      <c r="E4076" t="str">
        <f>"ニョニン ズイヒツシャ"</f>
        <v>ニョニン ズイヒツシャ</v>
      </c>
      <c r="F4076" t="str">
        <f>"岡山"</f>
        <v>岡山</v>
      </c>
      <c r="G4076" t="str">
        <f>"年３回刊"</f>
        <v>年３回刊</v>
      </c>
      <c r="H4076" t="str">
        <f>"2002222291551"</f>
        <v>2002222291551</v>
      </c>
      <c r="I4076" t="str">
        <f>HYPERLINK("#", "https://opac.libnet.pref.okayama.jp/licsxp-opac/WOpacMsgNewListToTifTilDetailAction.do?tilcod=2002222291551")</f>
        <v>https://opac.libnet.pref.okayama.jp/licsxp-opac/WOpacMsgNewListToTifTilDetailAction.do?tilcod=2002222291551</v>
      </c>
    </row>
    <row r="4077" spans="1:9" x14ac:dyDescent="0.4">
      <c r="A4077" t="str">
        <f>"如蘭"</f>
        <v>如蘭</v>
      </c>
      <c r="B4077" s="1" t="str">
        <f t="shared" si="207"/>
        <v>如蘭</v>
      </c>
      <c r="C4077" t="str">
        <f>"ニョラン"</f>
        <v>ニョラン</v>
      </c>
      <c r="D4077" t="str">
        <f>"教育同志会"</f>
        <v>教育同志会</v>
      </c>
      <c r="E4077" t="str">
        <f>"キョウイクドウシカイ"</f>
        <v>キョウイクドウシカイ</v>
      </c>
      <c r="F4077" t="str">
        <f>"岡山"</f>
        <v>岡山</v>
      </c>
      <c r="G4077" t="str">
        <f>"頻度不明"</f>
        <v>頻度不明</v>
      </c>
      <c r="H4077" t="str">
        <f>"2002222301515"</f>
        <v>2002222301515</v>
      </c>
      <c r="I4077" t="str">
        <f>HYPERLINK("#", "https://opac.libnet.pref.okayama.jp/licsxp-opac/WOpacMsgNewListToTifTilDetailAction.do?tilcod=2002222301515")</f>
        <v>https://opac.libnet.pref.okayama.jp/licsxp-opac/WOpacMsgNewListToTifTilDetailAction.do?tilcod=2002222301515</v>
      </c>
    </row>
    <row r="4078" spans="1:9" x14ac:dyDescent="0.4">
      <c r="A4078" t="str">
        <f>"楡（にれ）"</f>
        <v>楡（にれ）</v>
      </c>
      <c r="B4078" s="1" t="str">
        <f t="shared" si="207"/>
        <v>楡（にれ）</v>
      </c>
      <c r="C4078" t="str">
        <f>"ニレ"</f>
        <v>ニレ</v>
      </c>
      <c r="D4078" t="str">
        <f>"邑久高等学校文芸クラブ"</f>
        <v>邑久高等学校文芸クラブ</v>
      </c>
      <c r="E4078" t="str">
        <f>"オクコウトウガッコウブンゲイクラブ"</f>
        <v>オクコウトウガッコウブンゲイクラブ</v>
      </c>
      <c r="F4078" t="str">
        <f>""</f>
        <v/>
      </c>
      <c r="G4078" t="str">
        <f>"頻度不明"</f>
        <v>頻度不明</v>
      </c>
      <c r="H4078" t="str">
        <f>"2002222285613"</f>
        <v>2002222285613</v>
      </c>
      <c r="I4078" t="str">
        <f>HYPERLINK("#", "https://opac.libnet.pref.okayama.jp/licsxp-opac/WOpacMsgNewListToTifTilDetailAction.do?tilcod=2002222285613")</f>
        <v>https://opac.libnet.pref.okayama.jp/licsxp-opac/WOpacMsgNewListToTifTilDetailAction.do?tilcod=2002222285613</v>
      </c>
    </row>
    <row r="4079" spans="1:9" x14ac:dyDescent="0.4">
      <c r="A4079" t="str">
        <f>"人形峠"</f>
        <v>人形峠</v>
      </c>
      <c r="B4079" s="1" t="str">
        <f t="shared" si="207"/>
        <v>人形峠</v>
      </c>
      <c r="C4079" t="str">
        <f>"ニンギョウ　トウゲ"</f>
        <v>ニンギョウ　トウゲ</v>
      </c>
      <c r="D4079" t="str">
        <f>"動力炉・核燃料開発事業団人形峠事務所"</f>
        <v>動力炉・核燃料開発事業団人形峠事務所</v>
      </c>
      <c r="E4079" t="str">
        <f>"ドウリョクロ　カクネンリョウ　カイハツ　ジギョウダン　ニンギョウトウゲ　ジムショ"</f>
        <v>ドウリョクロ　カクネンリョウ　カイハツ　ジギョウダン　ニンギョウトウゲ　ジムショ</v>
      </c>
      <c r="F4079" t="str">
        <f>""</f>
        <v/>
      </c>
      <c r="G4079" t="str">
        <f>"頻度不明"</f>
        <v>頻度不明</v>
      </c>
      <c r="H4079" t="str">
        <f>"2002222285623"</f>
        <v>2002222285623</v>
      </c>
      <c r="I4079" t="str">
        <f>HYPERLINK("#", "https://opac.libnet.pref.okayama.jp/licsxp-opac/WOpacMsgNewListToTifTilDetailAction.do?tilcod=2002222285623")</f>
        <v>https://opac.libnet.pref.okayama.jp/licsxp-opac/WOpacMsgNewListToTifTilDetailAction.do?tilcod=2002222285623</v>
      </c>
    </row>
    <row r="4080" spans="1:9" x14ac:dyDescent="0.4">
      <c r="A4080" t="str">
        <f>"ぬくもり便"</f>
        <v>ぬくもり便</v>
      </c>
      <c r="B4080" s="1" t="str">
        <f t="shared" si="207"/>
        <v>ぬくもり便</v>
      </c>
      <c r="C4080" t="str">
        <f>"ヌクモリ　ビン"</f>
        <v>ヌクモリ　ビン</v>
      </c>
      <c r="D4080" t="str">
        <f>"ぬくもり工房・Ｆｒｉｅｎｄｓｈｉｐ"</f>
        <v>ぬくもり工房・Ｆｒｉｅｎｄｓｈｉｐ</v>
      </c>
      <c r="E4080" t="str">
        <f>"ヌクモリコウボウフレンドシップ"</f>
        <v>ヌクモリコウボウフレンドシップ</v>
      </c>
      <c r="F4080" t="str">
        <f>"新見"</f>
        <v>新見</v>
      </c>
      <c r="G4080" t="str">
        <f>"年３回刊"</f>
        <v>年３回刊</v>
      </c>
      <c r="H4080" t="str">
        <f>"2002222300428"</f>
        <v>2002222300428</v>
      </c>
      <c r="I4080" t="str">
        <f>HYPERLINK("#", "https://opac.libnet.pref.okayama.jp/licsxp-opac/WOpacMsgNewListToTifTilDetailAction.do?tilcod=2002222300428")</f>
        <v>https://opac.libnet.pref.okayama.jp/licsxp-opac/WOpacMsgNewListToTifTilDetailAction.do?tilcod=2002222300428</v>
      </c>
    </row>
    <row r="4081" spans="1:9" x14ac:dyDescent="0.4">
      <c r="A4081" t="str">
        <f>"ねこやなぎ"</f>
        <v>ねこやなぎ</v>
      </c>
      <c r="B4081" s="1" t="str">
        <f t="shared" si="207"/>
        <v>ねこやなぎ</v>
      </c>
      <c r="C4081" t="str">
        <f>"ネコヤナギ"</f>
        <v>ネコヤナギ</v>
      </c>
      <c r="D4081" t="str">
        <f>"矢掛川柳会"</f>
        <v>矢掛川柳会</v>
      </c>
      <c r="E4081" t="str">
        <f>"ヤカゲ センリュウカイ"</f>
        <v>ヤカゲ センリュウカイ</v>
      </c>
      <c r="F4081" t="str">
        <f>"矢掛"</f>
        <v>矢掛</v>
      </c>
      <c r="G4081" t="str">
        <f>"月刊"</f>
        <v>月刊</v>
      </c>
      <c r="H4081" t="str">
        <f>"2002222302180"</f>
        <v>2002222302180</v>
      </c>
      <c r="I4081" t="str">
        <f>HYPERLINK("#", "https://opac.libnet.pref.okayama.jp/licsxp-opac/WOpacMsgNewListToTifTilDetailAction.do?tilcod=2002222302180")</f>
        <v>https://opac.libnet.pref.okayama.jp/licsxp-opac/WOpacMsgNewListToTifTilDetailAction.do?tilcod=2002222302180</v>
      </c>
    </row>
    <row r="4082" spans="1:9" x14ac:dyDescent="0.4">
      <c r="A4082" t="str">
        <f>"ネビューラ"</f>
        <v>ネビューラ</v>
      </c>
      <c r="B4082" s="1" t="str">
        <f t="shared" si="207"/>
        <v>ネビューラ</v>
      </c>
      <c r="C4082" t="str">
        <f>"ネビューラ"</f>
        <v>ネビューラ</v>
      </c>
      <c r="D4082" t="str">
        <f>"詩の会・ネビューラ"</f>
        <v>詩の会・ネビューラ</v>
      </c>
      <c r="E4082" t="str">
        <f>"シノカイネビューラ"</f>
        <v>シノカイネビューラ</v>
      </c>
      <c r="F4082" t="str">
        <f>"岡山"</f>
        <v>岡山</v>
      </c>
      <c r="G4082" t="str">
        <f>"季刊"</f>
        <v>季刊</v>
      </c>
      <c r="H4082" t="str">
        <f>"2002222301808"</f>
        <v>2002222301808</v>
      </c>
      <c r="I4082" t="str">
        <f>HYPERLINK("#", "https://opac.libnet.pref.okayama.jp/licsxp-opac/WOpacMsgNewListToTifTilDetailAction.do?tilcod=2002222301808")</f>
        <v>https://opac.libnet.pref.okayama.jp/licsxp-opac/WOpacMsgNewListToTifTilDetailAction.do?tilcod=2002222301808</v>
      </c>
    </row>
    <row r="4083" spans="1:9" x14ac:dyDescent="0.4">
      <c r="A4083" t="str">
        <f>"ねんきんいばら"</f>
        <v>ねんきんいばら</v>
      </c>
      <c r="B4083" s="1" t="str">
        <f t="shared" si="207"/>
        <v>ねんきんいばら</v>
      </c>
      <c r="C4083" t="str">
        <f>"ネンキン　イバラ"</f>
        <v>ネンキン　イバラ</v>
      </c>
      <c r="D4083" t="str">
        <f>"井原市役所"</f>
        <v>井原市役所</v>
      </c>
      <c r="E4083" t="str">
        <f>"イバラシヤクショ"</f>
        <v>イバラシヤクショ</v>
      </c>
      <c r="F4083" t="str">
        <f>"井原市"</f>
        <v>井原市</v>
      </c>
      <c r="G4083" t="str">
        <f>"季刊"</f>
        <v>季刊</v>
      </c>
      <c r="H4083" t="str">
        <f>"2002222282981"</f>
        <v>2002222282981</v>
      </c>
      <c r="I4083" t="str">
        <f>HYPERLINK("#", "https://opac.libnet.pref.okayama.jp/licsxp-opac/WOpacMsgNewListToTifTilDetailAction.do?tilcod=2002222282981")</f>
        <v>https://opac.libnet.pref.okayama.jp/licsxp-opac/WOpacMsgNewListToTifTilDetailAction.do?tilcod=2002222282981</v>
      </c>
    </row>
    <row r="4084" spans="1:9" x14ac:dyDescent="0.4">
      <c r="A4084" t="str">
        <f>"ねんきん岡山"</f>
        <v>ねんきん岡山</v>
      </c>
      <c r="B4084" s="1" t="str">
        <f t="shared" si="207"/>
        <v>ねんきん岡山</v>
      </c>
      <c r="C4084" t="str">
        <f>"ネンキン　オカヤマ"</f>
        <v>ネンキン　オカヤマ</v>
      </c>
      <c r="D4084" t="str">
        <f>"岡山社会保険事務局"</f>
        <v>岡山社会保険事務局</v>
      </c>
      <c r="E4084" t="str">
        <f>"オカヤマシャカイホケンジムキョク"</f>
        <v>オカヤマシャカイホケンジムキョク</v>
      </c>
      <c r="F4084" t="str">
        <f>"岡山"</f>
        <v>岡山</v>
      </c>
      <c r="G4084" t="str">
        <f>"隔月刊"</f>
        <v>隔月刊</v>
      </c>
      <c r="H4084" t="str">
        <f>"2002222283231"</f>
        <v>2002222283231</v>
      </c>
      <c r="I4084" t="str">
        <f>HYPERLINK("#", "https://opac.libnet.pref.okayama.jp/licsxp-opac/WOpacMsgNewListToTifTilDetailAction.do?tilcod=2002222283231")</f>
        <v>https://opac.libnet.pref.okayama.jp/licsxp-opac/WOpacMsgNewListToTifTilDetailAction.do?tilcod=2002222283231</v>
      </c>
    </row>
    <row r="4085" spans="1:9" x14ac:dyDescent="0.4">
      <c r="A4085" t="str">
        <f>"年金おかやま"</f>
        <v>年金おかやま</v>
      </c>
      <c r="B4085" s="1" t="str">
        <f t="shared" si="207"/>
        <v>年金おかやま</v>
      </c>
      <c r="C4085" t="str">
        <f>"ネンキン　オカヤマ"</f>
        <v>ネンキン　オカヤマ</v>
      </c>
      <c r="D4085" t="str">
        <f>"岡山県保健福祉部国民年金課"</f>
        <v>岡山県保健福祉部国民年金課</v>
      </c>
      <c r="E4085" t="str">
        <f>"オカヤマケンホケンフクシブコクミンネンキンカ"</f>
        <v>オカヤマケンホケンフクシブコクミンネンキンカ</v>
      </c>
      <c r="F4085" t="str">
        <f>"岡山"</f>
        <v>岡山</v>
      </c>
      <c r="G4085" t="str">
        <f>"隔月刊"</f>
        <v>隔月刊</v>
      </c>
      <c r="H4085" t="str">
        <f>"2002222293091"</f>
        <v>2002222293091</v>
      </c>
      <c r="I4085" t="str">
        <f>HYPERLINK("#", "https://opac.libnet.pref.okayama.jp/licsxp-opac/WOpacMsgNewListToTifTilDetailAction.do?tilcod=2002222293091")</f>
        <v>https://opac.libnet.pref.okayama.jp/licsxp-opac/WOpacMsgNewListToTifTilDetailAction.do?tilcod=2002222293091</v>
      </c>
    </row>
    <row r="4086" spans="1:9" x14ac:dyDescent="0.4">
      <c r="A4086" t="str">
        <f>"ねんきんおかやま；岡山県年金協会だより"</f>
        <v>ねんきんおかやま；岡山県年金協会だより</v>
      </c>
      <c r="B4086" s="1" t="str">
        <f t="shared" si="207"/>
        <v>ねんきんおかやま；岡山県年金協会だより</v>
      </c>
      <c r="C4086" t="str">
        <f>"ネンキン オカヤマ＊オカヤマケン ネンキン キョウカイ ダヨリ"</f>
        <v>ネンキン オカヤマ＊オカヤマケン ネンキン キョウカイ ダヨリ</v>
      </c>
      <c r="D4086" t="str">
        <f>"岡山県年金協会"</f>
        <v>岡山県年金協会</v>
      </c>
      <c r="E4086" t="str">
        <f>"オカヤマケン ネンキン キョウカイ"</f>
        <v>オカヤマケン ネンキン キョウカイ</v>
      </c>
      <c r="F4086" t="str">
        <f>"岡山"</f>
        <v>岡山</v>
      </c>
      <c r="G4086" t="str">
        <f>"年２回刊"</f>
        <v>年２回刊</v>
      </c>
      <c r="H4086" t="str">
        <f>"2002222341230"</f>
        <v>2002222341230</v>
      </c>
      <c r="I4086" t="str">
        <f>HYPERLINK("#", "https://opac.libnet.pref.okayama.jp/licsxp-opac/WOpacMsgNewListToTifTilDetailAction.do?tilcod=2002222341230")</f>
        <v>https://opac.libnet.pref.okayama.jp/licsxp-opac/WOpacMsgNewListToTifTilDetailAction.do?tilcod=2002222341230</v>
      </c>
    </row>
    <row r="4087" spans="1:9" x14ac:dyDescent="0.4">
      <c r="A4087" t="str">
        <f>"ねんげ"</f>
        <v>ねんげ</v>
      </c>
      <c r="B4087" s="1" t="str">
        <f t="shared" si="207"/>
        <v>ねんげ</v>
      </c>
      <c r="C4087" t="str">
        <f>"ネンゲ"</f>
        <v>ネンゲ</v>
      </c>
      <c r="D4087" t="str">
        <f>"曹洞宗成興寺"</f>
        <v>曹洞宗成興寺</v>
      </c>
      <c r="E4087" t="str">
        <f>"ソウトウシュウジョウコウジ"</f>
        <v>ソウトウシュウジョウコウジ</v>
      </c>
      <c r="F4087" t="str">
        <f>""</f>
        <v/>
      </c>
      <c r="G4087" t="str">
        <f>"頻度不明"</f>
        <v>頻度不明</v>
      </c>
      <c r="H4087" t="str">
        <f>"2002222285633"</f>
        <v>2002222285633</v>
      </c>
      <c r="I4087" t="str">
        <f>HYPERLINK("#", "https://opac.libnet.pref.okayama.jp/licsxp-opac/WOpacMsgNewListToTifTilDetailAction.do?tilcod=2002222285633")</f>
        <v>https://opac.libnet.pref.okayama.jp/licsxp-opac/WOpacMsgNewListToTifTilDetailAction.do?tilcod=2002222285633</v>
      </c>
    </row>
    <row r="4088" spans="1:9" x14ac:dyDescent="0.4">
      <c r="A4088" t="str">
        <f>"年報赤松氏研究"</f>
        <v>年報赤松氏研究</v>
      </c>
      <c r="B4088" s="1" t="str">
        <f t="shared" si="207"/>
        <v>年報赤松氏研究</v>
      </c>
      <c r="C4088" t="str">
        <f>"ネンポウ　アカマツシ　ケンキュウ"</f>
        <v>ネンポウ　アカマツシ　ケンキュウ</v>
      </c>
      <c r="D4088" t="str">
        <f>"赤松氏研究会"</f>
        <v>赤松氏研究会</v>
      </c>
      <c r="E4088" t="str">
        <f>"アカマツシケンキュウカイ"</f>
        <v>アカマツシケンキュウカイ</v>
      </c>
      <c r="F4088" t="str">
        <f>"津山"</f>
        <v>津山</v>
      </c>
      <c r="G4088" t="str">
        <f>"年刊"</f>
        <v>年刊</v>
      </c>
      <c r="H4088" t="str">
        <f>"2002222301750"</f>
        <v>2002222301750</v>
      </c>
      <c r="I4088" t="str">
        <f>HYPERLINK("#", "https://opac.libnet.pref.okayama.jp/licsxp-opac/WOpacMsgNewListToTifTilDetailAction.do?tilcod=2002222301750")</f>
        <v>https://opac.libnet.pref.okayama.jp/licsxp-opac/WOpacMsgNewListToTifTilDetailAction.do?tilcod=2002222301750</v>
      </c>
    </row>
    <row r="4089" spans="1:9" x14ac:dyDescent="0.4">
      <c r="A4089" t="str">
        <f>"野の火"</f>
        <v>野の火</v>
      </c>
      <c r="B4089" s="1" t="str">
        <f t="shared" si="207"/>
        <v>野の火</v>
      </c>
      <c r="C4089" t="str">
        <f>"ノ　ノ　ヒ"</f>
        <v>ノ　ノ　ヒ</v>
      </c>
      <c r="D4089" t="str">
        <f>"投稿同仁会"</f>
        <v>投稿同仁会</v>
      </c>
      <c r="E4089" t="str">
        <f>"トウコウドウジンカイ"</f>
        <v>トウコウドウジンカイ</v>
      </c>
      <c r="F4089" t="str">
        <f>"岡山"</f>
        <v>岡山</v>
      </c>
      <c r="G4089" t="str">
        <f>"頻度不明"</f>
        <v>頻度不明</v>
      </c>
      <c r="H4089" t="str">
        <f>"2002222284771"</f>
        <v>2002222284771</v>
      </c>
      <c r="I4089" t="str">
        <f>HYPERLINK("#", "https://opac.libnet.pref.okayama.jp/licsxp-opac/WOpacMsgNewListToTifTilDetailAction.do?tilcod=2002222284771")</f>
        <v>https://opac.libnet.pref.okayama.jp/licsxp-opac/WOpacMsgNewListToTifTilDetailAction.do?tilcod=2002222284771</v>
      </c>
    </row>
    <row r="4090" spans="1:9" x14ac:dyDescent="0.4">
      <c r="A4090" t="str">
        <f>"野いちご"</f>
        <v>野いちご</v>
      </c>
      <c r="B4090" s="1" t="str">
        <f t="shared" si="207"/>
        <v>野いちご</v>
      </c>
      <c r="C4090" t="str">
        <f>"ノイチゴ"</f>
        <v>ノイチゴ</v>
      </c>
      <c r="D4090" t="str">
        <f>"岡山県立津山東高等学校図書館"</f>
        <v>岡山県立津山東高等学校図書館</v>
      </c>
      <c r="E4090" t="str">
        <f>"オカヤマケンリツツヤマヒガシコウトウガコウトショカン"</f>
        <v>オカヤマケンリツツヤマヒガシコウトウガコウトショカン</v>
      </c>
      <c r="F4090" t="str">
        <f>""</f>
        <v/>
      </c>
      <c r="G4090" t="str">
        <f>"頻度不明"</f>
        <v>頻度不明</v>
      </c>
      <c r="H4090" t="str">
        <f>"2002222285643"</f>
        <v>2002222285643</v>
      </c>
      <c r="I4090" t="str">
        <f>HYPERLINK("#", "https://opac.libnet.pref.okayama.jp/licsxp-opac/WOpacMsgNewListToTifTilDetailAction.do?tilcod=2002222285643")</f>
        <v>https://opac.libnet.pref.okayama.jp/licsxp-opac/WOpacMsgNewListToTifTilDetailAction.do?tilcod=2002222285643</v>
      </c>
    </row>
    <row r="4091" spans="1:9" x14ac:dyDescent="0.4">
      <c r="A4091" t="str">
        <f>"農家経済調査書"</f>
        <v>農家経済調査書</v>
      </c>
      <c r="B4091" s="1" t="str">
        <f t="shared" si="207"/>
        <v>農家経済調査書</v>
      </c>
      <c r="C4091" t="str">
        <f>"ノウカ　ケイザイ　チョウサショ"</f>
        <v>ノウカ　ケイザイ　チョウサショ</v>
      </c>
      <c r="D4091" t="str">
        <f>"岡山県農会"</f>
        <v>岡山県農会</v>
      </c>
      <c r="E4091" t="str">
        <f>"オカヤマケン ノウカイ"</f>
        <v>オカヤマケン ノウカイ</v>
      </c>
      <c r="F4091" t="str">
        <f>""</f>
        <v/>
      </c>
      <c r="G4091" t="str">
        <f>"頻度不明"</f>
        <v>頻度不明</v>
      </c>
      <c r="H4091" t="str">
        <f>"2002222285673"</f>
        <v>2002222285673</v>
      </c>
      <c r="I4091" t="str">
        <f>HYPERLINK("#", "https://opac.libnet.pref.okayama.jp/licsxp-opac/WOpacMsgNewListToTifTilDetailAction.do?tilcod=2002222285673")</f>
        <v>https://opac.libnet.pref.okayama.jp/licsxp-opac/WOpacMsgNewListToTifTilDetailAction.do?tilcod=2002222285673</v>
      </c>
    </row>
    <row r="4092" spans="1:9" x14ac:dyDescent="0.4">
      <c r="A4092" t="str">
        <f>"農家の友"</f>
        <v>農家の友</v>
      </c>
      <c r="B4092" s="1" t="str">
        <f t="shared" si="207"/>
        <v>農家の友</v>
      </c>
      <c r="C4092" t="str">
        <f>"ノウカ　ノ　トモ"</f>
        <v>ノウカ　ノ　トモ</v>
      </c>
      <c r="D4092" t="str">
        <f>"岡山県農会"</f>
        <v>岡山県農会</v>
      </c>
      <c r="E4092" t="str">
        <f>"オカヤマケン ノウカイ"</f>
        <v>オカヤマケン ノウカイ</v>
      </c>
      <c r="F4092" t="str">
        <f>""</f>
        <v/>
      </c>
      <c r="G4092" t="str">
        <f>"頻度不明"</f>
        <v>頻度不明</v>
      </c>
      <c r="H4092" t="str">
        <f>"2002222285683"</f>
        <v>2002222285683</v>
      </c>
      <c r="I4092" t="str">
        <f>HYPERLINK("#", "https://opac.libnet.pref.okayama.jp/licsxp-opac/WOpacMsgNewListToTifTilDetailAction.do?tilcod=2002222285683")</f>
        <v>https://opac.libnet.pref.okayama.jp/licsxp-opac/WOpacMsgNewListToTifTilDetailAction.do?tilcod=2002222285683</v>
      </c>
    </row>
    <row r="4093" spans="1:9" x14ac:dyDescent="0.4">
      <c r="A4093" t="str">
        <f>"農改だより"</f>
        <v>農改だより</v>
      </c>
      <c r="B4093" s="1" t="str">
        <f t="shared" si="207"/>
        <v>農改だより</v>
      </c>
      <c r="C4093" t="str">
        <f>"ノウカイダヨリ"</f>
        <v>ノウカイダヨリ</v>
      </c>
      <c r="D4093" t="str">
        <f>"岡山県農業改良課"</f>
        <v>岡山県農業改良課</v>
      </c>
      <c r="E4093" t="str">
        <f>"オカヤマケンノウギョウカイリョウカ"</f>
        <v>オカヤマケンノウギョウカイリョウカ</v>
      </c>
      <c r="F4093" t="str">
        <f>""</f>
        <v/>
      </c>
      <c r="G4093" t="str">
        <f>"月刊"</f>
        <v>月刊</v>
      </c>
      <c r="H4093" t="str">
        <f>"2002222285653"</f>
        <v>2002222285653</v>
      </c>
      <c r="I4093" t="str">
        <f>HYPERLINK("#", "https://opac.libnet.pref.okayama.jp/licsxp-opac/WOpacMsgNewListToTifTilDetailAction.do?tilcod=2002222285653")</f>
        <v>https://opac.libnet.pref.okayama.jp/licsxp-opac/WOpacMsgNewListToTifTilDetailAction.do?tilcod=2002222285653</v>
      </c>
    </row>
    <row r="4094" spans="1:9" x14ac:dyDescent="0.4">
      <c r="A4094" t="str">
        <f>"農学研究"</f>
        <v>農学研究</v>
      </c>
      <c r="B4094" s="1" t="str">
        <f t="shared" si="207"/>
        <v>農学研究</v>
      </c>
      <c r="C4094" t="str">
        <f>"ノウガク　ケンキュウ"</f>
        <v>ノウガク　ケンキュウ</v>
      </c>
      <c r="D4094" t="str">
        <f>"大原農業研究所"</f>
        <v>大原農業研究所</v>
      </c>
      <c r="E4094" t="str">
        <f>"オオハラノウギョウケンキュウショ"</f>
        <v>オオハラノウギョウケンキュウショ</v>
      </c>
      <c r="F4094" t="str">
        <f>""</f>
        <v/>
      </c>
      <c r="G4094" t="str">
        <f>"頻度不明"</f>
        <v>頻度不明</v>
      </c>
      <c r="H4094" t="str">
        <f>"2002222285663"</f>
        <v>2002222285663</v>
      </c>
      <c r="I4094" t="str">
        <f>HYPERLINK("#", "https://opac.libnet.pref.okayama.jp/licsxp-opac/WOpacMsgNewListToTifTilDetailAction.do?tilcod=2002222285663")</f>
        <v>https://opac.libnet.pref.okayama.jp/licsxp-opac/WOpacMsgNewListToTifTilDetailAction.do?tilcod=2002222285663</v>
      </c>
    </row>
    <row r="4095" spans="1:9" x14ac:dyDescent="0.4">
      <c r="A4095" t="str">
        <f>"農業委員会だより"</f>
        <v>農業委員会だより</v>
      </c>
      <c r="B4095" s="1" t="str">
        <f t="shared" si="207"/>
        <v>農業委員会だより</v>
      </c>
      <c r="C4095" t="str">
        <f>"ノウギョウ イインカイ ダヨリ"</f>
        <v>ノウギョウ イインカイ ダヨリ</v>
      </c>
      <c r="D4095" t="str">
        <f>"岡山市第一・第二農業委員会"</f>
        <v>岡山市第一・第二農業委員会</v>
      </c>
      <c r="E4095" t="str">
        <f>"オカヤマシ ダイイチ ダイニ ノウギョウ イインカイ"</f>
        <v>オカヤマシ ダイイチ ダイニ ノウギョウ イインカイ</v>
      </c>
      <c r="F4095" t="str">
        <f>"岡山"</f>
        <v>岡山</v>
      </c>
      <c r="G4095" t="str">
        <f>"年２回刊"</f>
        <v>年２回刊</v>
      </c>
      <c r="H4095" t="str">
        <f>"2002222335007"</f>
        <v>2002222335007</v>
      </c>
      <c r="I4095" t="str">
        <f>HYPERLINK("#", "https://opac.libnet.pref.okayama.jp/licsxp-opac/WOpacMsgNewListToTifTilDetailAction.do?tilcod=2002222335007")</f>
        <v>https://opac.libnet.pref.okayama.jp/licsxp-opac/WOpacMsgNewListToTifTilDetailAction.do?tilcod=2002222335007</v>
      </c>
    </row>
    <row r="4096" spans="1:9" x14ac:dyDescent="0.4">
      <c r="A4096" t="str">
        <f>"農業おかやま"</f>
        <v>農業おかやま</v>
      </c>
      <c r="B4096" s="1" t="str">
        <f t="shared" si="207"/>
        <v>農業おかやま</v>
      </c>
      <c r="C4096" t="str">
        <f>"ノウギョウ オカヤマ"</f>
        <v>ノウギョウ オカヤマ</v>
      </c>
      <c r="D4096" t="str">
        <f>"岡山県指導農業協同組合連合会"</f>
        <v>岡山県指導農業協同組合連合会</v>
      </c>
      <c r="E4096" t="str">
        <f>"オカヤマケン シドウ ノウギョウ キョウドウ クミアイ レンゴウカイ"</f>
        <v>オカヤマケン シドウ ノウギョウ キョウドウ クミアイ レンゴウカイ</v>
      </c>
      <c r="F4096" t="str">
        <f>""</f>
        <v/>
      </c>
      <c r="G4096" t="str">
        <f>"頻度不明"</f>
        <v>頻度不明</v>
      </c>
      <c r="H4096" t="str">
        <f>"2002222285693"</f>
        <v>2002222285693</v>
      </c>
      <c r="I4096" t="str">
        <f>HYPERLINK("#", "https://opac.libnet.pref.okayama.jp/licsxp-opac/WOpacMsgNewListToTifTilDetailAction.do?tilcod=2002222285693")</f>
        <v>https://opac.libnet.pref.okayama.jp/licsxp-opac/WOpacMsgNewListToTifTilDetailAction.do?tilcod=2002222285693</v>
      </c>
    </row>
    <row r="4097" spans="1:9" x14ac:dyDescent="0.4">
      <c r="A4097" t="str">
        <f>"農業岡山"</f>
        <v>農業岡山</v>
      </c>
      <c r="B4097" s="1" t="str">
        <f t="shared" si="207"/>
        <v>農業岡山</v>
      </c>
      <c r="C4097" t="str">
        <f>"ノウギョウ　オカヤマ"</f>
        <v>ノウギョウ　オカヤマ</v>
      </c>
      <c r="D4097" t="str">
        <f>"岡山県指導農業協同組合連合会"</f>
        <v>岡山県指導農業協同組合連合会</v>
      </c>
      <c r="E4097" t="str">
        <f>"オカヤマケン シドウ ノウギョウ キョウドウ クミアイ レンゴウカイ"</f>
        <v>オカヤマケン シドウ ノウギョウ キョウドウ クミアイ レンゴウカイ</v>
      </c>
      <c r="F4097" t="str">
        <f>""</f>
        <v/>
      </c>
      <c r="G4097" t="str">
        <f>"頻度不明"</f>
        <v>頻度不明</v>
      </c>
      <c r="H4097" t="str">
        <f>"2002222285703"</f>
        <v>2002222285703</v>
      </c>
      <c r="I4097" t="str">
        <f>HYPERLINK("#", "https://opac.libnet.pref.okayama.jp/licsxp-opac/WOpacMsgNewListToTifTilDetailAction.do?tilcod=2002222285703")</f>
        <v>https://opac.libnet.pref.okayama.jp/licsxp-opac/WOpacMsgNewListToTifTilDetailAction.do?tilcod=2002222285703</v>
      </c>
    </row>
    <row r="4098" spans="1:9" x14ac:dyDescent="0.4">
      <c r="A4098" t="str">
        <f>"農業改良"</f>
        <v>農業改良</v>
      </c>
      <c r="B4098" s="1" t="str">
        <f t="shared" si="207"/>
        <v>農業改良</v>
      </c>
      <c r="C4098" t="str">
        <f>"ノウギョウ　カイリョウ"</f>
        <v>ノウギョウ　カイリョウ</v>
      </c>
      <c r="D4098" t="str">
        <f>"岡山県農業改良課"</f>
        <v>岡山県農業改良課</v>
      </c>
      <c r="E4098" t="str">
        <f>"オカヤマケンノウギョウカイリョウカ"</f>
        <v>オカヤマケンノウギョウカイリョウカ</v>
      </c>
      <c r="F4098" t="str">
        <f>""</f>
        <v/>
      </c>
      <c r="G4098" t="str">
        <f>"頻度不明"</f>
        <v>頻度不明</v>
      </c>
      <c r="H4098" t="str">
        <f>"2002222285723"</f>
        <v>2002222285723</v>
      </c>
      <c r="I4098" t="str">
        <f>HYPERLINK("#", "https://opac.libnet.pref.okayama.jp/licsxp-opac/WOpacMsgNewListToTifTilDetailAction.do?tilcod=2002222285723")</f>
        <v>https://opac.libnet.pref.okayama.jp/licsxp-opac/WOpacMsgNewListToTifTilDetailAction.do?tilcod=2002222285723</v>
      </c>
    </row>
    <row r="4099" spans="1:9" x14ac:dyDescent="0.4">
      <c r="A4099" t="str">
        <f>"農業改良速報"</f>
        <v>農業改良速報</v>
      </c>
      <c r="B4099" s="1" t="str">
        <f t="shared" si="207"/>
        <v>農業改良速報</v>
      </c>
      <c r="C4099" t="str">
        <f>"ノウギョウ　カイリョウ　ソクホウ"</f>
        <v>ノウギョウ　カイリョウ　ソクホウ</v>
      </c>
      <c r="D4099" t="str">
        <f>"岡山県農業改良課"</f>
        <v>岡山県農業改良課</v>
      </c>
      <c r="E4099" t="str">
        <f>"オカヤマケンノウギョウカイリョウカ"</f>
        <v>オカヤマケンノウギョウカイリョウカ</v>
      </c>
      <c r="F4099" t="str">
        <f>""</f>
        <v/>
      </c>
      <c r="G4099" t="str">
        <f>"頻度不明"</f>
        <v>頻度不明</v>
      </c>
      <c r="H4099" t="str">
        <f>"2002222285743"</f>
        <v>2002222285743</v>
      </c>
      <c r="I4099" t="str">
        <f>HYPERLINK("#", "https://opac.libnet.pref.okayama.jp/licsxp-opac/WOpacMsgNewListToTifTilDetailAction.do?tilcod=2002222285743")</f>
        <v>https://opac.libnet.pref.okayama.jp/licsxp-opac/WOpacMsgNewListToTifTilDetailAction.do?tilcod=2002222285743</v>
      </c>
    </row>
    <row r="4100" spans="1:9" x14ac:dyDescent="0.4">
      <c r="A4100" t="str">
        <f>"農業教育"</f>
        <v>農業教育</v>
      </c>
      <c r="B4100" s="1" t="str">
        <f t="shared" ref="B4100:B4163" si="210">HYPERLINK("#", A4100)</f>
        <v>農業教育</v>
      </c>
      <c r="C4100" t="str">
        <f>"ノウギョウ　キョウイク"</f>
        <v>ノウギョウ　キョウイク</v>
      </c>
      <c r="D4100" t="str">
        <f>"岡山県高等学校教育研究会農業部会"</f>
        <v>岡山県高等学校教育研究会農業部会</v>
      </c>
      <c r="E4100" t="str">
        <f>"オカヤマケンコウトウガッコウキョウイクケンキュウカイノウギョウブカイ"</f>
        <v>オカヤマケンコウトウガッコウキョウイクケンキュウカイノウギョウブカイ</v>
      </c>
      <c r="F4100" t="str">
        <f>"岡山"</f>
        <v>岡山</v>
      </c>
      <c r="G4100" t="str">
        <f>"年刊"</f>
        <v>年刊</v>
      </c>
      <c r="H4100" t="str">
        <f>"2002222280541"</f>
        <v>2002222280541</v>
      </c>
      <c r="I4100" t="str">
        <f>HYPERLINK("#", "https://opac.libnet.pref.okayama.jp/licsxp-opac/WOpacMsgNewListToTifTilDetailAction.do?tilcod=2002222280541")</f>
        <v>https://opac.libnet.pref.okayama.jp/licsxp-opac/WOpacMsgNewListToTifTilDetailAction.do?tilcod=2002222280541</v>
      </c>
    </row>
    <row r="4101" spans="1:9" x14ac:dyDescent="0.4">
      <c r="A4101" t="str">
        <f>"農業共済おかやま"</f>
        <v>農業共済おかやま</v>
      </c>
      <c r="B4101" s="1" t="str">
        <f t="shared" si="210"/>
        <v>農業共済おかやま</v>
      </c>
      <c r="C4101" t="str">
        <f>"ノウギョウ　キョウサイ　オカヤマ"</f>
        <v>ノウギョウ　キョウサイ　オカヤマ</v>
      </c>
      <c r="D4101" t="str">
        <f>"岡山県農業共同組合連合会"</f>
        <v>岡山県農業共同組合連合会</v>
      </c>
      <c r="E4101" t="str">
        <f>"オカヤマケンノウギョウキョウドウクミアイレンゴウカイ"</f>
        <v>オカヤマケンノウギョウキョウドウクミアイレンゴウカイ</v>
      </c>
      <c r="F4101" t="str">
        <f>""</f>
        <v/>
      </c>
      <c r="G4101" t="str">
        <f>"頻度不明"</f>
        <v>頻度不明</v>
      </c>
      <c r="H4101" t="str">
        <f>"2002222285753"</f>
        <v>2002222285753</v>
      </c>
      <c r="I4101" t="str">
        <f>HYPERLINK("#", "https://opac.libnet.pref.okayama.jp/licsxp-opac/WOpacMsgNewListToTifTilDetailAction.do?tilcod=2002222285753")</f>
        <v>https://opac.libnet.pref.okayama.jp/licsxp-opac/WOpacMsgNewListToTifTilDetailAction.do?tilcod=2002222285753</v>
      </c>
    </row>
    <row r="4102" spans="1:9" x14ac:dyDescent="0.4">
      <c r="A4102" t="str">
        <f>"農業信用保証"</f>
        <v>農業信用保証</v>
      </c>
      <c r="B4102" s="1" t="str">
        <f t="shared" si="210"/>
        <v>農業信用保証</v>
      </c>
      <c r="C4102" t="str">
        <f>"ノウギョウ　シンヨウ　ホショウ"</f>
        <v>ノウギョウ　シンヨウ　ホショウ</v>
      </c>
      <c r="D4102" t="str">
        <f>"岡山県農業信用基金協会・農業信用保険協会"</f>
        <v>岡山県農業信用基金協会・農業信用保険協会</v>
      </c>
      <c r="E4102" t="str">
        <f>"オカヤマケンノウギョウシンヨウキキンキョウカイノウギョウシンヨウホケンキョウカイ"</f>
        <v>オカヤマケンノウギョウシンヨウキキンキョウカイノウギョウシンヨウホケンキョウカイ</v>
      </c>
      <c r="F4102" t="str">
        <f>""</f>
        <v/>
      </c>
      <c r="G4102" t="str">
        <f>"頻度不明"</f>
        <v>頻度不明</v>
      </c>
      <c r="H4102" t="str">
        <f>"2002222285773"</f>
        <v>2002222285773</v>
      </c>
      <c r="I4102" t="str">
        <f>HYPERLINK("#", "https://opac.libnet.pref.okayama.jp/licsxp-opac/WOpacMsgNewListToTifTilDetailAction.do?tilcod=2002222285773")</f>
        <v>https://opac.libnet.pref.okayama.jp/licsxp-opac/WOpacMsgNewListToTifTilDetailAction.do?tilcod=2002222285773</v>
      </c>
    </row>
    <row r="4103" spans="1:9" x14ac:dyDescent="0.4">
      <c r="A4103" t="str">
        <f>"農協速報"</f>
        <v>農協速報</v>
      </c>
      <c r="B4103" s="1" t="str">
        <f t="shared" si="210"/>
        <v>農協速報</v>
      </c>
      <c r="C4103" t="str">
        <f>"ノウキョウ　ソクホウ"</f>
        <v>ノウキョウ　ソクホウ</v>
      </c>
      <c r="D4103" t="str">
        <f>"岡山県農業協同組合中央会"</f>
        <v>岡山県農業協同組合中央会</v>
      </c>
      <c r="E4103" t="str">
        <f>"オカヤマケン ノウギョウ キョウドウ クミアイ チュウオウカイ"</f>
        <v>オカヤマケン ノウギョウ キョウドウ クミアイ チュウオウカイ</v>
      </c>
      <c r="F4103" t="str">
        <f>""</f>
        <v/>
      </c>
      <c r="G4103" t="str">
        <f>"その他"</f>
        <v>その他</v>
      </c>
      <c r="H4103" t="str">
        <f>"2002222285783"</f>
        <v>2002222285783</v>
      </c>
      <c r="I4103" t="str">
        <f>HYPERLINK("#", "https://opac.libnet.pref.okayama.jp/licsxp-opac/WOpacMsgNewListToTifTilDetailAction.do?tilcod=2002222285783")</f>
        <v>https://opac.libnet.pref.okayama.jp/licsxp-opac/WOpacMsgNewListToTifTilDetailAction.do?tilcod=2002222285783</v>
      </c>
    </row>
    <row r="4104" spans="1:9" x14ac:dyDescent="0.4">
      <c r="A4104" t="str">
        <f>"農業だよりおかやま"</f>
        <v>農業だよりおかやま</v>
      </c>
      <c r="B4104" s="1" t="str">
        <f t="shared" si="210"/>
        <v>農業だよりおかやま</v>
      </c>
      <c r="C4104" t="str">
        <f>"ノウギョウ　ダヨリ　オカヤマ"</f>
        <v>ノウギョウ　ダヨリ　オカヤマ</v>
      </c>
      <c r="D4104" t="str">
        <f>"岡山市農業委員会"</f>
        <v>岡山市農業委員会</v>
      </c>
      <c r="E4104" t="str">
        <f>"オカヤマシ ノウギョウ イインカイ"</f>
        <v>オカヤマシ ノウギョウ イインカイ</v>
      </c>
      <c r="F4104" t="str">
        <f>""</f>
        <v/>
      </c>
      <c r="G4104" t="str">
        <f>"頻度不明"</f>
        <v>頻度不明</v>
      </c>
      <c r="H4104" t="str">
        <f>"2002222285793"</f>
        <v>2002222285793</v>
      </c>
      <c r="I4104" t="str">
        <f>HYPERLINK("#", "https://opac.libnet.pref.okayama.jp/licsxp-opac/WOpacMsgNewListToTifTilDetailAction.do?tilcod=2002222285793")</f>
        <v>https://opac.libnet.pref.okayama.jp/licsxp-opac/WOpacMsgNewListToTifTilDetailAction.do?tilcod=2002222285793</v>
      </c>
    </row>
    <row r="4105" spans="1:9" x14ac:dyDescent="0.4">
      <c r="A4105" t="str">
        <f>"のうきょう日生"</f>
        <v>のうきょう日生</v>
      </c>
      <c r="B4105" s="1" t="str">
        <f t="shared" si="210"/>
        <v>のうきょう日生</v>
      </c>
      <c r="C4105" t="str">
        <f>"ノウキョウ　ヒナセ"</f>
        <v>ノウキョウ　ヒナセ</v>
      </c>
      <c r="D4105" t="str">
        <f>""</f>
        <v/>
      </c>
      <c r="E4105" t="str">
        <f>""</f>
        <v/>
      </c>
      <c r="F4105" t="str">
        <f>""</f>
        <v/>
      </c>
      <c r="G4105" t="str">
        <f>"頻度不明"</f>
        <v>頻度不明</v>
      </c>
      <c r="H4105" t="str">
        <f>"2002222285803"</f>
        <v>2002222285803</v>
      </c>
      <c r="I4105" t="str">
        <f>HYPERLINK("#", "https://opac.libnet.pref.okayama.jp/licsxp-opac/WOpacMsgNewListToTifTilDetailAction.do?tilcod=2002222285803")</f>
        <v>https://opac.libnet.pref.okayama.jp/licsxp-opac/WOpacMsgNewListToTifTilDetailAction.do?tilcod=2002222285803</v>
      </c>
    </row>
    <row r="4106" spans="1:9" x14ac:dyDescent="0.4">
      <c r="A4106" t="str">
        <f>"NOSAIおかやま"</f>
        <v>NOSAIおかやま</v>
      </c>
      <c r="B4106" s="1" t="str">
        <f t="shared" si="210"/>
        <v>NOSAIおかやま</v>
      </c>
      <c r="C4106" t="str">
        <f>"ノウサイ オカヤマ"</f>
        <v>ノウサイ オカヤマ</v>
      </c>
      <c r="D4106" t="str">
        <f>"岡山県農業共済組合"</f>
        <v>岡山県農業共済組合</v>
      </c>
      <c r="E4106" t="str">
        <f>"オカヤマケン ノウギョウ キョウサイ クミアイ"</f>
        <v>オカヤマケン ノウギョウ キョウサイ クミアイ</v>
      </c>
      <c r="F4106" t="str">
        <f>"岡山"</f>
        <v>岡山</v>
      </c>
      <c r="G4106" t="str">
        <f>"年３回刊"</f>
        <v>年３回刊</v>
      </c>
      <c r="H4106" t="str">
        <f>"2002222334751"</f>
        <v>2002222334751</v>
      </c>
      <c r="I4106" t="str">
        <f>HYPERLINK("#", "https://opac.libnet.pref.okayama.jp/licsxp-opac/WOpacMsgNewListToTifTilDetailAction.do?tilcod=2002222334751")</f>
        <v>https://opac.libnet.pref.okayama.jp/licsxp-opac/WOpacMsgNewListToTifTilDetailAction.do?tilcod=2002222334751</v>
      </c>
    </row>
    <row r="4107" spans="1:9" x14ac:dyDescent="0.4">
      <c r="A4107" t="str">
        <f>"のうさい勝英；勝英農業共済事務組合広報誌"</f>
        <v>のうさい勝英；勝英農業共済事務組合広報誌</v>
      </c>
      <c r="B4107" s="1" t="str">
        <f t="shared" si="210"/>
        <v>のうさい勝英；勝英農業共済事務組合広報誌</v>
      </c>
      <c r="C4107" t="str">
        <f>"ノウサイ　ショウエイ＊ショウエイ　ノウギョウ　キョウサイ　ジム　クミアイ　コウホウシ"</f>
        <v>ノウサイ　ショウエイ＊ショウエイ　ノウギョウ　キョウサイ　ジム　クミアイ　コウホウシ</v>
      </c>
      <c r="D4107" t="str">
        <f>"勝英農業共済事務組合"</f>
        <v>勝英農業共済事務組合</v>
      </c>
      <c r="E4107" t="str">
        <f>"ショウエイノウギョウキョウサイジムクミアイ"</f>
        <v>ショウエイノウギョウキョウサイジムクミアイ</v>
      </c>
      <c r="F4107" t="str">
        <f>"勝央町（勝田郡）"</f>
        <v>勝央町（勝田郡）</v>
      </c>
      <c r="G4107" t="str">
        <f>"年３回刊"</f>
        <v>年３回刊</v>
      </c>
      <c r="H4107" t="str">
        <f>"2002222301168"</f>
        <v>2002222301168</v>
      </c>
      <c r="I4107" t="str">
        <f>HYPERLINK("#", "https://opac.libnet.pref.okayama.jp/licsxp-opac/WOpacMsgNewListToTifTilDetailAction.do?tilcod=2002222301168")</f>
        <v>https://opac.libnet.pref.okayama.jp/licsxp-opac/WOpacMsgNewListToTifTilDetailAction.do?tilcod=2002222301168</v>
      </c>
    </row>
    <row r="4108" spans="1:9" x14ac:dyDescent="0.4">
      <c r="A4108" t="str">
        <f>"農産時事通信"</f>
        <v>農産時事通信</v>
      </c>
      <c r="B4108" s="1" t="str">
        <f t="shared" si="210"/>
        <v>農産時事通信</v>
      </c>
      <c r="C4108" t="str">
        <f>"ノウサン　ジジ　ツウシン"</f>
        <v>ノウサン　ジジ　ツウシン</v>
      </c>
      <c r="D4108" t="str">
        <f>"岡山県経済農業協同組合連合会"</f>
        <v>岡山県経済農業協同組合連合会</v>
      </c>
      <c r="E4108" t="str">
        <f>"オカヤマケン ケイザイ ノウギョウ キョウドウ クミアイ レンゴウカイ"</f>
        <v>オカヤマケン ケイザイ ノウギョウ キョウドウ クミアイ レンゴウカイ</v>
      </c>
      <c r="F4108" t="str">
        <f>""</f>
        <v/>
      </c>
      <c r="G4108" t="str">
        <f>"頻度不明"</f>
        <v>頻度不明</v>
      </c>
      <c r="H4108" t="str">
        <f>"2002222285823"</f>
        <v>2002222285823</v>
      </c>
      <c r="I4108" t="str">
        <f>HYPERLINK("#", "https://opac.libnet.pref.okayama.jp/licsxp-opac/WOpacMsgNewListToTifTilDetailAction.do?tilcod=2002222285823")</f>
        <v>https://opac.libnet.pref.okayama.jp/licsxp-opac/WOpacMsgNewListToTifTilDetailAction.do?tilcod=2002222285823</v>
      </c>
    </row>
    <row r="4109" spans="1:9" x14ac:dyDescent="0.4">
      <c r="A4109" t="str">
        <f>"農産技術通信"</f>
        <v>農産技術通信</v>
      </c>
      <c r="B4109" s="1" t="str">
        <f t="shared" si="210"/>
        <v>農産技術通信</v>
      </c>
      <c r="C4109" t="str">
        <f>"ノウサンギジュツ　ツウシン"</f>
        <v>ノウサンギジュツ　ツウシン</v>
      </c>
      <c r="D4109" t="str">
        <f>"岡山県経済農業協同組合連合会"</f>
        <v>岡山県経済農業協同組合連合会</v>
      </c>
      <c r="E4109" t="str">
        <f>"オカヤマケン ケイザイ ノウギョウ キョウドウ クミアイ レンゴウカイ"</f>
        <v>オカヤマケン ケイザイ ノウギョウ キョウドウ クミアイ レンゴウカイ</v>
      </c>
      <c r="F4109" t="str">
        <f>""</f>
        <v/>
      </c>
      <c r="G4109" t="str">
        <f>"頻度不明"</f>
        <v>頻度不明</v>
      </c>
      <c r="H4109" t="str">
        <f>"2002222285813"</f>
        <v>2002222285813</v>
      </c>
      <c r="I4109" t="str">
        <f>HYPERLINK("#", "https://opac.libnet.pref.okayama.jp/licsxp-opac/WOpacMsgNewListToTifTilDetailAction.do?tilcod=2002222285813")</f>
        <v>https://opac.libnet.pref.okayama.jp/licsxp-opac/WOpacMsgNewListToTifTilDetailAction.do?tilcod=2002222285813</v>
      </c>
    </row>
    <row r="4110" spans="1:9" x14ac:dyDescent="0.4">
      <c r="A4110" t="str">
        <f>"農政"</f>
        <v>農政</v>
      </c>
      <c r="B4110" s="1" t="str">
        <f t="shared" si="210"/>
        <v>農政</v>
      </c>
      <c r="C4110" t="str">
        <f>"ノウセイ"</f>
        <v>ノウセイ</v>
      </c>
      <c r="D4110" t="str">
        <f>"岡山県経済部農政課"</f>
        <v>岡山県経済部農政課</v>
      </c>
      <c r="E4110" t="str">
        <f>"オカヤマケンケイザイブノウセイカ"</f>
        <v>オカヤマケンケイザイブノウセイカ</v>
      </c>
      <c r="F4110" t="str">
        <f>""</f>
        <v/>
      </c>
      <c r="G4110" t="str">
        <f>"頻度不明"</f>
        <v>頻度不明</v>
      </c>
      <c r="H4110" t="str">
        <f>"2002222285843"</f>
        <v>2002222285843</v>
      </c>
      <c r="I4110" t="str">
        <f>HYPERLINK("#", "https://opac.libnet.pref.okayama.jp/licsxp-opac/WOpacMsgNewListToTifTilDetailAction.do?tilcod=2002222285843")</f>
        <v>https://opac.libnet.pref.okayama.jp/licsxp-opac/WOpacMsgNewListToTifTilDetailAction.do?tilcod=2002222285843</v>
      </c>
    </row>
    <row r="4111" spans="1:9" x14ac:dyDescent="0.4">
      <c r="A4111" t="str">
        <f>"農政與論"</f>
        <v>農政與論</v>
      </c>
      <c r="B4111" s="1" t="str">
        <f t="shared" si="210"/>
        <v>農政與論</v>
      </c>
      <c r="C4111" t="str">
        <f>"ノウセイ　ヨロン"</f>
        <v>ノウセイ　ヨロン</v>
      </c>
      <c r="D4111" t="str">
        <f>"農政與論社"</f>
        <v>農政與論社</v>
      </c>
      <c r="E4111" t="str">
        <f>"ノウセイヨロンシャ"</f>
        <v>ノウセイヨロンシャ</v>
      </c>
      <c r="F4111" t="str">
        <f>"成羽町（川上郡）"</f>
        <v>成羽町（川上郡）</v>
      </c>
      <c r="G4111" t="str">
        <f>"月刊"</f>
        <v>月刊</v>
      </c>
      <c r="H4111" t="str">
        <f>"2002222300958"</f>
        <v>2002222300958</v>
      </c>
      <c r="I4111" t="str">
        <f>HYPERLINK("#", "https://opac.libnet.pref.okayama.jp/licsxp-opac/WOpacMsgNewListToTifTilDetailAction.do?tilcod=2002222300958")</f>
        <v>https://opac.libnet.pref.okayama.jp/licsxp-opac/WOpacMsgNewListToTifTilDetailAction.do?tilcod=2002222300958</v>
      </c>
    </row>
    <row r="4112" spans="1:9" x14ac:dyDescent="0.4">
      <c r="A4112" t="str">
        <f>"農友"</f>
        <v>農友</v>
      </c>
      <c r="B4112" s="1" t="str">
        <f t="shared" si="210"/>
        <v>農友</v>
      </c>
      <c r="C4112" t="str">
        <f>"ノウユウ"</f>
        <v>ノウユウ</v>
      </c>
      <c r="D4112" t="str">
        <f>"邑久郡農会"</f>
        <v>邑久郡農会</v>
      </c>
      <c r="E4112" t="str">
        <f>"オクグンノウカイ"</f>
        <v>オクグンノウカイ</v>
      </c>
      <c r="F4112" t="str">
        <f>""</f>
        <v/>
      </c>
      <c r="G4112" t="str">
        <f>"頻度不明"</f>
        <v>頻度不明</v>
      </c>
      <c r="H4112" t="str">
        <f>"2002222285853"</f>
        <v>2002222285853</v>
      </c>
      <c r="I4112" t="str">
        <f>HYPERLINK("#", "https://opac.libnet.pref.okayama.jp/licsxp-opac/WOpacMsgNewListToTifTilDetailAction.do?tilcod=2002222285853")</f>
        <v>https://opac.libnet.pref.okayama.jp/licsxp-opac/WOpacMsgNewListToTifTilDetailAction.do?tilcod=2002222285853</v>
      </c>
    </row>
    <row r="4113" spans="1:9" x14ac:dyDescent="0.4">
      <c r="A4113" t="str">
        <f>"能率ニュース"</f>
        <v>能率ニュース</v>
      </c>
      <c r="B4113" s="1" t="str">
        <f t="shared" si="210"/>
        <v>能率ニュース</v>
      </c>
      <c r="C4113" t="str">
        <f>"ノウリツ　ニュース"</f>
        <v>ノウリツ　ニュース</v>
      </c>
      <c r="D4113" t="str">
        <f>"岡山県企画調査課"</f>
        <v>岡山県企画調査課</v>
      </c>
      <c r="E4113" t="str">
        <f>"オカヤマケン キカク チョウサカ"</f>
        <v>オカヤマケン キカク チョウサカ</v>
      </c>
      <c r="F4113" t="str">
        <f>""</f>
        <v/>
      </c>
      <c r="G4113" t="str">
        <f>"頻度不明"</f>
        <v>頻度不明</v>
      </c>
      <c r="H4113" t="str">
        <f>"2002222285863"</f>
        <v>2002222285863</v>
      </c>
      <c r="I4113" t="str">
        <f>HYPERLINK("#", "https://opac.libnet.pref.okayama.jp/licsxp-opac/WOpacMsgNewListToTifTilDetailAction.do?tilcod=2002222285863")</f>
        <v>https://opac.libnet.pref.okayama.jp/licsxp-opac/WOpacMsgNewListToTifTilDetailAction.do?tilcod=2002222285863</v>
      </c>
    </row>
    <row r="4114" spans="1:9" x14ac:dyDescent="0.4">
      <c r="A4114" t="str">
        <f>"能力開発おかやま"</f>
        <v>能力開発おかやま</v>
      </c>
      <c r="B4114" s="1" t="str">
        <f t="shared" si="210"/>
        <v>能力開発おかやま</v>
      </c>
      <c r="C4114" t="str">
        <f>"ノウリョク カイハツ オカヤマ"</f>
        <v>ノウリョク カイハツ オカヤマ</v>
      </c>
      <c r="D4114" t="str">
        <f>"岡山県職業能力開発協会"</f>
        <v>岡山県職業能力開発協会</v>
      </c>
      <c r="E4114" t="str">
        <f>"オカヤマケン ショクギョウ ノウリョク カイハツ キョウカイ"</f>
        <v>オカヤマケン ショクギョウ ノウリョク カイハツ キョウカイ</v>
      </c>
      <c r="F4114" t="str">
        <f>"岡山"</f>
        <v>岡山</v>
      </c>
      <c r="G4114" t="str">
        <f>"年２回刊"</f>
        <v>年２回刊</v>
      </c>
      <c r="H4114" t="str">
        <f>"2002222321027"</f>
        <v>2002222321027</v>
      </c>
      <c r="I4114" t="str">
        <f>HYPERLINK("#", "https://opac.libnet.pref.okayama.jp/licsxp-opac/WOpacMsgNewListToTifTilDetailAction.do?tilcod=2002222321027")</f>
        <v>https://opac.libnet.pref.okayama.jp/licsxp-opac/WOpacMsgNewListToTifTilDetailAction.do?tilcod=2002222321027</v>
      </c>
    </row>
    <row r="4115" spans="1:9" x14ac:dyDescent="0.4">
      <c r="A4115" t="str">
        <f>"農林おかやま"</f>
        <v>農林おかやま</v>
      </c>
      <c r="B4115" s="1" t="str">
        <f t="shared" si="210"/>
        <v>農林おかやま</v>
      </c>
      <c r="C4115" t="str">
        <f>"ノウリン オカヤマ"</f>
        <v>ノウリン オカヤマ</v>
      </c>
      <c r="D4115" t="str">
        <f>"岡山県農林部"</f>
        <v>岡山県農林部</v>
      </c>
      <c r="E4115" t="str">
        <f>"オカヤマケン ノウリンブ"</f>
        <v>オカヤマケン ノウリンブ</v>
      </c>
      <c r="F4115" t="str">
        <f>""</f>
        <v/>
      </c>
      <c r="G4115" t="str">
        <f>"頻度不明"</f>
        <v>頻度不明</v>
      </c>
      <c r="H4115" t="str">
        <f>"2002222285873"</f>
        <v>2002222285873</v>
      </c>
      <c r="I4115" t="str">
        <f>HYPERLINK("#", "https://opac.libnet.pref.okayama.jp/licsxp-opac/WOpacMsgNewListToTifTilDetailAction.do?tilcod=2002222285873")</f>
        <v>https://opac.libnet.pref.okayama.jp/licsxp-opac/WOpacMsgNewListToTifTilDetailAction.do?tilcod=2002222285873</v>
      </c>
    </row>
    <row r="4116" spans="1:9" x14ac:dyDescent="0.4">
      <c r="A4116" t="str">
        <f>"農林広報"</f>
        <v>農林広報</v>
      </c>
      <c r="B4116" s="1" t="str">
        <f t="shared" si="210"/>
        <v>農林広報</v>
      </c>
      <c r="C4116" t="str">
        <f>"ノウリン　コウホウ"</f>
        <v>ノウリン　コウホウ</v>
      </c>
      <c r="D4116" t="str">
        <f>"岡山県農林部・岡山県農林協会"</f>
        <v>岡山県農林部・岡山県農林協会</v>
      </c>
      <c r="E4116" t="str">
        <f>"オカヤマケンノウリンブオカヤマケンノウリンキョウカイ"</f>
        <v>オカヤマケンノウリンブオカヤマケンノウリンキョウカイ</v>
      </c>
      <c r="F4116" t="str">
        <f>""</f>
        <v/>
      </c>
      <c r="G4116" t="str">
        <f>"月刊"</f>
        <v>月刊</v>
      </c>
      <c r="H4116" t="str">
        <f>"2002222285883"</f>
        <v>2002222285883</v>
      </c>
      <c r="I4116" t="str">
        <f>HYPERLINK("#", "https://opac.libnet.pref.okayama.jp/licsxp-opac/WOpacMsgNewListToTifTilDetailAction.do?tilcod=2002222285883")</f>
        <v>https://opac.libnet.pref.okayama.jp/licsxp-opac/WOpacMsgNewListToTifTilDetailAction.do?tilcod=2002222285883</v>
      </c>
    </row>
    <row r="4117" spans="1:9" x14ac:dyDescent="0.4">
      <c r="A4117" t="str">
        <f>"農林水産統計速報　岡山県版"</f>
        <v>農林水産統計速報　岡山県版</v>
      </c>
      <c r="B4117" s="1" t="str">
        <f t="shared" si="210"/>
        <v>農林水産統計速報　岡山県版</v>
      </c>
      <c r="C4117" t="str">
        <f>"ノウリン　スイサン　トウケイ　ソクホウ　オカヤマ　ケンバン"</f>
        <v>ノウリン　スイサン　トウケイ　ソクホウ　オカヤマ　ケンバン</v>
      </c>
      <c r="D4117" t="str">
        <f>"岡山農林統計協会"</f>
        <v>岡山農林統計協会</v>
      </c>
      <c r="E4117" t="str">
        <f>"オカヤマノウリントウケイキョウカイ"</f>
        <v>オカヤマノウリントウケイキョウカイ</v>
      </c>
      <c r="F4117" t="str">
        <f>""</f>
        <v/>
      </c>
      <c r="G4117" t="str">
        <f>"頻度不明"</f>
        <v>頻度不明</v>
      </c>
      <c r="H4117" t="str">
        <f>"2002222285903"</f>
        <v>2002222285903</v>
      </c>
      <c r="I4117" t="str">
        <f>HYPERLINK("#", "https://opac.libnet.pref.okayama.jp/licsxp-opac/WOpacMsgNewListToTifTilDetailAction.do?tilcod=2002222285903")</f>
        <v>https://opac.libnet.pref.okayama.jp/licsxp-opac/WOpacMsgNewListToTifTilDetailAction.do?tilcod=2002222285903</v>
      </c>
    </row>
    <row r="4118" spans="1:9" x14ac:dyDescent="0.4">
      <c r="A4118" t="str">
        <f>"農林統計速報"</f>
        <v>農林統計速報</v>
      </c>
      <c r="B4118" s="1" t="str">
        <f t="shared" si="210"/>
        <v>農林統計速報</v>
      </c>
      <c r="C4118" t="str">
        <f>"ノウリン　トウケイ　ソクホウ"</f>
        <v>ノウリン　トウケイ　ソクホウ</v>
      </c>
      <c r="D4118" t="str">
        <f>"岡山農林統計協会"</f>
        <v>岡山農林統計協会</v>
      </c>
      <c r="E4118" t="str">
        <f>"オカヤマノウリントウケイキョウカイ"</f>
        <v>オカヤマノウリントウケイキョウカイ</v>
      </c>
      <c r="F4118" t="str">
        <f>""</f>
        <v/>
      </c>
      <c r="G4118" t="str">
        <f>"頻度不明"</f>
        <v>頻度不明</v>
      </c>
      <c r="H4118" t="str">
        <f>"2002222285913"</f>
        <v>2002222285913</v>
      </c>
      <c r="I4118" t="str">
        <f>HYPERLINK("#", "https://opac.libnet.pref.okayama.jp/licsxp-opac/WOpacMsgNewListToTifTilDetailAction.do?tilcod=2002222285913")</f>
        <v>https://opac.libnet.pref.okayama.jp/licsxp-opac/WOpacMsgNewListToTifTilDetailAction.do?tilcod=2002222285913</v>
      </c>
    </row>
    <row r="4119" spans="1:9" x14ac:dyDescent="0.4">
      <c r="A4119" t="str">
        <f>"ノートルダム清心女子大学家政学部 時報"</f>
        <v>ノートルダム清心女子大学家政学部 時報</v>
      </c>
      <c r="B4119" s="1" t="str">
        <f t="shared" si="210"/>
        <v>ノートルダム清心女子大学家政学部 時報</v>
      </c>
      <c r="C4119" t="str">
        <f>"ノートルダム セイシン ジョシ ダイガク カセイガクブ＊ジホウ"</f>
        <v>ノートルダム セイシン ジョシ ダイガク カセイガクブ＊ジホウ</v>
      </c>
      <c r="D4119" t="str">
        <f t="shared" ref="D4119:D4127" si="211">"ノートルダム清心女子大学"</f>
        <v>ノートルダム清心女子大学</v>
      </c>
      <c r="E4119" t="str">
        <f t="shared" ref="E4119:E4127" si="212">"ノートルダム セイシン ジョシ ダイガク"</f>
        <v>ノートルダム セイシン ジョシ ダイガク</v>
      </c>
      <c r="F4119" t="str">
        <f t="shared" ref="F4119:F4136" si="213">"岡山"</f>
        <v>岡山</v>
      </c>
      <c r="G4119" t="str">
        <f t="shared" ref="G4119:G4126" si="214">"年刊"</f>
        <v>年刊</v>
      </c>
      <c r="H4119" t="str">
        <f>"2002222288643"</f>
        <v>2002222288643</v>
      </c>
      <c r="I4119" t="str">
        <f>HYPERLINK("#", "https://opac.libnet.pref.okayama.jp/licsxp-opac/WOpacMsgNewListToTifTilDetailAction.do?tilcod=2002222288643")</f>
        <v>https://opac.libnet.pref.okayama.jp/licsxp-opac/WOpacMsgNewListToTifTilDetailAction.do?tilcod=2002222288643</v>
      </c>
    </row>
    <row r="4120" spans="1:9" x14ac:dyDescent="0.4">
      <c r="A4120" t="str">
        <f>"ノートルダム清心女子大学紀要 外国語・外国文学編"</f>
        <v>ノートルダム清心女子大学紀要 外国語・外国文学編</v>
      </c>
      <c r="B4120" s="1" t="str">
        <f t="shared" si="210"/>
        <v>ノートルダム清心女子大学紀要 外国語・外国文学編</v>
      </c>
      <c r="C4120" t="str">
        <f>"ノートルダム セイシン ジョシ ダイガク キヨウ ガイコクゴ ガイコク ブンガクヘン"</f>
        <v>ノートルダム セイシン ジョシ ダイガク キヨウ ガイコクゴ ガイコク ブンガクヘン</v>
      </c>
      <c r="D4120" t="str">
        <f t="shared" si="211"/>
        <v>ノートルダム清心女子大学</v>
      </c>
      <c r="E4120" t="str">
        <f t="shared" si="212"/>
        <v>ノートルダム セイシン ジョシ ダイガク</v>
      </c>
      <c r="F4120" t="str">
        <f t="shared" si="213"/>
        <v>岡山</v>
      </c>
      <c r="G4120" t="str">
        <f t="shared" si="214"/>
        <v>年刊</v>
      </c>
      <c r="H4120" t="str">
        <f>"2002222294571"</f>
        <v>2002222294571</v>
      </c>
      <c r="I4120" t="str">
        <f>HYPERLINK("#", "https://opac.libnet.pref.okayama.jp/licsxp-opac/WOpacMsgNewListToTifTilDetailAction.do?tilcod=2002222294571")</f>
        <v>https://opac.libnet.pref.okayama.jp/licsxp-opac/WOpacMsgNewListToTifTilDetailAction.do?tilcod=2002222294571</v>
      </c>
    </row>
    <row r="4121" spans="1:9" x14ac:dyDescent="0.4">
      <c r="A4121" t="str">
        <f>"ノートルダム清心女子大学紀要 外国語・外国文学編 文化学編 日本語・日本文学編"</f>
        <v>ノートルダム清心女子大学紀要 外国語・外国文学編 文化学編 日本語・日本文学編</v>
      </c>
      <c r="B4121" s="1" t="str">
        <f t="shared" si="210"/>
        <v>ノートルダム清心女子大学紀要 外国語・外国文学編 文化学編 日本語・日本文学編</v>
      </c>
      <c r="C4121" t="str">
        <f>"ノートルダム セイシン ジョシ ダイガク キヨウ ガイコクゴ ガイコク ブンガクヘン ブンカガクヘン ニホンゴ ニホン ブンガクヘン"</f>
        <v>ノートルダム セイシン ジョシ ダイガク キヨウ ガイコクゴ ガイコク ブンガクヘン ブンカガクヘン ニホンゴ ニホン ブンガクヘン</v>
      </c>
      <c r="D4121" t="str">
        <f t="shared" si="211"/>
        <v>ノートルダム清心女子大学</v>
      </c>
      <c r="E4121" t="str">
        <f t="shared" si="212"/>
        <v>ノートルダム セイシン ジョシ ダイガク</v>
      </c>
      <c r="F4121" t="str">
        <f t="shared" si="213"/>
        <v>岡山</v>
      </c>
      <c r="G4121" t="str">
        <f t="shared" si="214"/>
        <v>年刊</v>
      </c>
      <c r="H4121" t="str">
        <f>"2002222314190"</f>
        <v>2002222314190</v>
      </c>
      <c r="I4121" t="str">
        <f>HYPERLINK("#", "https://opac.libnet.pref.okayama.jp/licsxp-opac/WOpacMsgNewListToTifTilDetailAction.do?tilcod=2002222314190")</f>
        <v>https://opac.libnet.pref.okayama.jp/licsxp-opac/WOpacMsgNewListToTifTilDetailAction.do?tilcod=2002222314190</v>
      </c>
    </row>
    <row r="4122" spans="1:9" x14ac:dyDescent="0.4">
      <c r="A4122" t="str">
        <f>"ノートルダム清心女子大学紀要 国語・国文学編"</f>
        <v>ノートルダム清心女子大学紀要 国語・国文学編</v>
      </c>
      <c r="B4122" s="1" t="str">
        <f t="shared" si="210"/>
        <v>ノートルダム清心女子大学紀要 国語・国文学編</v>
      </c>
      <c r="C4122" t="str">
        <f>"ノートルダム セイシン ジョシ ダイガク キヨウ コクゴ コクブンガクヘン"</f>
        <v>ノートルダム セイシン ジョシ ダイガク キヨウ コクゴ コクブンガクヘン</v>
      </c>
      <c r="D4122" t="str">
        <f t="shared" si="211"/>
        <v>ノートルダム清心女子大学</v>
      </c>
      <c r="E4122" t="str">
        <f t="shared" si="212"/>
        <v>ノートルダム セイシン ジョシ ダイガク</v>
      </c>
      <c r="F4122" t="str">
        <f t="shared" si="213"/>
        <v>岡山</v>
      </c>
      <c r="G4122" t="str">
        <f t="shared" si="214"/>
        <v>年刊</v>
      </c>
      <c r="H4122" t="str">
        <f>"2002222294451"</f>
        <v>2002222294451</v>
      </c>
      <c r="I4122" t="str">
        <f>HYPERLINK("#", "https://opac.libnet.pref.okayama.jp/licsxp-opac/WOpacMsgNewListToTifTilDetailAction.do?tilcod=2002222294451")</f>
        <v>https://opac.libnet.pref.okayama.jp/licsxp-opac/WOpacMsgNewListToTifTilDetailAction.do?tilcod=2002222294451</v>
      </c>
    </row>
    <row r="4123" spans="1:9" x14ac:dyDescent="0.4">
      <c r="A4123" t="str">
        <f>"ノートルダム清心女子大学紀要 生活経営学・児童学・食品栄養学編"</f>
        <v>ノートルダム清心女子大学紀要 生活経営学・児童学・食品栄養学編</v>
      </c>
      <c r="B4123" s="1" t="str">
        <f t="shared" si="210"/>
        <v>ノートルダム清心女子大学紀要 生活経営学・児童学・食品栄養学編</v>
      </c>
      <c r="C4123" t="str">
        <f>"ノートルダム セイシン ジョシ ダイガク キヨウ セイカツ ケイエイガク ジドウガク ショクヒン エイヨウガクヘン"</f>
        <v>ノートルダム セイシン ジョシ ダイガク キヨウ セイカツ ケイエイガク ジドウガク ショクヒン エイヨウガクヘン</v>
      </c>
      <c r="D4123" t="str">
        <f t="shared" si="211"/>
        <v>ノートルダム清心女子大学</v>
      </c>
      <c r="E4123" t="str">
        <f t="shared" si="212"/>
        <v>ノートルダム セイシン ジョシ ダイガク</v>
      </c>
      <c r="F4123" t="str">
        <f t="shared" si="213"/>
        <v>岡山</v>
      </c>
      <c r="G4123" t="str">
        <f t="shared" si="214"/>
        <v>年刊</v>
      </c>
      <c r="H4123" t="str">
        <f>"2002222294561"</f>
        <v>2002222294561</v>
      </c>
      <c r="I4123" t="str">
        <f>HYPERLINK("#", "https://opac.libnet.pref.okayama.jp/licsxp-opac/WOpacMsgNewListToTifTilDetailAction.do?tilcod=2002222294561")</f>
        <v>https://opac.libnet.pref.okayama.jp/licsxp-opac/WOpacMsgNewListToTifTilDetailAction.do?tilcod=2002222294561</v>
      </c>
    </row>
    <row r="4124" spans="1:9" x14ac:dyDescent="0.4">
      <c r="A4124" t="str">
        <f>"ノートルダム清心女子大学紀要 日本語・日本文学編"</f>
        <v>ノートルダム清心女子大学紀要 日本語・日本文学編</v>
      </c>
      <c r="B4124" s="1" t="str">
        <f t="shared" si="210"/>
        <v>ノートルダム清心女子大学紀要 日本語・日本文学編</v>
      </c>
      <c r="C4124" t="str">
        <f>"ノートルダム セイシン ジョシ ダイガク キヨウ ニホンゴ ニホン ブンガク ヘン"</f>
        <v>ノートルダム セイシン ジョシ ダイガク キヨウ ニホンゴ ニホン ブンガク ヘン</v>
      </c>
      <c r="D4124" t="str">
        <f t="shared" si="211"/>
        <v>ノートルダム清心女子大学</v>
      </c>
      <c r="E4124" t="str">
        <f t="shared" si="212"/>
        <v>ノートルダム セイシン ジョシ ダイガク</v>
      </c>
      <c r="F4124" t="str">
        <f t="shared" si="213"/>
        <v>岡山</v>
      </c>
      <c r="G4124" t="str">
        <f t="shared" si="214"/>
        <v>年刊</v>
      </c>
      <c r="H4124" t="str">
        <f>"2002222282951"</f>
        <v>2002222282951</v>
      </c>
      <c r="I4124" t="str">
        <f>HYPERLINK("#", "https://opac.libnet.pref.okayama.jp/licsxp-opac/WOpacMsgNewListToTifTilDetailAction.do?tilcod=2002222282951")</f>
        <v>https://opac.libnet.pref.okayama.jp/licsxp-opac/WOpacMsgNewListToTifTilDetailAction.do?tilcod=2002222282951</v>
      </c>
    </row>
    <row r="4125" spans="1:9" x14ac:dyDescent="0.4">
      <c r="A4125" t="str">
        <f>"ノートルダム清心女子大学紀要 人間生活学・児童学・食品栄養学編"</f>
        <v>ノートルダム清心女子大学紀要 人間生活学・児童学・食品栄養学編</v>
      </c>
      <c r="B4125" s="1" t="str">
        <f t="shared" si="210"/>
        <v>ノートルダム清心女子大学紀要 人間生活学・児童学・食品栄養学編</v>
      </c>
      <c r="C4125" t="str">
        <f>"ノートルダム セイシン ジョシ ダイガク キヨウ ニンゲン セイカツガク ジドウガク ショクヒン エイヨウガクヘン"</f>
        <v>ノートルダム セイシン ジョシ ダイガク キヨウ ニンゲン セイカツガク ジドウガク ショクヒン エイヨウガクヘン</v>
      </c>
      <c r="D4125" t="str">
        <f t="shared" si="211"/>
        <v>ノートルダム清心女子大学</v>
      </c>
      <c r="E4125" t="str">
        <f t="shared" si="212"/>
        <v>ノートルダム セイシン ジョシ ダイガク</v>
      </c>
      <c r="F4125" t="str">
        <f t="shared" si="213"/>
        <v>岡山</v>
      </c>
      <c r="G4125" t="str">
        <f t="shared" si="214"/>
        <v>年刊</v>
      </c>
      <c r="H4125" t="str">
        <f>"2002222302138"</f>
        <v>2002222302138</v>
      </c>
      <c r="I4125" t="str">
        <f>HYPERLINK("#", "https://opac.libnet.pref.okayama.jp/licsxp-opac/WOpacMsgNewListToTifTilDetailAction.do?tilcod=2002222302138")</f>
        <v>https://opac.libnet.pref.okayama.jp/licsxp-opac/WOpacMsgNewListToTifTilDetailAction.do?tilcod=2002222302138</v>
      </c>
    </row>
    <row r="4126" spans="1:9" x14ac:dyDescent="0.4">
      <c r="A4126" t="str">
        <f>"ノートルダム清心女子大学紀要 文化学編"</f>
        <v>ノートルダム清心女子大学紀要 文化学編</v>
      </c>
      <c r="B4126" s="1" t="str">
        <f t="shared" si="210"/>
        <v>ノートルダム清心女子大学紀要 文化学編</v>
      </c>
      <c r="C4126" t="str">
        <f>"ノートルダム セイシン ジョシ ダイガク キヨウ ブンカガクヘン"</f>
        <v>ノートルダム セイシン ジョシ ダイガク キヨウ ブンカガクヘン</v>
      </c>
      <c r="D4126" t="str">
        <f t="shared" si="211"/>
        <v>ノートルダム清心女子大学</v>
      </c>
      <c r="E4126" t="str">
        <f t="shared" si="212"/>
        <v>ノートルダム セイシン ジョシ ダイガク</v>
      </c>
      <c r="F4126" t="str">
        <f t="shared" si="213"/>
        <v>岡山</v>
      </c>
      <c r="G4126" t="str">
        <f t="shared" si="214"/>
        <v>年刊</v>
      </c>
      <c r="H4126" t="str">
        <f>"2002222294441"</f>
        <v>2002222294441</v>
      </c>
      <c r="I4126" t="str">
        <f>HYPERLINK("#", "https://opac.libnet.pref.okayama.jp/licsxp-opac/WOpacMsgNewListToTifTilDetailAction.do?tilcod=2002222294441")</f>
        <v>https://opac.libnet.pref.okayama.jp/licsxp-opac/WOpacMsgNewListToTifTilDetailAction.do?tilcod=2002222294441</v>
      </c>
    </row>
    <row r="4127" spans="1:9" x14ac:dyDescent="0.4">
      <c r="A4127" t="str">
        <f>"ノートルダム清心女子大学国文学研究室紀要"</f>
        <v>ノートルダム清心女子大学国文学研究室紀要</v>
      </c>
      <c r="B4127" s="1" t="str">
        <f t="shared" si="210"/>
        <v>ノートルダム清心女子大学国文学研究室紀要</v>
      </c>
      <c r="C4127" t="str">
        <f>"ノートルダム セイシン ジョシ ダイガク コクブンガク ケンキュウシツ キヨウ"</f>
        <v>ノートルダム セイシン ジョシ ダイガク コクブンガク ケンキュウシツ キヨウ</v>
      </c>
      <c r="D4127" t="str">
        <f t="shared" si="211"/>
        <v>ノートルダム清心女子大学</v>
      </c>
      <c r="E4127" t="str">
        <f t="shared" si="212"/>
        <v>ノートルダム セイシン ジョシ ダイガク</v>
      </c>
      <c r="F4127" t="str">
        <f t="shared" si="213"/>
        <v>岡山</v>
      </c>
      <c r="G4127" t="str">
        <f>"頻度不明"</f>
        <v>頻度不明</v>
      </c>
      <c r="H4127" t="str">
        <f>"2002222288623"</f>
        <v>2002222288623</v>
      </c>
      <c r="I4127" t="str">
        <f>HYPERLINK("#", "https://opac.libnet.pref.okayama.jp/licsxp-opac/WOpacMsgNewListToTifTilDetailAction.do?tilcod=2002222288623")</f>
        <v>https://opac.libnet.pref.okayama.jp/licsxp-opac/WOpacMsgNewListToTifTilDetailAction.do?tilcod=2002222288623</v>
      </c>
    </row>
    <row r="4128" spans="1:9" x14ac:dyDescent="0.4">
      <c r="A4128" t="str">
        <f>"〔ノートルダム清心女子大学〕児童臨床研究所年報"</f>
        <v>〔ノートルダム清心女子大学〕児童臨床研究所年報</v>
      </c>
      <c r="B4128" s="1" t="str">
        <f t="shared" si="210"/>
        <v>〔ノートルダム清心女子大学〕児童臨床研究所年報</v>
      </c>
      <c r="C4128" t="str">
        <f>"ノートルダム　セイシン　ジョシ　ダイガク　ジドウ　リンショウ　ケンキュウジョ　ネンポウ"</f>
        <v>ノートルダム　セイシン　ジョシ　ダイガク　ジドウ　リンショウ　ケンキュウジョ　ネンポウ</v>
      </c>
      <c r="D4128" t="str">
        <f>"ノートルダム清心女子大学児童臨床研究所"</f>
        <v>ノートルダム清心女子大学児童臨床研究所</v>
      </c>
      <c r="E4128" t="str">
        <f>"ノートルダムセイシンジョシダイガクジドウリンショウケンキュウジョ"</f>
        <v>ノートルダムセイシンジョシダイガクジドウリンショウケンキュウジョ</v>
      </c>
      <c r="F4128" t="str">
        <f t="shared" si="213"/>
        <v>岡山</v>
      </c>
      <c r="G4128" t="str">
        <f>"年刊"</f>
        <v>年刊</v>
      </c>
      <c r="H4128" t="str">
        <f>"2002222294411"</f>
        <v>2002222294411</v>
      </c>
      <c r="I4128" t="str">
        <f>HYPERLINK("#", "https://opac.libnet.pref.okayama.jp/licsxp-opac/WOpacMsgNewListToTifTilDetailAction.do?tilcod=2002222294411")</f>
        <v>https://opac.libnet.pref.okayama.jp/licsxp-opac/WOpacMsgNewListToTifTilDetailAction.do?tilcod=2002222294411</v>
      </c>
    </row>
    <row r="4129" spans="1:9" x14ac:dyDescent="0.4">
      <c r="A4129" t="str">
        <f>"ノートルダム清心女子大学情報理学研究所講究録"</f>
        <v>ノートルダム清心女子大学情報理学研究所講究録</v>
      </c>
      <c r="B4129" s="1" t="str">
        <f t="shared" si="210"/>
        <v>ノートルダム清心女子大学情報理学研究所講究録</v>
      </c>
      <c r="C4129" t="str">
        <f>"ノートルダム　セイシン　ジョシ　ダイガク　ジョウホウ　リガク　ケンキュウジョ　コウキュウロク"</f>
        <v>ノートルダム　セイシン　ジョシ　ダイガク　ジョウホウ　リガク　ケンキュウジョ　コウキュウロク</v>
      </c>
      <c r="D4129" t="str">
        <f>"ノートルダム清心女子大学情報理学研究所"</f>
        <v>ノートルダム清心女子大学情報理学研究所</v>
      </c>
      <c r="E4129" t="str">
        <f>"ノートルダムセイシンジョシダイガクジョウホウリガクケンキュウジョ"</f>
        <v>ノートルダムセイシンジョシダイガクジョウホウリガクケンキュウジョ</v>
      </c>
      <c r="F4129" t="str">
        <f t="shared" si="213"/>
        <v>岡山</v>
      </c>
      <c r="G4129" t="str">
        <f>"頻度不明"</f>
        <v>頻度不明</v>
      </c>
      <c r="H4129" t="str">
        <f>"2002222288653"</f>
        <v>2002222288653</v>
      </c>
      <c r="I4129" t="str">
        <f>HYPERLINK("#", "https://opac.libnet.pref.okayama.jp/licsxp-opac/WOpacMsgNewListToTifTilDetailAction.do?tilcod=2002222288653")</f>
        <v>https://opac.libnet.pref.okayama.jp/licsxp-opac/WOpacMsgNewListToTifTilDetailAction.do?tilcod=2002222288653</v>
      </c>
    </row>
    <row r="4130" spans="1:9" x14ac:dyDescent="0.4">
      <c r="A4130" t="str">
        <f>"〔ノートルダム清心女子大学〕生活文化研究所年報"</f>
        <v>〔ノートルダム清心女子大学〕生活文化研究所年報</v>
      </c>
      <c r="B4130" s="1" t="str">
        <f t="shared" si="210"/>
        <v>〔ノートルダム清心女子大学〕生活文化研究所年報</v>
      </c>
      <c r="C4130" t="str">
        <f>"ノートルダム　セイシン　ジョシ　ダイガク　セイカツ　ブンカ　ケンキュウジョ　ネンポウ"</f>
        <v>ノートルダム　セイシン　ジョシ　ダイガク　セイカツ　ブンカ　ケンキュウジョ　ネンポウ</v>
      </c>
      <c r="D4130" t="str">
        <f>"ノートルダム清心女子大学生活文化研究所"</f>
        <v>ノートルダム清心女子大学生活文化研究所</v>
      </c>
      <c r="E4130" t="str">
        <f>"ノートルダムセイシンジョシダイガクセイカツブンカケンキュウジョ"</f>
        <v>ノートルダムセイシンジョシダイガクセイカツブンカケンキュウジョ</v>
      </c>
      <c r="F4130" t="str">
        <f t="shared" si="213"/>
        <v>岡山</v>
      </c>
      <c r="G4130" t="str">
        <f>"年刊"</f>
        <v>年刊</v>
      </c>
      <c r="H4130" t="str">
        <f>"2002222294421"</f>
        <v>2002222294421</v>
      </c>
      <c r="I4130" t="str">
        <f>HYPERLINK("#", "https://opac.libnet.pref.okayama.jp/licsxp-opac/WOpacMsgNewListToTifTilDetailAction.do?tilcod=2002222294421")</f>
        <v>https://opac.libnet.pref.okayama.jp/licsxp-opac/WOpacMsgNewListToTifTilDetailAction.do?tilcod=2002222294421</v>
      </c>
    </row>
    <row r="4131" spans="1:9" x14ac:dyDescent="0.4">
      <c r="A4131" t="str">
        <f>"〔ノートルダム清心女子大学〕生文研メール"</f>
        <v>〔ノートルダム清心女子大学〕生文研メール</v>
      </c>
      <c r="B4131" s="1" t="str">
        <f t="shared" si="210"/>
        <v>〔ノートルダム清心女子大学〕生文研メール</v>
      </c>
      <c r="C4131" t="str">
        <f>"ノートルダム　セイシン　ジョシ　ダイガク　セイブンケン　メール"</f>
        <v>ノートルダム　セイシン　ジョシ　ダイガク　セイブンケン　メール</v>
      </c>
      <c r="D4131" t="str">
        <f>"ノートルダム清心女子大学生活文化研究所"</f>
        <v>ノートルダム清心女子大学生活文化研究所</v>
      </c>
      <c r="E4131" t="str">
        <f>"ノートルダムセイシンジョシダイガクセイカツブンカケンキュウジョ"</f>
        <v>ノートルダムセイシンジョシダイガクセイカツブンカケンキュウジョ</v>
      </c>
      <c r="F4131" t="str">
        <f t="shared" si="213"/>
        <v>岡山</v>
      </c>
      <c r="G4131" t="str">
        <f>"年２回刊"</f>
        <v>年２回刊</v>
      </c>
      <c r="H4131" t="str">
        <f>"2002222300433"</f>
        <v>2002222300433</v>
      </c>
      <c r="I4131" t="str">
        <f>HYPERLINK("#", "https://opac.libnet.pref.okayama.jp/licsxp-opac/WOpacMsgNewListToTifTilDetailAction.do?tilcod=2002222300433")</f>
        <v>https://opac.libnet.pref.okayama.jp/licsxp-opac/WOpacMsgNewListToTifTilDetailAction.do?tilcod=2002222300433</v>
      </c>
    </row>
    <row r="4132" spans="1:9" x14ac:dyDescent="0.4">
      <c r="A4132" t="str">
        <f>"[ノートルダム清心女子大学]卒業論文抄録集"</f>
        <v>[ノートルダム清心女子大学]卒業論文抄録集</v>
      </c>
      <c r="B4132" s="1" t="str">
        <f t="shared" si="210"/>
        <v>[ノートルダム清心女子大学]卒業論文抄録集</v>
      </c>
      <c r="C4132" t="str">
        <f>"ノートルダム セイシン ジョシ ダイガク ソツギョウ ロンブン ショウロクシュウ"</f>
        <v>ノートルダム セイシン ジョシ ダイガク ソツギョウ ロンブン ショウロクシュウ</v>
      </c>
      <c r="D4132" t="str">
        <f>"ノートルダム清心女子大学人間生活学部児童学科"</f>
        <v>ノートルダム清心女子大学人間生活学部児童学科</v>
      </c>
      <c r="E4132" t="str">
        <f>"ノートルダムセイシンジョシダイガクニンゲンセイカツガクブジドウガッカ"</f>
        <v>ノートルダムセイシンジョシダイガクニンゲンセイカツガクブジドウガッカ</v>
      </c>
      <c r="F4132" t="str">
        <f t="shared" si="213"/>
        <v>岡山</v>
      </c>
      <c r="G4132" t="str">
        <f>"年刊"</f>
        <v>年刊</v>
      </c>
      <c r="H4132" t="str">
        <f>"2002222281511"</f>
        <v>2002222281511</v>
      </c>
      <c r="I4132" t="str">
        <f>HYPERLINK("#", "https://opac.libnet.pref.okayama.jp/licsxp-opac/WOpacMsgNewListToTifTilDetailAction.do?tilcod=2002222281511")</f>
        <v>https://opac.libnet.pref.okayama.jp/licsxp-opac/WOpacMsgNewListToTifTilDetailAction.do?tilcod=2002222281511</v>
      </c>
    </row>
    <row r="4133" spans="1:9" x14ac:dyDescent="0.4">
      <c r="A4133" t="str">
        <f>"ノートルダム清心女子大学同窓会会報"</f>
        <v>ノートルダム清心女子大学同窓会会報</v>
      </c>
      <c r="B4133" s="1" t="str">
        <f t="shared" si="210"/>
        <v>ノートルダム清心女子大学同窓会会報</v>
      </c>
      <c r="C4133" t="str">
        <f>"ノートルダム セイシン ジョシ ダイガク ドウソウカイ カイホウ"</f>
        <v>ノートルダム セイシン ジョシ ダイガク ドウソウカイ カイホウ</v>
      </c>
      <c r="D4133" t="str">
        <f>"ノートルダム清心女子大学同窓会"</f>
        <v>ノートルダム清心女子大学同窓会</v>
      </c>
      <c r="E4133" t="str">
        <f>"ノートルダム セイシン ジョシ ダイガク ドウソウカイ"</f>
        <v>ノートルダム セイシン ジョシ ダイガク ドウソウカイ</v>
      </c>
      <c r="F4133" t="str">
        <f t="shared" si="213"/>
        <v>岡山</v>
      </c>
      <c r="G4133" t="str">
        <f>"頻度不明"</f>
        <v>頻度不明</v>
      </c>
      <c r="H4133" t="str">
        <f>"2002222320906"</f>
        <v>2002222320906</v>
      </c>
      <c r="I4133" t="str">
        <f>HYPERLINK("#", "https://opac.libnet.pref.okayama.jp/licsxp-opac/WOpacMsgNewListToTifTilDetailAction.do?tilcod=2002222320906")</f>
        <v>https://opac.libnet.pref.okayama.jp/licsxp-opac/WOpacMsgNewListToTifTilDetailAction.do?tilcod=2002222320906</v>
      </c>
    </row>
    <row r="4134" spans="1:9" x14ac:dyDescent="0.4">
      <c r="A4134" t="str">
        <f>"ノートルダム清心女子大学BULLETIN；ND BULLETIN"</f>
        <v>ノートルダム清心女子大学BULLETIN；ND BULLETIN</v>
      </c>
      <c r="B4134" s="1" t="str">
        <f t="shared" si="210"/>
        <v>ノートルダム清心女子大学BULLETIN；ND BULLETIN</v>
      </c>
      <c r="C4134" t="str">
        <f>"ノートルダム セイシン ジョシ ダイガク ブリティン＊エヌ ディー ブリティン"</f>
        <v>ノートルダム セイシン ジョシ ダイガク ブリティン＊エヌ ディー ブリティン</v>
      </c>
      <c r="D4134" t="str">
        <f>"ノートルダム清心女子大学"</f>
        <v>ノートルダム清心女子大学</v>
      </c>
      <c r="E4134" t="str">
        <f>"ノートルダム セイシン ジョシ ダイガク"</f>
        <v>ノートルダム セイシン ジョシ ダイガク</v>
      </c>
      <c r="F4134" t="str">
        <f t="shared" si="213"/>
        <v>岡山</v>
      </c>
      <c r="G4134" t="str">
        <f>"年３回刊"</f>
        <v>年３回刊</v>
      </c>
      <c r="H4134" t="str">
        <f>"2002222280961"</f>
        <v>2002222280961</v>
      </c>
      <c r="I4134" t="str">
        <f>HYPERLINK("#", "https://opac.libnet.pref.okayama.jp/licsxp-opac/WOpacMsgNewListToTifTilDetailAction.do?tilcod=2002222280961")</f>
        <v>https://opac.libnet.pref.okayama.jp/licsxp-opac/WOpacMsgNewListToTifTilDetailAction.do?tilcod=2002222280961</v>
      </c>
    </row>
    <row r="4135" spans="1:9" x14ac:dyDescent="0.4">
      <c r="A4135" t="str">
        <f>"[ノートルダム清心女子大学]キリスト教文化研究所年報"</f>
        <v>[ノートルダム清心女子大学]キリスト教文化研究所年報</v>
      </c>
      <c r="B4135" s="1" t="str">
        <f t="shared" si="210"/>
        <v>[ノートルダム清心女子大学]キリスト教文化研究所年報</v>
      </c>
      <c r="C4135" t="str">
        <f>"ノートルダム セイシン ジョシ ダイガク＊キリストキョウ ブンカ ケンキュウジョ ネンポウ"</f>
        <v>ノートルダム セイシン ジョシ ダイガク＊キリストキョウ ブンカ ケンキュウジョ ネンポウ</v>
      </c>
      <c r="D4135" t="str">
        <f>"ノートルダム清心女子大学キリスト教文化研究所"</f>
        <v>ノートルダム清心女子大学キリスト教文化研究所</v>
      </c>
      <c r="E4135" t="str">
        <f>"ノートルダムセイシンジョシダイガクキリストキョウブンカケンキュウジョ"</f>
        <v>ノートルダムセイシンジョシダイガクキリストキョウブンカケンキュウジョ</v>
      </c>
      <c r="F4135" t="str">
        <f t="shared" si="213"/>
        <v>岡山</v>
      </c>
      <c r="G4135" t="str">
        <f>"年刊"</f>
        <v>年刊</v>
      </c>
      <c r="H4135" t="str">
        <f>"2002222281531"</f>
        <v>2002222281531</v>
      </c>
      <c r="I4135" t="str">
        <f>HYPERLINK("#", "https://opac.libnet.pref.okayama.jp/licsxp-opac/WOpacMsgNewListToTifTilDetailAction.do?tilcod=2002222281531")</f>
        <v>https://opac.libnet.pref.okayama.jp/licsxp-opac/WOpacMsgNewListToTifTilDetailAction.do?tilcod=2002222281531</v>
      </c>
    </row>
    <row r="4136" spans="1:9" x14ac:dyDescent="0.4">
      <c r="A4136" t="str">
        <f>"〔ノートルダム清心女子大学〕古典研究"</f>
        <v>〔ノートルダム清心女子大学〕古典研究</v>
      </c>
      <c r="B4136" s="1" t="str">
        <f t="shared" si="210"/>
        <v>〔ノートルダム清心女子大学〕古典研究</v>
      </c>
      <c r="C4136" t="str">
        <f>"ノートルダム　セイシン　ジョシ　ダイガク＊コテン　ケンキュウ"</f>
        <v>ノートルダム　セイシン　ジョシ　ダイガク＊コテン　ケンキュウ</v>
      </c>
      <c r="D4136" t="str">
        <f>"ノートルダム清心女子大学国語国文学科"</f>
        <v>ノートルダム清心女子大学国語国文学科</v>
      </c>
      <c r="E4136" t="str">
        <f>"ノートルダムセイシンジョシダイガクコクゴコクブンガッカ"</f>
        <v>ノートルダムセイシンジョシダイガクコクゴコクブンガッカ</v>
      </c>
      <c r="F4136" t="str">
        <f t="shared" si="213"/>
        <v>岡山</v>
      </c>
      <c r="G4136" t="str">
        <f>"年刊"</f>
        <v>年刊</v>
      </c>
      <c r="H4136" t="str">
        <f>"2002222294431"</f>
        <v>2002222294431</v>
      </c>
      <c r="I4136" t="str">
        <f>HYPERLINK("#", "https://opac.libnet.pref.okayama.jp/licsxp-opac/WOpacMsgNewListToTifTilDetailAction.do?tilcod=2002222294431")</f>
        <v>https://opac.libnet.pref.okayama.jp/licsxp-opac/WOpacMsgNewListToTifTilDetailAction.do?tilcod=2002222294431</v>
      </c>
    </row>
    <row r="4137" spans="1:9" x14ac:dyDescent="0.4">
      <c r="A4137" t="str">
        <f>"[ノートルダム清心学園 清心女子高等学校] 学校案内"</f>
        <v>[ノートルダム清心学園 清心女子高等学校] 学校案内</v>
      </c>
      <c r="B4137" s="1" t="str">
        <f t="shared" si="210"/>
        <v>[ノートルダム清心学園 清心女子高等学校] 学校案内</v>
      </c>
      <c r="C4137" t="str">
        <f>"ノートルダムセイシンガクエン セイシン ジョシ コウトウガッコウ ガッコウ アンナイ"</f>
        <v>ノートルダムセイシンガクエン セイシン ジョシ コウトウガッコウ ガッコウ アンナイ</v>
      </c>
      <c r="D4137" t="str">
        <f>"清心中学校・清心女子高等学校"</f>
        <v>清心中学校・清心女子高等学校</v>
      </c>
      <c r="E4137" t="str">
        <f>""</f>
        <v/>
      </c>
      <c r="F4137" t="str">
        <f>"倉敷"</f>
        <v>倉敷</v>
      </c>
      <c r="G4137" t="str">
        <f>"年刊"</f>
        <v>年刊</v>
      </c>
      <c r="H4137" t="str">
        <f>"2002222334166"</f>
        <v>2002222334166</v>
      </c>
      <c r="I4137" t="str">
        <f>HYPERLINK("#", "https://opac.libnet.pref.okayama.jp/licsxp-opac/WOpacMsgNewListToTifTilDetailAction.do?tilcod=2002222334166")</f>
        <v>https://opac.libnet.pref.okayama.jp/licsxp-opac/WOpacMsgNewListToTifTilDetailAction.do?tilcod=2002222334166</v>
      </c>
    </row>
    <row r="4138" spans="1:9" x14ac:dyDescent="0.4">
      <c r="A4138" t="str">
        <f>"[ノートルダム清心学園 清心中学校] 学校案内"</f>
        <v>[ノートルダム清心学園 清心中学校] 学校案内</v>
      </c>
      <c r="B4138" s="1" t="str">
        <f t="shared" si="210"/>
        <v>[ノートルダム清心学園 清心中学校] 学校案内</v>
      </c>
      <c r="C4138" t="str">
        <f>"ノートルダムセイシンガクエン セイシン チュウガッコウ ガッコウ アンナイ"</f>
        <v>ノートルダムセイシンガクエン セイシン チュウガッコウ ガッコウ アンナイ</v>
      </c>
      <c r="D4138" t="str">
        <f>"清心中学校・清心女子高等学校"</f>
        <v>清心中学校・清心女子高等学校</v>
      </c>
      <c r="E4138" t="str">
        <f>"セイシン チュウガッコウ セイシン ジョシ コウトウ ガッコウ"</f>
        <v>セイシン チュウガッコウ セイシン ジョシ コウトウ ガッコウ</v>
      </c>
      <c r="F4138" t="str">
        <f>"倉敷"</f>
        <v>倉敷</v>
      </c>
      <c r="G4138" t="str">
        <f>"年刊"</f>
        <v>年刊</v>
      </c>
      <c r="H4138" t="str">
        <f>"2002222307486"</f>
        <v>2002222307486</v>
      </c>
      <c r="I4138" t="str">
        <f>HYPERLINK("#", "https://opac.libnet.pref.okayama.jp/licsxp-opac/WOpacMsgNewListToTifTilDetailAction.do?tilcod=2002222307486")</f>
        <v>https://opac.libnet.pref.okayama.jp/licsxp-opac/WOpacMsgNewListToTifTilDetailAction.do?tilcod=2002222307486</v>
      </c>
    </row>
    <row r="4139" spans="1:9" x14ac:dyDescent="0.4">
      <c r="A4139" t="str">
        <f>"NOUP ZINE"</f>
        <v>NOUP ZINE</v>
      </c>
      <c r="B4139" s="1" t="str">
        <f t="shared" si="210"/>
        <v>NOUP ZINE</v>
      </c>
      <c r="C4139" t="str">
        <f>"ノープ　ジーン"</f>
        <v>ノープ　ジーン</v>
      </c>
      <c r="D4139" t="str">
        <f>"THE NOUP"</f>
        <v>THE NOUP</v>
      </c>
      <c r="E4139" t="str">
        <f>"ザ　ノープ"</f>
        <v>ザ　ノープ</v>
      </c>
      <c r="F4139" t="str">
        <f>"岡山"</f>
        <v>岡山</v>
      </c>
      <c r="G4139" t="str">
        <f>"頻度不明"</f>
        <v>頻度不明</v>
      </c>
      <c r="H4139" t="str">
        <f>"2002222330291"</f>
        <v>2002222330291</v>
      </c>
      <c r="I4139" t="str">
        <f>HYPERLINK("#", "https://opac.libnet.pref.okayama.jp/licsxp-opac/WOpacMsgNewListToTifTilDetailAction.do?tilcod=2002222330291")</f>
        <v>https://opac.libnet.pref.okayama.jp/licsxp-opac/WOpacMsgNewListToTifTilDetailAction.do?tilcod=2002222330291</v>
      </c>
    </row>
    <row r="4140" spans="1:9" x14ac:dyDescent="0.4">
      <c r="A4140" t="str">
        <f>"のぞみ"</f>
        <v>のぞみ</v>
      </c>
      <c r="B4140" s="1" t="str">
        <f t="shared" si="210"/>
        <v>のぞみ</v>
      </c>
      <c r="C4140" t="str">
        <f>"ノゾミ"</f>
        <v>ノゾミ</v>
      </c>
      <c r="D4140" t="str">
        <f>"岡山県小児マヒ父母の会"</f>
        <v>岡山県小児マヒ父母の会</v>
      </c>
      <c r="E4140" t="str">
        <f>"オカヤマケン　ショウニマヒ　フボ　ノ　カイ"</f>
        <v>オカヤマケン　ショウニマヒ　フボ　ノ　カイ</v>
      </c>
      <c r="F4140" t="str">
        <f>""</f>
        <v/>
      </c>
      <c r="G4140" t="str">
        <f>"頻度不明"</f>
        <v>頻度不明</v>
      </c>
      <c r="H4140" t="str">
        <f>"2002222285923"</f>
        <v>2002222285923</v>
      </c>
      <c r="I4140" t="str">
        <f>HYPERLINK("#", "https://opac.libnet.pref.okayama.jp/licsxp-opac/WOpacMsgNewListToTifTilDetailAction.do?tilcod=2002222285923")</f>
        <v>https://opac.libnet.pref.okayama.jp/licsxp-opac/WOpacMsgNewListToTifTilDetailAction.do?tilcod=2002222285923</v>
      </c>
    </row>
    <row r="4141" spans="1:9" x14ac:dyDescent="0.4">
      <c r="A4141" t="str">
        <f>"のぞみ"</f>
        <v>のぞみ</v>
      </c>
      <c r="B4141" s="1" t="str">
        <f t="shared" si="210"/>
        <v>のぞみ</v>
      </c>
      <c r="C4141" t="str">
        <f>"ノゾミ"</f>
        <v>ノゾミ</v>
      </c>
      <c r="D4141" t="str">
        <f>"同仁会"</f>
        <v>同仁会</v>
      </c>
      <c r="E4141" t="str">
        <f>"ドウジンカイ"</f>
        <v>ドウジンカイ</v>
      </c>
      <c r="F4141" t="str">
        <f>""</f>
        <v/>
      </c>
      <c r="G4141" t="str">
        <f>"頻度不明"</f>
        <v>頻度不明</v>
      </c>
      <c r="H4141" t="str">
        <f>"2002222285933"</f>
        <v>2002222285933</v>
      </c>
      <c r="I4141" t="str">
        <f>HYPERLINK("#", "https://opac.libnet.pref.okayama.jp/licsxp-opac/WOpacMsgNewListToTifTilDetailAction.do?tilcod=2002222285933")</f>
        <v>https://opac.libnet.pref.okayama.jp/licsxp-opac/WOpacMsgNewListToTifTilDetailAction.do?tilcod=2002222285933</v>
      </c>
    </row>
    <row r="4142" spans="1:9" x14ac:dyDescent="0.4">
      <c r="A4142" t="str">
        <f>"のぞみを届けます"</f>
        <v>のぞみを届けます</v>
      </c>
      <c r="B4142" s="1" t="str">
        <f t="shared" si="210"/>
        <v>のぞみを届けます</v>
      </c>
      <c r="C4142" t="str">
        <f>"ノゾミ ヲ トドケマス "</f>
        <v xml:space="preserve">ノゾミ ヲ トドケマス </v>
      </c>
      <c r="D4142" t="str">
        <f>"岡山民報"</f>
        <v>岡山民報</v>
      </c>
      <c r="E4142" t="str">
        <f>"オカヤマ ミンポウ"</f>
        <v>オカヤマ ミンポウ</v>
      </c>
      <c r="F4142" t="str">
        <f>"岡山"</f>
        <v>岡山</v>
      </c>
      <c r="G4142" t="str">
        <f>"頻度不明"</f>
        <v>頻度不明</v>
      </c>
      <c r="H4142" t="str">
        <f>"2002222307846"</f>
        <v>2002222307846</v>
      </c>
      <c r="I4142" t="str">
        <f>HYPERLINK("#", "https://opac.libnet.pref.okayama.jp/licsxp-opac/WOpacMsgNewListToTifTilDetailAction.do?tilcod=2002222307846")</f>
        <v>https://opac.libnet.pref.okayama.jp/licsxp-opac/WOpacMsgNewListToTifTilDetailAction.do?tilcod=2002222307846</v>
      </c>
    </row>
    <row r="4143" spans="1:9" x14ac:dyDescent="0.4">
      <c r="A4143" t="str">
        <f>"野谷村公民館情報"</f>
        <v>野谷村公民館情報</v>
      </c>
      <c r="B4143" s="1" t="str">
        <f t="shared" si="210"/>
        <v>野谷村公民館情報</v>
      </c>
      <c r="C4143" t="str">
        <f>"ノダニソン コウミンカン ジョウホウ"</f>
        <v>ノダニソン コウミンカン ジョウホウ</v>
      </c>
      <c r="D4143" t="str">
        <f>"野谷村公民館"</f>
        <v>野谷村公民館</v>
      </c>
      <c r="E4143" t="str">
        <f>"ノダニソン コウミンカン"</f>
        <v>ノダニソン コウミンカン</v>
      </c>
      <c r="F4143" t="str">
        <f>"野谷村（御津郡）"</f>
        <v>野谷村（御津郡）</v>
      </c>
      <c r="G4143" t="str">
        <f>"頻度不明"</f>
        <v>頻度不明</v>
      </c>
      <c r="H4143" t="str">
        <f>"2002222337990"</f>
        <v>2002222337990</v>
      </c>
      <c r="I4143" t="str">
        <f>HYPERLINK("#", "https://opac.libnet.pref.okayama.jp/licsxp-opac/WOpacMsgNewListToTifTilDetailAction.do?tilcod=2002222337990")</f>
        <v>https://opac.libnet.pref.okayama.jp/licsxp-opac/WOpacMsgNewListToTifTilDetailAction.do?tilcod=2002222337990</v>
      </c>
    </row>
    <row r="4144" spans="1:9" x14ac:dyDescent="0.4">
      <c r="A4144" t="str">
        <f>"伸びゆく高梁"</f>
        <v>伸びゆく高梁</v>
      </c>
      <c r="B4144" s="1" t="str">
        <f t="shared" si="210"/>
        <v>伸びゆく高梁</v>
      </c>
      <c r="C4144" t="str">
        <f>"ノビユク タカハシ"</f>
        <v>ノビユク タカハシ</v>
      </c>
      <c r="D4144" t="str">
        <f>"高梁市"</f>
        <v>高梁市</v>
      </c>
      <c r="E4144" t="str">
        <f>"タカハシシ"</f>
        <v>タカハシシ</v>
      </c>
      <c r="F4144" t="str">
        <f>"高梁"</f>
        <v>高梁</v>
      </c>
      <c r="G4144" t="str">
        <f>"月刊"</f>
        <v>月刊</v>
      </c>
      <c r="H4144" t="str">
        <f>"2002222301591"</f>
        <v>2002222301591</v>
      </c>
      <c r="I4144" t="str">
        <f>HYPERLINK("#", "https://opac.libnet.pref.okayama.jp/licsxp-opac/WOpacMsgNewListToTifTilDetailAction.do?tilcod=2002222301591")</f>
        <v>https://opac.libnet.pref.okayama.jp/licsxp-opac/WOpacMsgNewListToTifTilDetailAction.do?tilcod=2002222301591</v>
      </c>
    </row>
    <row r="4145" spans="1:9" x14ac:dyDescent="0.4">
      <c r="A4145" t="str">
        <f>"伸びゆく高梁縮刷版"</f>
        <v>伸びゆく高梁縮刷版</v>
      </c>
      <c r="B4145" s="1" t="str">
        <f t="shared" si="210"/>
        <v>伸びゆく高梁縮刷版</v>
      </c>
      <c r="C4145" t="str">
        <f>"ノビユク タカハシ シュクサツバン"</f>
        <v>ノビユク タカハシ シュクサツバン</v>
      </c>
      <c r="D4145" t="str">
        <f>"高梁市"</f>
        <v>高梁市</v>
      </c>
      <c r="E4145" t="str">
        <f>"タカハシシ"</f>
        <v>タカハシシ</v>
      </c>
      <c r="F4145" t="str">
        <f>"高梁"</f>
        <v>高梁</v>
      </c>
      <c r="G4145" t="str">
        <f>"不定期刊"</f>
        <v>不定期刊</v>
      </c>
      <c r="H4145" t="str">
        <f>"2002222301592"</f>
        <v>2002222301592</v>
      </c>
      <c r="I4145" t="str">
        <f>HYPERLINK("#", "https://opac.libnet.pref.okayama.jp/licsxp-opac/WOpacMsgNewListToTifTilDetailAction.do?tilcod=2002222301592")</f>
        <v>https://opac.libnet.pref.okayama.jp/licsxp-opac/WOpacMsgNewListToTifTilDetailAction.do?tilcod=2002222301592</v>
      </c>
    </row>
    <row r="4146" spans="1:9" x14ac:dyDescent="0.4">
      <c r="A4146" t="str">
        <f>"野径(のみち)"</f>
        <v>野径(のみち)</v>
      </c>
      <c r="B4146" s="1" t="str">
        <f t="shared" si="210"/>
        <v>野径(のみち)</v>
      </c>
      <c r="C4146" t="str">
        <f>"ノミチ"</f>
        <v>ノミチ</v>
      </c>
      <c r="D4146" t="str">
        <f>"野径社"</f>
        <v>野径社</v>
      </c>
      <c r="E4146" t="str">
        <f>"ノミチシャ"</f>
        <v>ノミチシャ</v>
      </c>
      <c r="F4146" t="str">
        <f>"高松町(吉備郡)"</f>
        <v>高松町(吉備郡)</v>
      </c>
      <c r="G4146" t="str">
        <f>"頻度不明"</f>
        <v>頻度不明</v>
      </c>
      <c r="H4146" t="str">
        <f>"2002222285983"</f>
        <v>2002222285983</v>
      </c>
      <c r="I4146" t="str">
        <f>HYPERLINK("#", "https://opac.libnet.pref.okayama.jp/licsxp-opac/WOpacMsgNewListToTifTilDetailAction.do?tilcod=2002222285983")</f>
        <v>https://opac.libnet.pref.okayama.jp/licsxp-opac/WOpacMsgNewListToTifTilDetailAction.do?tilcod=2002222285983</v>
      </c>
    </row>
    <row r="4147" spans="1:9" x14ac:dyDescent="0.4">
      <c r="A4147" t="str">
        <f>"ぱーく 岡山"</f>
        <v>ぱーく 岡山</v>
      </c>
      <c r="B4147" s="1" t="str">
        <f t="shared" si="210"/>
        <v>ぱーく 岡山</v>
      </c>
      <c r="C4147" t="str">
        <f>"パーク オカヤマ "</f>
        <v xml:space="preserve">パーク オカヤマ </v>
      </c>
      <c r="D4147" t="str">
        <f>"岡山市公園協会"</f>
        <v>岡山市公園協会</v>
      </c>
      <c r="E4147" t="str">
        <f>"オカヤマシ コウエン キョウカイ"</f>
        <v>オカヤマシ コウエン キョウカイ</v>
      </c>
      <c r="F4147" t="str">
        <f>"岡山"</f>
        <v>岡山</v>
      </c>
      <c r="G4147" t="str">
        <f>"月刊"</f>
        <v>月刊</v>
      </c>
      <c r="H4147" t="str">
        <f>"2002222308607"</f>
        <v>2002222308607</v>
      </c>
      <c r="I4147" t="str">
        <f>HYPERLINK("#", "https://opac.libnet.pref.okayama.jp/licsxp-opac/WOpacMsgNewListToTifTilDetailAction.do?tilcod=2002222308607")</f>
        <v>https://opac.libnet.pref.okayama.jp/licsxp-opac/WOpacMsgNewListToTifTilDetailAction.do?tilcod=2002222308607</v>
      </c>
    </row>
    <row r="4148" spans="1:9" x14ac:dyDescent="0.4">
      <c r="A4148" t="str">
        <f>"PERSICA"</f>
        <v>PERSICA</v>
      </c>
      <c r="B4148" s="1" t="str">
        <f t="shared" si="210"/>
        <v>PERSICA</v>
      </c>
      <c r="C4148" t="str">
        <f>"パーシカ"</f>
        <v>パーシカ</v>
      </c>
      <c r="D4148" t="str">
        <f>"岡山英文学会"</f>
        <v>岡山英文学会</v>
      </c>
      <c r="E4148" t="str">
        <f>"オカヤマエイブンガッカイ"</f>
        <v>オカヤマエイブンガッカイ</v>
      </c>
      <c r="F4148" t="str">
        <f>""</f>
        <v/>
      </c>
      <c r="G4148" t="str">
        <f>"年刊"</f>
        <v>年刊</v>
      </c>
      <c r="H4148" t="str">
        <f>"2002222288323"</f>
        <v>2002222288323</v>
      </c>
      <c r="I4148" t="str">
        <f>HYPERLINK("#", "https://opac.libnet.pref.okayama.jp/licsxp-opac/WOpacMsgNewListToTifTilDetailAction.do?tilcod=2002222288323")</f>
        <v>https://opac.libnet.pref.okayama.jp/licsxp-opac/WOpacMsgNewListToTifTilDetailAction.do?tilcod=2002222288323</v>
      </c>
    </row>
    <row r="4149" spans="1:9" x14ac:dyDescent="0.4">
      <c r="A4149" t="str">
        <f>"ハート・オブ・ゴールド通信"</f>
        <v>ハート・オブ・ゴールド通信</v>
      </c>
      <c r="B4149" s="1" t="str">
        <f t="shared" si="210"/>
        <v>ハート・オブ・ゴールド通信</v>
      </c>
      <c r="C4149" t="str">
        <f>"ハート　オブ　ゴールド　ツウシン"</f>
        <v>ハート　オブ　ゴールド　ツウシン</v>
      </c>
      <c r="D4149" t="str">
        <f>"ハート・オブ・ゴールド事務局"</f>
        <v>ハート・オブ・ゴールド事務局</v>
      </c>
      <c r="E4149" t="str">
        <f>"ハートオブゴールドジムキョク"</f>
        <v>ハートオブゴールドジムキョク</v>
      </c>
      <c r="F4149" t="str">
        <f>"岡山"</f>
        <v>岡山</v>
      </c>
      <c r="G4149" t="str">
        <f>"年２回刊"</f>
        <v>年２回刊</v>
      </c>
      <c r="H4149" t="str">
        <f>"2002222302297"</f>
        <v>2002222302297</v>
      </c>
      <c r="I4149" t="str">
        <f>HYPERLINK("#", "https://opac.libnet.pref.okayama.jp/licsxp-opac/WOpacMsgNewListToTifTilDetailAction.do?tilcod=2002222302297")</f>
        <v>https://opac.libnet.pref.okayama.jp/licsxp-opac/WOpacMsgNewListToTifTilDetailAction.do?tilcod=2002222302297</v>
      </c>
    </row>
    <row r="4150" spans="1:9" x14ac:dyDescent="0.4">
      <c r="A4150" t="str">
        <f>"パートナー；かつやま男女共同参画推進委員会情報紙"</f>
        <v>パートナー；かつやま男女共同参画推進委員会情報紙</v>
      </c>
      <c r="B4150" s="1" t="str">
        <f t="shared" si="210"/>
        <v>パートナー；かつやま男女共同参画推進委員会情報紙</v>
      </c>
      <c r="C4150" t="str">
        <f>"パートナー＊カツヤマ　ダンジョ　キョウドウサンカク　スイシン　イインカイ　ジョウホウシ"</f>
        <v>パートナー＊カツヤマ　ダンジョ　キョウドウサンカク　スイシン　イインカイ　ジョウホウシ</v>
      </c>
      <c r="D4150" t="str">
        <f>"かつやま男女共同参画推進委員会"</f>
        <v>かつやま男女共同参画推進委員会</v>
      </c>
      <c r="E4150" t="str">
        <f>"カツヤマダンジョキョウドウサンカクスイシンイインカイ"</f>
        <v>カツヤマダンジョキョウドウサンカクスイシンイインカイ</v>
      </c>
      <c r="F4150" t="str">
        <f>"勝山町（真庭郡）"</f>
        <v>勝山町（真庭郡）</v>
      </c>
      <c r="G4150" t="str">
        <f>"不定期刊"</f>
        <v>不定期刊</v>
      </c>
      <c r="H4150" t="str">
        <f>"2002222281554"</f>
        <v>2002222281554</v>
      </c>
      <c r="I4150" t="str">
        <f>HYPERLINK("#", "https://opac.libnet.pref.okayama.jp/licsxp-opac/WOpacMsgNewListToTifTilDetailAction.do?tilcod=2002222281554")</f>
        <v>https://opac.libnet.pref.okayama.jp/licsxp-opac/WOpacMsgNewListToTifTilDetailAction.do?tilcod=2002222281554</v>
      </c>
    </row>
    <row r="4151" spans="1:9" x14ac:dyDescent="0.4">
      <c r="A4151" t="str">
        <f>"Harmony；重井医学研究所附属病院 広報紙"</f>
        <v>Harmony；重井医学研究所附属病院 広報紙</v>
      </c>
      <c r="B4151" s="1" t="str">
        <f t="shared" si="210"/>
        <v>Harmony；重井医学研究所附属病院 広報紙</v>
      </c>
      <c r="C4151" t="str">
        <f>"ハーモニー＊シゲイ イガク ケンキュウショ フゾク ビョウイン コウホウシ"</f>
        <v>ハーモニー＊シゲイ イガク ケンキュウショ フゾク ビョウイン コウホウシ</v>
      </c>
      <c r="D4151" t="str">
        <f>"重井医学研究所附属病院"</f>
        <v>重井医学研究所附属病院</v>
      </c>
      <c r="E4151" t="str">
        <f>"シゲイ イガク ケンキュウジョ フゾク ビョウイン"</f>
        <v>シゲイ イガク ケンキュウジョ フゾク ビョウイン</v>
      </c>
      <c r="F4151" t="str">
        <f>"岡山"</f>
        <v>岡山</v>
      </c>
      <c r="G4151" t="str">
        <f>"季刊"</f>
        <v>季刊</v>
      </c>
      <c r="H4151" t="str">
        <f>"2002222319646"</f>
        <v>2002222319646</v>
      </c>
      <c r="I4151" t="str">
        <f>HYPERLINK("#", "https://opac.libnet.pref.okayama.jp/licsxp-opac/WOpacMsgNewListToTifTilDetailAction.do?tilcod=2002222319646")</f>
        <v>https://opac.libnet.pref.okayama.jp/licsxp-opac/WOpacMsgNewListToTifTilDetailAction.do?tilcod=2002222319646</v>
      </c>
    </row>
    <row r="4152" spans="1:9" x14ac:dyDescent="0.4">
      <c r="A4152" t="str">
        <f>"灰"</f>
        <v>灰</v>
      </c>
      <c r="B4152" s="1" t="str">
        <f t="shared" si="210"/>
        <v>灰</v>
      </c>
      <c r="C4152" t="str">
        <f>"ハイ"</f>
        <v>ハイ</v>
      </c>
      <c r="D4152" t="str">
        <f>"岡山県文化財保護探勝会"</f>
        <v>岡山県文化財保護探勝会</v>
      </c>
      <c r="E4152" t="str">
        <f>"オカヤマケンブンカザイホゴタンショウカイ"</f>
        <v>オカヤマケンブンカザイホゴタンショウカイ</v>
      </c>
      <c r="F4152" t="str">
        <f>""</f>
        <v/>
      </c>
      <c r="G4152" t="str">
        <f>"頻度不明"</f>
        <v>頻度不明</v>
      </c>
      <c r="H4152" t="str">
        <f>"2002222289003"</f>
        <v>2002222289003</v>
      </c>
      <c r="I4152" t="str">
        <f>HYPERLINK("#", "https://opac.libnet.pref.okayama.jp/licsxp-opac/WOpacMsgNewListToTifTilDetailAction.do?tilcod=2002222289003")</f>
        <v>https://opac.libnet.pref.okayama.jp/licsxp-opac/WOpacMsgNewListToTifTilDetailAction.do?tilcod=2002222289003</v>
      </c>
    </row>
    <row r="4153" spans="1:9" x14ac:dyDescent="0.4">
      <c r="A4153" t="str">
        <f>"はい!社協です!"</f>
        <v>はい!社協です!</v>
      </c>
      <c r="B4153" s="1" t="str">
        <f t="shared" si="210"/>
        <v>はい!社協です!</v>
      </c>
      <c r="C4153" t="str">
        <f>"ハイ　シャキョウ　デス"</f>
        <v>ハイ　シャキョウ　デス</v>
      </c>
      <c r="D4153" t="str">
        <f>"美作市社会福祉協議会　"</f>
        <v>美作市社会福祉協議会　</v>
      </c>
      <c r="E4153" t="str">
        <f>"ミマサカシ シャカイフクシ キョウギカイ"</f>
        <v>ミマサカシ シャカイフクシ キョウギカイ</v>
      </c>
      <c r="F4153" t="str">
        <f>"美作"</f>
        <v>美作</v>
      </c>
      <c r="G4153" t="str">
        <f>"隔月刊"</f>
        <v>隔月刊</v>
      </c>
      <c r="H4153" t="str">
        <f>"2002222306049"</f>
        <v>2002222306049</v>
      </c>
      <c r="I4153" t="str">
        <f>HYPERLINK("#", "https://opac.libnet.pref.okayama.jp/licsxp-opac/WOpacMsgNewListToTifTilDetailAction.do?tilcod=2002222306049")</f>
        <v>https://opac.libnet.pref.okayama.jp/licsxp-opac/WOpacMsgNewListToTifTilDetailAction.do?tilcod=2002222306049</v>
      </c>
    </row>
    <row r="4154" spans="1:9" x14ac:dyDescent="0.4">
      <c r="A4154" t="str">
        <f>"ハイウェイ・岡山"</f>
        <v>ハイウェイ・岡山</v>
      </c>
      <c r="B4154" s="1" t="str">
        <f t="shared" si="210"/>
        <v>ハイウェイ・岡山</v>
      </c>
      <c r="C4154" t="str">
        <f>"ハイウェイ　オカヤマ"</f>
        <v>ハイウェイ　オカヤマ</v>
      </c>
      <c r="D4154" t="str">
        <f>"岡山県高速道路交通安全協議会"</f>
        <v>岡山県高速道路交通安全協議会</v>
      </c>
      <c r="E4154" t="str">
        <f>"オカヤマケンコウソクドウロコウツウアンゼンキョウギカイ"</f>
        <v>オカヤマケンコウソクドウロコウツウアンゼンキョウギカイ</v>
      </c>
      <c r="F4154" t="str">
        <f>""</f>
        <v/>
      </c>
      <c r="G4154" t="str">
        <f>"頻度不明"</f>
        <v>頻度不明</v>
      </c>
      <c r="H4154" t="str">
        <f>"2002222289013"</f>
        <v>2002222289013</v>
      </c>
      <c r="I4154" t="str">
        <f>HYPERLINK("#", "https://opac.libnet.pref.okayama.jp/licsxp-opac/WOpacMsgNewListToTifTilDetailAction.do?tilcod=2002222289013")</f>
        <v>https://opac.libnet.pref.okayama.jp/licsxp-opac/WOpacMsgNewListToTifTilDetailAction.do?tilcod=2002222289013</v>
      </c>
    </row>
    <row r="4155" spans="1:9" x14ac:dyDescent="0.4">
      <c r="A4155" t="str">
        <f>"俳諧鴨声吟報　"</f>
        <v>俳諧鴨声吟報　</v>
      </c>
      <c r="B4155" s="1" t="str">
        <f t="shared" si="210"/>
        <v>俳諧鴨声吟報　</v>
      </c>
      <c r="C4155" t="str">
        <f>"ハイカイ　オウセイ　ギンホウ"</f>
        <v>ハイカイ　オウセイ　ギンホウ</v>
      </c>
      <c r="D4155" t="str">
        <f>"鴨声吟社"</f>
        <v>鴨声吟社</v>
      </c>
      <c r="E4155" t="str">
        <f>"オウセイ ギンシャ"</f>
        <v>オウセイ ギンシャ</v>
      </c>
      <c r="F4155" t="str">
        <f>""</f>
        <v/>
      </c>
      <c r="G4155" t="str">
        <f>"頻度不明"</f>
        <v>頻度不明</v>
      </c>
      <c r="H4155" t="str">
        <f>"2002222289023"</f>
        <v>2002222289023</v>
      </c>
      <c r="I4155" t="str">
        <f>HYPERLINK("#", "https://opac.libnet.pref.okayama.jp/licsxp-opac/WOpacMsgNewListToTifTilDetailAction.do?tilcod=2002222289023")</f>
        <v>https://opac.libnet.pref.okayama.jp/licsxp-opac/WOpacMsgNewListToTifTilDetailAction.do?tilcod=2002222289023</v>
      </c>
    </row>
    <row r="4156" spans="1:9" x14ac:dyDescent="0.4">
      <c r="A4156" t="str">
        <f>"俳諧鴨声新誌"</f>
        <v>俳諧鴨声新誌</v>
      </c>
      <c r="B4156" s="1" t="str">
        <f t="shared" si="210"/>
        <v>俳諧鴨声新誌</v>
      </c>
      <c r="C4156" t="str">
        <f>"ハイカイ オウセイ シンシ"</f>
        <v>ハイカイ オウセイ シンシ</v>
      </c>
      <c r="D4156" t="str">
        <f>"鴨吟会俳事係"</f>
        <v>鴨吟会俳事係</v>
      </c>
      <c r="E4156" t="str">
        <f>"オウギンカイ ハイジガカリ"</f>
        <v>オウギンカイ ハイジガカリ</v>
      </c>
      <c r="F4156" t="str">
        <f>"赤磐郡"</f>
        <v>赤磐郡</v>
      </c>
      <c r="G4156" t="str">
        <f>"月刊"</f>
        <v>月刊</v>
      </c>
      <c r="H4156" t="str">
        <f>"2002222307126"</f>
        <v>2002222307126</v>
      </c>
      <c r="I4156" t="str">
        <f>HYPERLINK("#", "https://opac.libnet.pref.okayama.jp/licsxp-opac/WOpacMsgNewListToTifTilDetailAction.do?tilcod=2002222307126")</f>
        <v>https://opac.libnet.pref.okayama.jp/licsxp-opac/WOpacMsgNewListToTifTilDetailAction.do?tilcod=2002222307126</v>
      </c>
    </row>
    <row r="4157" spans="1:9" x14ac:dyDescent="0.4">
      <c r="A4157" t="str">
        <f>"廃棄物交換情報"</f>
        <v>廃棄物交換情報</v>
      </c>
      <c r="B4157" s="1" t="str">
        <f t="shared" si="210"/>
        <v>廃棄物交換情報</v>
      </c>
      <c r="C4157" t="str">
        <f>"ハイキブツ　コウカン　ジョウホウ"</f>
        <v>ハイキブツ　コウカン　ジョウホウ</v>
      </c>
      <c r="D4157" t="str">
        <f>"岡山県環境保全事業団"</f>
        <v>岡山県環境保全事業団</v>
      </c>
      <c r="E4157" t="str">
        <f>"オカヤマケン カンキョウ ホゼン ジギョウダン"</f>
        <v>オカヤマケン カンキョウ ホゼン ジギョウダン</v>
      </c>
      <c r="F4157" t="str">
        <f>"岡山市"</f>
        <v>岡山市</v>
      </c>
      <c r="G4157" t="str">
        <f>"年刊"</f>
        <v>年刊</v>
      </c>
      <c r="H4157" t="str">
        <f>"2002222281121"</f>
        <v>2002222281121</v>
      </c>
      <c r="I4157" t="str">
        <f>HYPERLINK("#", "https://opac.libnet.pref.okayama.jp/licsxp-opac/WOpacMsgNewListToTifTilDetailAction.do?tilcod=2002222281121")</f>
        <v>https://opac.libnet.pref.okayama.jp/licsxp-opac/WOpacMsgNewListToTifTilDetailAction.do?tilcod=2002222281121</v>
      </c>
    </row>
    <row r="4158" spans="1:9" x14ac:dyDescent="0.4">
      <c r="A4158" t="str">
        <f>"俳誌くきら"</f>
        <v>俳誌くきら</v>
      </c>
      <c r="B4158" s="1" t="str">
        <f t="shared" si="210"/>
        <v>俳誌くきら</v>
      </c>
      <c r="C4158" t="str">
        <f>"ハイシ＊クキラ"</f>
        <v>ハイシ＊クキラ</v>
      </c>
      <c r="D4158" t="str">
        <f>"倶伎羅社"</f>
        <v>倶伎羅社</v>
      </c>
      <c r="E4158" t="str">
        <f>"クキラシャ"</f>
        <v>クキラシャ</v>
      </c>
      <c r="F4158" t="str">
        <f>""</f>
        <v/>
      </c>
      <c r="G4158" t="str">
        <f>"頻度不明"</f>
        <v>頻度不明</v>
      </c>
      <c r="H4158" t="str">
        <f>"2002222280924"</f>
        <v>2002222280924</v>
      </c>
      <c r="I4158" t="str">
        <f>HYPERLINK("#", "https://opac.libnet.pref.okayama.jp/licsxp-opac/WOpacMsgNewListToTifTilDetailAction.do?tilcod=2002222280924")</f>
        <v>https://opac.libnet.pref.okayama.jp/licsxp-opac/WOpacMsgNewListToTifTilDetailAction.do?tilcod=2002222280924</v>
      </c>
    </row>
    <row r="4159" spans="1:9" x14ac:dyDescent="0.4">
      <c r="A4159" t="str">
        <f>"ＨＩ-ＴＥＣＨ　ＯＫＡＹＡＭＡ　財団ニュース"</f>
        <v>ＨＩ-ＴＥＣＨ　ＯＫＡＹＡＭＡ　財団ニュース</v>
      </c>
      <c r="B4159" s="1" t="str">
        <f t="shared" si="210"/>
        <v>ＨＩ-ＴＥＣＨ　ＯＫＡＹＡＭＡ　財団ニュース</v>
      </c>
      <c r="C4159" t="str">
        <f>"ハイテク　オカヤマ　ザイダン　ニュース"</f>
        <v>ハイテク　オカヤマ　ザイダン　ニュース</v>
      </c>
      <c r="D4159" t="str">
        <f>"岡山県新技術振興財団"</f>
        <v>岡山県新技術振興財団</v>
      </c>
      <c r="E4159" t="str">
        <f>"オカヤマケン シンギジュツ シンコウ ザイダン"</f>
        <v>オカヤマケン シンギジュツ シンコウ ザイダン</v>
      </c>
      <c r="F4159" t="str">
        <f>"岡山"</f>
        <v>岡山</v>
      </c>
      <c r="G4159" t="str">
        <f>"季刊"</f>
        <v>季刊</v>
      </c>
      <c r="H4159" t="str">
        <f>"2002222293111"</f>
        <v>2002222293111</v>
      </c>
      <c r="I4159" t="str">
        <f>HYPERLINK("#", "https://opac.libnet.pref.okayama.jp/licsxp-opac/WOpacMsgNewListToTifTilDetailAction.do?tilcod=2002222293111")</f>
        <v>https://opac.libnet.pref.okayama.jp/licsxp-opac/WOpacMsgNewListToTifTilDetailAction.do?tilcod=2002222293111</v>
      </c>
    </row>
    <row r="4160" spans="1:9" x14ac:dyDescent="0.4">
      <c r="A4160" t="str">
        <f>"売買・分譲・仲介；ステップハウス　岡山・備後版"</f>
        <v>売買・分譲・仲介；ステップハウス　岡山・備後版</v>
      </c>
      <c r="B4160" s="1" t="str">
        <f t="shared" si="210"/>
        <v>売買・分譲・仲介；ステップハウス　岡山・備後版</v>
      </c>
      <c r="C4160" t="str">
        <f>"バイバイ　ブンジョウ　チュウカイ＊ステップハウス　オカヤマ　ビンゴバン"</f>
        <v>バイバイ　ブンジョウ　チュウカイ＊ステップハウス　オカヤマ　ビンゴバン</v>
      </c>
      <c r="D4160" t="str">
        <f>"ＫＧ情報"</f>
        <v>ＫＧ情報</v>
      </c>
      <c r="E4160" t="str">
        <f>"ケージージョウホウ"</f>
        <v>ケージージョウホウ</v>
      </c>
      <c r="F4160" t="str">
        <f>"岡山"</f>
        <v>岡山</v>
      </c>
      <c r="G4160" t="str">
        <f>"月刊"</f>
        <v>月刊</v>
      </c>
      <c r="H4160" t="str">
        <f>"2002222286071"</f>
        <v>2002222286071</v>
      </c>
      <c r="I4160" t="str">
        <f>HYPERLINK("#", "https://opac.libnet.pref.okayama.jp/licsxp-opac/WOpacMsgNewListToTifTilDetailAction.do?tilcod=2002222286071")</f>
        <v>https://opac.libnet.pref.okayama.jp/licsxp-opac/WOpacMsgNewListToTifTilDetailAction.do?tilcod=2002222286071</v>
      </c>
    </row>
    <row r="4161" spans="1:9" x14ac:dyDescent="0.4">
      <c r="A4161" t="str">
        <f>"売買・分譲・仲介；ステップハウス　岡山版"</f>
        <v>売買・分譲・仲介；ステップハウス　岡山版</v>
      </c>
      <c r="B4161" s="1" t="str">
        <f t="shared" si="210"/>
        <v>売買・分譲・仲介；ステップハウス　岡山版</v>
      </c>
      <c r="C4161" t="str">
        <f>"バイバイ　ブンジョウ　チュウカイ＊ステップハウス　オカヤマバン"</f>
        <v>バイバイ　ブンジョウ　チュウカイ＊ステップハウス　オカヤマバン</v>
      </c>
      <c r="D4161" t="str">
        <f>"ＫＧ情報"</f>
        <v>ＫＧ情報</v>
      </c>
      <c r="E4161" t="str">
        <f>"ケージージョウホウ"</f>
        <v>ケージージョウホウ</v>
      </c>
      <c r="F4161" t="str">
        <f>"岡山"</f>
        <v>岡山</v>
      </c>
      <c r="G4161" t="str">
        <f>"月刊"</f>
        <v>月刊</v>
      </c>
      <c r="H4161" t="str">
        <f>"2002222300312"</f>
        <v>2002222300312</v>
      </c>
      <c r="I4161" t="str">
        <f>HYPERLINK("#", "https://opac.libnet.pref.okayama.jp/licsxp-opac/WOpacMsgNewListToTifTilDetailAction.do?tilcod=2002222300312")</f>
        <v>https://opac.libnet.pref.okayama.jp/licsxp-opac/WOpacMsgNewListToTifTilDetailAction.do?tilcod=2002222300312</v>
      </c>
    </row>
    <row r="4162" spans="1:9" x14ac:dyDescent="0.4">
      <c r="A4162" t="str">
        <f>"ＨＡＯ　ＰＲＥＳＳ（ハオプレス）"</f>
        <v>ＨＡＯ　ＰＲＥＳＳ（ハオプレス）</v>
      </c>
      <c r="B4162" s="1" t="str">
        <f t="shared" si="210"/>
        <v>ＨＡＯ　ＰＲＥＳＳ（ハオプレス）</v>
      </c>
      <c r="C4162" t="str">
        <f>"ハオ　プレス"</f>
        <v>ハオ　プレス</v>
      </c>
      <c r="D4162" t="str">
        <f>"ハート・アート・おかやま"</f>
        <v>ハート・アート・おかやま</v>
      </c>
      <c r="E4162" t="str">
        <f>"ハートアートオカヤマ"</f>
        <v>ハートアートオカヤマ</v>
      </c>
      <c r="F4162" t="str">
        <f>"岡山"</f>
        <v>岡山</v>
      </c>
      <c r="G4162" t="str">
        <f>"年３回刊"</f>
        <v>年３回刊</v>
      </c>
      <c r="H4162" t="str">
        <f>"2002222301707"</f>
        <v>2002222301707</v>
      </c>
      <c r="I4162" t="str">
        <f>HYPERLINK("#", "https://opac.libnet.pref.okayama.jp/licsxp-opac/WOpacMsgNewListToTifTilDetailAction.do?tilcod=2002222301707")</f>
        <v>https://opac.libnet.pref.okayama.jp/licsxp-opac/WOpacMsgNewListToTifTilDetailAction.do?tilcod=2002222301707</v>
      </c>
    </row>
    <row r="4163" spans="1:9" x14ac:dyDescent="0.4">
      <c r="A4163" t="str">
        <f>"白雲"</f>
        <v>白雲</v>
      </c>
      <c r="B4163" s="1" t="str">
        <f t="shared" si="210"/>
        <v>白雲</v>
      </c>
      <c r="C4163" t="str">
        <f>"ハクウン"</f>
        <v>ハクウン</v>
      </c>
      <c r="D4163" t="str">
        <f>"白雲会"</f>
        <v>白雲会</v>
      </c>
      <c r="E4163" t="str">
        <f>"ハクウンカイ"</f>
        <v>ハクウンカイ</v>
      </c>
      <c r="F4163" t="str">
        <f>""</f>
        <v/>
      </c>
      <c r="G4163" t="str">
        <f>"頻度不明"</f>
        <v>頻度不明</v>
      </c>
      <c r="H4163" t="str">
        <f>"2002222289033"</f>
        <v>2002222289033</v>
      </c>
      <c r="I4163" t="str">
        <f>HYPERLINK("#", "https://opac.libnet.pref.okayama.jp/licsxp-opac/WOpacMsgNewListToTifTilDetailAction.do?tilcod=2002222289033")</f>
        <v>https://opac.libnet.pref.okayama.jp/licsxp-opac/WOpacMsgNewListToTifTilDetailAction.do?tilcod=2002222289033</v>
      </c>
    </row>
    <row r="4164" spans="1:9" x14ac:dyDescent="0.4">
      <c r="A4164" t="str">
        <f>"白雲；文芸同人誌"</f>
        <v>白雲；文芸同人誌</v>
      </c>
      <c r="B4164" s="1" t="str">
        <f t="shared" ref="B4164:B4227" si="215">HYPERLINK("#", A4164)</f>
        <v>白雲；文芸同人誌</v>
      </c>
      <c r="C4164" t="str">
        <f>"ハクウン＊ブンゲイ　ドウジンシ"</f>
        <v>ハクウン＊ブンゲイ　ドウジンシ</v>
      </c>
      <c r="D4164" t="str">
        <f>"白雲の会"</f>
        <v>白雲の会</v>
      </c>
      <c r="E4164" t="str">
        <f>"ハクウンノカイ"</f>
        <v>ハクウンノカイ</v>
      </c>
      <c r="F4164" t="str">
        <f>"横浜"</f>
        <v>横浜</v>
      </c>
      <c r="G4164" t="str">
        <f>"年２回刊"</f>
        <v>年２回刊</v>
      </c>
      <c r="H4164" t="str">
        <f>"2002222301345"</f>
        <v>2002222301345</v>
      </c>
      <c r="I4164" t="str">
        <f>HYPERLINK("#", "https://opac.libnet.pref.okayama.jp/licsxp-opac/WOpacMsgNewListToTifTilDetailAction.do?tilcod=2002222301345")</f>
        <v>https://opac.libnet.pref.okayama.jp/licsxp-opac/WOpacMsgNewListToTifTilDetailAction.do?tilcod=2002222301345</v>
      </c>
    </row>
    <row r="4165" spans="1:9" x14ac:dyDescent="0.4">
      <c r="A4165" t="str">
        <f>"白炎"</f>
        <v>白炎</v>
      </c>
      <c r="B4165" s="1" t="str">
        <f t="shared" si="215"/>
        <v>白炎</v>
      </c>
      <c r="C4165" t="str">
        <f>"ハクエン"</f>
        <v>ハクエン</v>
      </c>
      <c r="D4165" t="str">
        <f>"白炎俳句会"</f>
        <v>白炎俳句会</v>
      </c>
      <c r="E4165" t="str">
        <f>"ハクエンハンクカイ"</f>
        <v>ハクエンハンクカイ</v>
      </c>
      <c r="F4165" t="str">
        <f>"岡山"</f>
        <v>岡山</v>
      </c>
      <c r="G4165" t="str">
        <f>"頻度不明"</f>
        <v>頻度不明</v>
      </c>
      <c r="H4165" t="str">
        <f>"2002222301357"</f>
        <v>2002222301357</v>
      </c>
      <c r="I4165" t="str">
        <f>HYPERLINK("#", "https://opac.libnet.pref.okayama.jp/licsxp-opac/WOpacMsgNewListToTifTilDetailAction.do?tilcod=2002222301357")</f>
        <v>https://opac.libnet.pref.okayama.jp/licsxp-opac/WOpacMsgNewListToTifTilDetailAction.do?tilcod=2002222301357</v>
      </c>
    </row>
    <row r="4166" spans="1:9" x14ac:dyDescent="0.4">
      <c r="A4166" t="str">
        <f>"hugジュニ；HUG HUG Jr.(ハグハグジュニア)"</f>
        <v>hugジュニ；HUG HUG Jr.(ハグハグジュニア)</v>
      </c>
      <c r="B4166" s="1" t="str">
        <f t="shared" si="215"/>
        <v>hugジュニ；HUG HUG Jr.(ハグハグジュニア)</v>
      </c>
      <c r="C4166" t="str">
        <f>"ハグジュニ*ハグハグ ジュニア"</f>
        <v>ハグジュニ*ハグハグ ジュニア</v>
      </c>
      <c r="D4166" t="str">
        <f>"「hugジュニ」編集室"</f>
        <v>「hugジュニ」編集室</v>
      </c>
      <c r="E4166" t="str">
        <f>"ハグ ジュニ ヘンシュウ シツ"</f>
        <v>ハグ ジュニ ヘンシュウ シツ</v>
      </c>
      <c r="F4166" t="str">
        <f>"岡山"</f>
        <v>岡山</v>
      </c>
      <c r="G4166" t="str">
        <f>"隔月刊"</f>
        <v>隔月刊</v>
      </c>
      <c r="H4166" t="str">
        <f>"2002222315409"</f>
        <v>2002222315409</v>
      </c>
      <c r="I4166" t="str">
        <f>HYPERLINK("#", "https://opac.libnet.pref.okayama.jp/licsxp-opac/WOpacMsgNewListToTifTilDetailAction.do?tilcod=2002222315409")</f>
        <v>https://opac.libnet.pref.okayama.jp/licsxp-opac/WOpacMsgNewListToTifTilDetailAction.do?tilcod=2002222315409</v>
      </c>
    </row>
    <row r="4167" spans="1:9" x14ac:dyDescent="0.4">
      <c r="A4167" t="str">
        <f>"白杖"</f>
        <v>白杖</v>
      </c>
      <c r="B4167" s="1" t="str">
        <f t="shared" si="215"/>
        <v>白杖</v>
      </c>
      <c r="C4167" t="str">
        <f>"ハクジョウ"</f>
        <v>ハクジョウ</v>
      </c>
      <c r="D4167" t="str">
        <f>"邑久光明園盲人会"</f>
        <v>邑久光明園盲人会</v>
      </c>
      <c r="E4167" t="str">
        <f>"オク コウミョウエン モウジンカイ"</f>
        <v>オク コウミョウエン モウジンカイ</v>
      </c>
      <c r="F4167" t="str">
        <f>"瀬戸内"</f>
        <v>瀬戸内</v>
      </c>
      <c r="G4167" t="str">
        <f>"年３回刊"</f>
        <v>年３回刊</v>
      </c>
      <c r="H4167" t="str">
        <f>"2002222292761"</f>
        <v>2002222292761</v>
      </c>
      <c r="I4167" t="str">
        <f>HYPERLINK("#", "https://opac.libnet.pref.okayama.jp/licsxp-opac/WOpacMsgNewListToTifTilDetailAction.do?tilcod=2002222292761")</f>
        <v>https://opac.libnet.pref.okayama.jp/licsxp-opac/WOpacMsgNewListToTifTilDetailAction.do?tilcod=2002222292761</v>
      </c>
    </row>
    <row r="4168" spans="1:9" x14ac:dyDescent="0.4">
      <c r="A4168" t="str">
        <f>"白道"</f>
        <v>白道</v>
      </c>
      <c r="B4168" s="1" t="str">
        <f t="shared" si="215"/>
        <v>白道</v>
      </c>
      <c r="C4168" t="str">
        <f>"ハクドウ"</f>
        <v>ハクドウ</v>
      </c>
      <c r="D4168" t="str">
        <f>"白道社"</f>
        <v>白道社</v>
      </c>
      <c r="E4168" t="str">
        <f>"ハクドウシャ"</f>
        <v>ハクドウシャ</v>
      </c>
      <c r="F4168" t="str">
        <f>""</f>
        <v/>
      </c>
      <c r="G4168" t="str">
        <f>"頻度不明"</f>
        <v>頻度不明</v>
      </c>
      <c r="H4168" t="str">
        <f>"2002222289043"</f>
        <v>2002222289043</v>
      </c>
      <c r="I4168" t="str">
        <f>HYPERLINK("#", "https://opac.libnet.pref.okayama.jp/licsxp-opac/WOpacMsgNewListToTifTilDetailAction.do?tilcod=2002222289043")</f>
        <v>https://opac.libnet.pref.okayama.jp/licsxp-opac/WOpacMsgNewListToTifTilDetailAction.do?tilcod=2002222289043</v>
      </c>
    </row>
    <row r="4169" spans="1:9" x14ac:dyDescent="0.4">
      <c r="A4169" t="str">
        <f>"搏動"</f>
        <v>搏動</v>
      </c>
      <c r="B4169" s="1" t="str">
        <f t="shared" si="215"/>
        <v>搏動</v>
      </c>
      <c r="C4169" t="str">
        <f>"ハクドウ"</f>
        <v>ハクドウ</v>
      </c>
      <c r="D4169" t="str">
        <f>"倉敷医療生活協同組合"</f>
        <v>倉敷医療生活協同組合</v>
      </c>
      <c r="E4169" t="str">
        <f>"クラシキイリョウセイカツキョウドウクミアイ"</f>
        <v>クラシキイリョウセイカツキョウドウクミアイ</v>
      </c>
      <c r="F4169" t="str">
        <f>"倉敷"</f>
        <v>倉敷</v>
      </c>
      <c r="G4169" t="str">
        <f>"季刊"</f>
        <v>季刊</v>
      </c>
      <c r="H4169" t="str">
        <f>"2002222293921"</f>
        <v>2002222293921</v>
      </c>
      <c r="I4169" t="str">
        <f>HYPERLINK("#", "https://opac.libnet.pref.okayama.jp/licsxp-opac/WOpacMsgNewListToTifTilDetailAction.do?tilcod=2002222293921")</f>
        <v>https://opac.libnet.pref.okayama.jp/licsxp-opac/WOpacMsgNewListToTifTilDetailAction.do?tilcod=2002222293921</v>
      </c>
    </row>
    <row r="4170" spans="1:9" x14ac:dyDescent="0.4">
      <c r="A4170" t="str">
        <f>"白熱聖戦"</f>
        <v>白熱聖戦</v>
      </c>
      <c r="B4170" s="1" t="str">
        <f t="shared" si="215"/>
        <v>白熱聖戦</v>
      </c>
      <c r="C4170" t="str">
        <f>"ハクネツ　セイセン"</f>
        <v>ハクネツ　セイセン</v>
      </c>
      <c r="D4170" t="str">
        <f>"岡山県工業学校啓成部白熱隊"</f>
        <v>岡山県工業学校啓成部白熱隊</v>
      </c>
      <c r="E4170" t="str">
        <f>"オカヤマケンコウギョウガッコウケイセイブハクネツタイ"</f>
        <v>オカヤマケンコウギョウガッコウケイセイブハクネツタイ</v>
      </c>
      <c r="F4170" t="str">
        <f t="shared" ref="F4170:F4175" si="216">"岡山"</f>
        <v>岡山</v>
      </c>
      <c r="G4170" t="str">
        <f>"不定期刊"</f>
        <v>不定期刊</v>
      </c>
      <c r="H4170" t="str">
        <f>"2002222300789"</f>
        <v>2002222300789</v>
      </c>
      <c r="I4170" t="str">
        <f>HYPERLINK("#", "https://opac.libnet.pref.okayama.jp/licsxp-opac/WOpacMsgNewListToTifTilDetailAction.do?tilcod=2002222300789")</f>
        <v>https://opac.libnet.pref.okayama.jp/licsxp-opac/WOpacMsgNewListToTifTilDetailAction.do?tilcod=2002222300789</v>
      </c>
    </row>
    <row r="4171" spans="1:9" x14ac:dyDescent="0.4">
      <c r="A4171" t="str">
        <f>"HUG HUG Jr.(ハグハグジュニア);はぐジュニ"</f>
        <v>HUG HUG Jr.(ハグハグジュニア);はぐジュニ</v>
      </c>
      <c r="B4171" s="1" t="str">
        <f t="shared" si="215"/>
        <v>HUG HUG Jr.(ハグハグジュニア);はぐジュニ</v>
      </c>
      <c r="C4171" t="str">
        <f>"ハグハグ ジュニア*ハグジュニ"</f>
        <v>ハグハグ ジュニア*ハグジュニ</v>
      </c>
      <c r="D4171" t="str">
        <f>"HUGHUG"</f>
        <v>HUGHUG</v>
      </c>
      <c r="E4171" t="str">
        <f>"ハグハグ"</f>
        <v>ハグハグ</v>
      </c>
      <c r="F4171" t="str">
        <f t="shared" si="216"/>
        <v>岡山</v>
      </c>
      <c r="G4171" t="str">
        <f>"隔月刊"</f>
        <v>隔月刊</v>
      </c>
      <c r="H4171" t="str">
        <f>"2002222307609"</f>
        <v>2002222307609</v>
      </c>
      <c r="I4171" t="str">
        <f>HYPERLINK("#", "https://opac.libnet.pref.okayama.jp/licsxp-opac/WOpacMsgNewListToTifTilDetailAction.do?tilcod=2002222307609")</f>
        <v>https://opac.libnet.pref.okayama.jp/licsxp-opac/WOpacMsgNewListToTifTilDetailAction.do?tilcod=2002222307609</v>
      </c>
    </row>
    <row r="4172" spans="1:9" x14ac:dyDescent="0.4">
      <c r="A4172" t="str">
        <f>"HUG HUG（ハグハグ）；はぐはぐ"</f>
        <v>HUG HUG（ハグハグ）；はぐはぐ</v>
      </c>
      <c r="B4172" s="1" t="str">
        <f t="shared" si="215"/>
        <v>HUG HUG（ハグハグ）；はぐはぐ</v>
      </c>
      <c r="C4172" t="str">
        <f>"ハグハグ＊ハグハグ"</f>
        <v>ハグハグ＊ハグハグ</v>
      </c>
      <c r="D4172" t="str">
        <f>"おかやこ情報誌「HUGHUG」編集部"</f>
        <v>おかやこ情報誌「HUGHUG」編集部</v>
      </c>
      <c r="E4172" t="str">
        <f>"オヤコ ジョウホウシ ハグハグ ヘンシュウブ"</f>
        <v>オヤコ ジョウホウシ ハグハグ ヘンシュウブ</v>
      </c>
      <c r="F4172" t="str">
        <f t="shared" si="216"/>
        <v>岡山</v>
      </c>
      <c r="G4172" t="str">
        <f>"月刊"</f>
        <v>月刊</v>
      </c>
      <c r="H4172" t="str">
        <f>"2002222302120"</f>
        <v>2002222302120</v>
      </c>
      <c r="I4172" t="str">
        <f>HYPERLINK("#", "https://opac.libnet.pref.okayama.jp/licsxp-opac/WOpacMsgNewListToTifTilDetailAction.do?tilcod=2002222302120")</f>
        <v>https://opac.libnet.pref.okayama.jp/licsxp-opac/WOpacMsgNewListToTifTilDetailAction.do?tilcod=2002222302120</v>
      </c>
    </row>
    <row r="4173" spans="1:9" x14ac:dyDescent="0.4">
      <c r="A4173" t="str">
        <f>"はぐるま"</f>
        <v>はぐるま</v>
      </c>
      <c r="B4173" s="1" t="str">
        <f t="shared" si="215"/>
        <v>はぐるま</v>
      </c>
      <c r="C4173" t="str">
        <f>"ハグルマ"</f>
        <v>ハグルマ</v>
      </c>
      <c r="D4173" t="str">
        <f>"就実中学校・高等学校人権教育委員会・ＰＴＡ人権教育"</f>
        <v>就実中学校・高等学校人権教育委員会・ＰＴＡ人権教育</v>
      </c>
      <c r="E4173" t="str">
        <f>"シュウジツチュウガッコウコウトウガッコウジンケンキョウイクイインカイピーティーエージンケンキョウイク"</f>
        <v>シュウジツチュウガッコウコウトウガッコウジンケンキョウイクイインカイピーティーエージンケンキョウイク</v>
      </c>
      <c r="F4173" t="str">
        <f t="shared" si="216"/>
        <v>岡山</v>
      </c>
      <c r="G4173" t="str">
        <f>"年刊"</f>
        <v>年刊</v>
      </c>
      <c r="H4173" t="str">
        <f>"2002222301818"</f>
        <v>2002222301818</v>
      </c>
      <c r="I4173" t="str">
        <f>HYPERLINK("#", "https://opac.libnet.pref.okayama.jp/licsxp-opac/WOpacMsgNewListToTifTilDetailAction.do?tilcod=2002222301818")</f>
        <v>https://opac.libnet.pref.okayama.jp/licsxp-opac/WOpacMsgNewListToTifTilDetailAction.do?tilcod=2002222301818</v>
      </c>
    </row>
    <row r="4174" spans="1:9" x14ac:dyDescent="0.4">
      <c r="A4174" t="str">
        <f>"波光"</f>
        <v>波光</v>
      </c>
      <c r="B4174" s="1" t="str">
        <f t="shared" si="215"/>
        <v>波光</v>
      </c>
      <c r="C4174" t="str">
        <f>"ハコウ"</f>
        <v>ハコウ</v>
      </c>
      <c r="D4174" t="str">
        <f>"ハジメ・オバタ"</f>
        <v>ハジメ・オバタ</v>
      </c>
      <c r="E4174" t="str">
        <f>"ハジメ オバタ"</f>
        <v>ハジメ オバタ</v>
      </c>
      <c r="F4174" t="str">
        <f t="shared" si="216"/>
        <v>岡山</v>
      </c>
      <c r="G4174" t="str">
        <f>"年３回刊"</f>
        <v>年３回刊</v>
      </c>
      <c r="H4174" t="str">
        <f>"2002222293121"</f>
        <v>2002222293121</v>
      </c>
      <c r="I4174" t="str">
        <f>HYPERLINK("#", "https://opac.libnet.pref.okayama.jp/licsxp-opac/WOpacMsgNewListToTifTilDetailAction.do?tilcod=2002222293121")</f>
        <v>https://opac.libnet.pref.okayama.jp/licsxp-opac/WOpacMsgNewListToTifTilDetailAction.do?tilcod=2002222293121</v>
      </c>
    </row>
    <row r="4175" spans="1:9" x14ac:dyDescent="0.4">
      <c r="A4175" t="str">
        <f>"はこぶね"</f>
        <v>はこぶね</v>
      </c>
      <c r="B4175" s="1" t="str">
        <f t="shared" si="215"/>
        <v>はこぶね</v>
      </c>
      <c r="C4175" t="str">
        <f>"ハコブネ"</f>
        <v>ハコブネ</v>
      </c>
      <c r="D4175" t="str">
        <f>"日本イエス・キリスト教団岡南教会"</f>
        <v>日本イエス・キリスト教団岡南教会</v>
      </c>
      <c r="E4175" t="str">
        <f>"ニホン イエス キリスト キョウダン コウナン キョウカイ"</f>
        <v>ニホン イエス キリスト キョウダン コウナン キョウカイ</v>
      </c>
      <c r="F4175" t="str">
        <f t="shared" si="216"/>
        <v>岡山</v>
      </c>
      <c r="G4175" t="str">
        <f>"頻度不明"</f>
        <v>頻度不明</v>
      </c>
      <c r="H4175" t="str">
        <f>"2002222335648"</f>
        <v>2002222335648</v>
      </c>
      <c r="I4175" t="str">
        <f>HYPERLINK("#", "https://opac.libnet.pref.okayama.jp/licsxp-opac/WOpacMsgNewListToTifTilDetailAction.do?tilcod=2002222335648")</f>
        <v>https://opac.libnet.pref.okayama.jp/licsxp-opac/WOpacMsgNewListToTifTilDetailAction.do?tilcod=2002222335648</v>
      </c>
    </row>
    <row r="4176" spans="1:9" x14ac:dyDescent="0.4">
      <c r="A4176" t="str">
        <f>"橋　季刊詩誌"</f>
        <v>橋　季刊詩誌</v>
      </c>
      <c r="B4176" s="1" t="str">
        <f t="shared" si="215"/>
        <v>橋　季刊詩誌</v>
      </c>
      <c r="C4176" t="str">
        <f>"ハシ　キカン　シシ"</f>
        <v>ハシ　キカン　シシ</v>
      </c>
      <c r="D4176" t="str">
        <f>"『橋』編集室"</f>
        <v>『橋』編集室</v>
      </c>
      <c r="E4176" t="str">
        <f>"ハシヘンシュウシツ"</f>
        <v>ハシヘンシュウシツ</v>
      </c>
      <c r="F4176" t="str">
        <f>""</f>
        <v/>
      </c>
      <c r="G4176" t="str">
        <f>"季刊"</f>
        <v>季刊</v>
      </c>
      <c r="H4176" t="str">
        <f>"2002222289063"</f>
        <v>2002222289063</v>
      </c>
      <c r="I4176" t="str">
        <f>HYPERLINK("#", "https://opac.libnet.pref.okayama.jp/licsxp-opac/WOpacMsgNewListToTifTilDetailAction.do?tilcod=2002222289063")</f>
        <v>https://opac.libnet.pref.okayama.jp/licsxp-opac/WOpacMsgNewListToTifTilDetailAction.do?tilcod=2002222289063</v>
      </c>
    </row>
    <row r="4177" spans="1:9" x14ac:dyDescent="0.4">
      <c r="A4177" t="str">
        <f>"波状栽培；農業技術雑誌（農業岡山）全国版"</f>
        <v>波状栽培；農業技術雑誌（農業岡山）全国版</v>
      </c>
      <c r="B4177" s="1" t="str">
        <f t="shared" si="215"/>
        <v>波状栽培；農業技術雑誌（農業岡山）全国版</v>
      </c>
      <c r="C4177" t="str">
        <f>"ハジョウ サイバイ＊ノウギョウ ギジュツ ザッシ ノウギョウ オカヤマ ゼンコクバン"</f>
        <v>ハジョウ サイバイ＊ノウギョウ ギジュツ ザッシ ノウギョウ オカヤマ ゼンコクバン</v>
      </c>
      <c r="D4177" t="str">
        <f>"岡山県農村文化協会"</f>
        <v>岡山県農村文化協会</v>
      </c>
      <c r="E4177" t="str">
        <f>"オカヤマケン ノウソン ブンカ キョウカイ"</f>
        <v>オカヤマケン ノウソン ブンカ キョウカイ</v>
      </c>
      <c r="F4177" t="str">
        <f>""</f>
        <v/>
      </c>
      <c r="G4177" t="str">
        <f>"月刊"</f>
        <v>月刊</v>
      </c>
      <c r="H4177" t="str">
        <f>"2002222335446"</f>
        <v>2002222335446</v>
      </c>
      <c r="I4177" t="str">
        <f>HYPERLINK("#", "https://opac.libnet.pref.okayama.jp/licsxp-opac/WOpacMsgNewListToTifTilDetailAction.do?tilcod=2002222335446")</f>
        <v>https://opac.libnet.pref.okayama.jp/licsxp-opac/WOpacMsgNewListToTifTilDetailAction.do?tilcod=2002222335446</v>
      </c>
    </row>
    <row r="4178" spans="1:9" x14ac:dyDescent="0.4">
      <c r="A4178" t="str">
        <f>"走れイレブン"</f>
        <v>走れイレブン</v>
      </c>
      <c r="B4178" s="1" t="str">
        <f t="shared" si="215"/>
        <v>走れイレブン</v>
      </c>
      <c r="C4178" t="str">
        <f>"ハシレ　イレブン"</f>
        <v>ハシレ　イレブン</v>
      </c>
      <c r="D4178" t="str">
        <f>"美作町スポーツ少年団サッカー部"</f>
        <v>美作町スポーツ少年団サッカー部</v>
      </c>
      <c r="E4178" t="str">
        <f>"ミマサカチョウスポーツショウネンダンサッカーブ"</f>
        <v>ミマサカチョウスポーツショウネンダンサッカーブ</v>
      </c>
      <c r="F4178" t="str">
        <f>"美作町（英田郡）"</f>
        <v>美作町（英田郡）</v>
      </c>
      <c r="G4178" t="str">
        <f>"不定期刊"</f>
        <v>不定期刊</v>
      </c>
      <c r="H4178" t="str">
        <f>"2002222280551"</f>
        <v>2002222280551</v>
      </c>
      <c r="I4178" t="str">
        <f>HYPERLINK("#", "https://opac.libnet.pref.okayama.jp/licsxp-opac/WOpacMsgNewListToTifTilDetailAction.do?tilcod=2002222280551")</f>
        <v>https://opac.libnet.pref.okayama.jp/licsxp-opac/WOpacMsgNewListToTifTilDetailAction.do?tilcod=2002222280551</v>
      </c>
    </row>
    <row r="4179" spans="1:9" x14ac:dyDescent="0.4">
      <c r="A4179" t="str">
        <f>"はだか"</f>
        <v>はだか</v>
      </c>
      <c r="B4179" s="1" t="str">
        <f t="shared" si="215"/>
        <v>はだか</v>
      </c>
      <c r="C4179" t="str">
        <f>"ハダカ"</f>
        <v>ハダカ</v>
      </c>
      <c r="D4179" t="str">
        <f>"西大寺川柳社"</f>
        <v>西大寺川柳社</v>
      </c>
      <c r="E4179" t="str">
        <f>"サイダイジセンリュウシャ"</f>
        <v>サイダイジセンリュウシャ</v>
      </c>
      <c r="F4179" t="str">
        <f>"岡山"</f>
        <v>岡山</v>
      </c>
      <c r="G4179" t="str">
        <f>"月刊"</f>
        <v>月刊</v>
      </c>
      <c r="H4179" t="str">
        <f>"2002222293131"</f>
        <v>2002222293131</v>
      </c>
      <c r="I4179" t="str">
        <f>HYPERLINK("#", "https://opac.libnet.pref.okayama.jp/licsxp-opac/WOpacMsgNewListToTifTilDetailAction.do?tilcod=2002222293131")</f>
        <v>https://opac.libnet.pref.okayama.jp/licsxp-opac/WOpacMsgNewListToTifTilDetailAction.do?tilcod=2002222293131</v>
      </c>
    </row>
    <row r="4180" spans="1:9" x14ac:dyDescent="0.4">
      <c r="A4180" t="str">
        <f>"裸足"</f>
        <v>裸足</v>
      </c>
      <c r="B4180" s="1" t="str">
        <f t="shared" si="215"/>
        <v>裸足</v>
      </c>
      <c r="C4180" t="str">
        <f>"ハダシ"</f>
        <v>ハダシ</v>
      </c>
      <c r="D4180" t="str">
        <f>"詩の会・裸足"</f>
        <v>詩の会・裸足</v>
      </c>
      <c r="E4180" t="str">
        <f>"シノカイハダシ"</f>
        <v>シノカイハダシ</v>
      </c>
      <c r="F4180" t="str">
        <f>"岡山"</f>
        <v>岡山</v>
      </c>
      <c r="G4180" t="str">
        <f>"隔月刊"</f>
        <v>隔月刊</v>
      </c>
      <c r="H4180" t="str">
        <f>"2002222291561"</f>
        <v>2002222291561</v>
      </c>
      <c r="I4180" t="str">
        <f>HYPERLINK("#", "https://opac.libnet.pref.okayama.jp/licsxp-opac/WOpacMsgNewListToTifTilDetailAction.do?tilcod=2002222291561")</f>
        <v>https://opac.libnet.pref.okayama.jp/licsxp-opac/WOpacMsgNewListToTifTilDetailAction.do?tilcod=2002222291561</v>
      </c>
    </row>
    <row r="4181" spans="1:9" x14ac:dyDescent="0.4">
      <c r="A4181" t="str">
        <f>"旗本家史研究"</f>
        <v>旗本家史研究</v>
      </c>
      <c r="B4181" s="1" t="str">
        <f t="shared" si="215"/>
        <v>旗本家史研究</v>
      </c>
      <c r="C4181" t="str">
        <f>"ハタモトケ　シ　ケンキュウ"</f>
        <v>ハタモトケ　シ　ケンキュウ</v>
      </c>
      <c r="D4181" t="str">
        <f>"旗本家史研究会"</f>
        <v>旗本家史研究会</v>
      </c>
      <c r="E4181" t="str">
        <f>"ハタモトケシケンキュウカイ"</f>
        <v>ハタモトケシケンキュウカイ</v>
      </c>
      <c r="F4181" t="str">
        <f>""</f>
        <v/>
      </c>
      <c r="G4181" t="str">
        <f>"頻度不明"</f>
        <v>頻度不明</v>
      </c>
      <c r="H4181" t="str">
        <f>"2002222289073"</f>
        <v>2002222289073</v>
      </c>
      <c r="I4181" t="str">
        <f>HYPERLINK("#", "https://opac.libnet.pref.okayama.jp/licsxp-opac/WOpacMsgNewListToTifTilDetailAction.do?tilcod=2002222289073")</f>
        <v>https://opac.libnet.pref.okayama.jp/licsxp-opac/WOpacMsgNewListToTifTilDetailAction.do?tilcod=2002222289073</v>
      </c>
    </row>
    <row r="4182" spans="1:9" x14ac:dyDescent="0.4">
      <c r="A4182" t="str">
        <f>"[八幡宮] 神社だより　"</f>
        <v>[八幡宮] 神社だより　</v>
      </c>
      <c r="B4182" s="1" t="str">
        <f t="shared" si="215"/>
        <v>[八幡宮] 神社だより　</v>
      </c>
      <c r="C4182" t="str">
        <f>"ハチマングウ ジンジャ ダヨリ"</f>
        <v>ハチマングウ ジンジャ ダヨリ</v>
      </c>
      <c r="D4182" t="str">
        <f>"八幡宮"</f>
        <v>八幡宮</v>
      </c>
      <c r="E4182" t="str">
        <f>"ハチハマ　ハチマングウ"</f>
        <v>ハチハマ　ハチマングウ</v>
      </c>
      <c r="F4182" t="str">
        <f>"玉野"</f>
        <v>玉野</v>
      </c>
      <c r="G4182" t="str">
        <f>"頻度不明"</f>
        <v>頻度不明</v>
      </c>
      <c r="H4182" t="str">
        <f>"2002222342733"</f>
        <v>2002222342733</v>
      </c>
      <c r="I4182" t="str">
        <f>HYPERLINK("#", "https://opac.libnet.pref.okayama.jp/licsxp-opac/WOpacMsgNewListToTifTilDetailAction.do?tilcod=2002222342733")</f>
        <v>https://opac.libnet.pref.okayama.jp/licsxp-opac/WOpacMsgNewListToTifTilDetailAction.do?tilcod=2002222342733</v>
      </c>
    </row>
    <row r="4183" spans="1:9" x14ac:dyDescent="0.4">
      <c r="A4183" t="str">
        <f>"パチンコプレイガイド　岡山版"</f>
        <v>パチンコプレイガイド　岡山版</v>
      </c>
      <c r="B4183" s="1" t="str">
        <f t="shared" si="215"/>
        <v>パチンコプレイガイド　岡山版</v>
      </c>
      <c r="C4183" t="str">
        <f>"パチンコ　プレイ　ガイド　オカヤマバン"</f>
        <v>パチンコ　プレイ　ガイド　オカヤマバン</v>
      </c>
      <c r="D4183" t="str">
        <f>"ファイブステージ"</f>
        <v>ファイブステージ</v>
      </c>
      <c r="E4183" t="str">
        <f>"ファイブステージ"</f>
        <v>ファイブステージ</v>
      </c>
      <c r="F4183" t="str">
        <f>"倉敷"</f>
        <v>倉敷</v>
      </c>
      <c r="G4183" t="str">
        <f>"月刊"</f>
        <v>月刊</v>
      </c>
      <c r="H4183" t="str">
        <f>"2002222302334"</f>
        <v>2002222302334</v>
      </c>
      <c r="I4183" t="str">
        <f>HYPERLINK("#", "https://opac.libnet.pref.okayama.jp/licsxp-opac/WOpacMsgNewListToTifTilDetailAction.do?tilcod=2002222302334")</f>
        <v>https://opac.libnet.pref.okayama.jp/licsxp-opac/WOpacMsgNewListToTifTilDetailAction.do?tilcod=2002222302334</v>
      </c>
    </row>
    <row r="4184" spans="1:9" x14ac:dyDescent="0.4">
      <c r="A4184" t="str">
        <f>"白虹（複製）"</f>
        <v>白虹（複製）</v>
      </c>
      <c r="B4184" s="1" t="str">
        <f t="shared" si="215"/>
        <v>白虹（複製）</v>
      </c>
      <c r="C4184" t="str">
        <f>"ハッコウ＊フクセイ"</f>
        <v>ハッコウ＊フクセイ</v>
      </c>
      <c r="D4184" t="str">
        <f>"血汐会"</f>
        <v>血汐会</v>
      </c>
      <c r="E4184" t="str">
        <f>"チシオカイ"</f>
        <v>チシオカイ</v>
      </c>
      <c r="F4184" t="str">
        <f>""</f>
        <v/>
      </c>
      <c r="G4184" t="str">
        <f>"頻度不明"</f>
        <v>頻度不明</v>
      </c>
      <c r="H4184" t="str">
        <f>"2002222289093"</f>
        <v>2002222289093</v>
      </c>
      <c r="I4184" t="str">
        <f>HYPERLINK("#", "https://opac.libnet.pref.okayama.jp/licsxp-opac/WOpacMsgNewListToTifTilDetailAction.do?tilcod=2002222289093")</f>
        <v>https://opac.libnet.pref.okayama.jp/licsxp-opac/WOpacMsgNewListToTifTilDetailAction.do?tilcod=2002222289093</v>
      </c>
    </row>
    <row r="4185" spans="1:9" x14ac:dyDescent="0.4">
      <c r="A4185" t="str">
        <f>"初瀬"</f>
        <v>初瀬</v>
      </c>
      <c r="B4185" s="1" t="str">
        <f t="shared" si="215"/>
        <v>初瀬</v>
      </c>
      <c r="C4185" t="str">
        <f>"ハツセ"</f>
        <v>ハツセ</v>
      </c>
      <c r="D4185" t="str">
        <f>"岡山県和気郡本荘村青年団"</f>
        <v>岡山県和気郡本荘村青年団</v>
      </c>
      <c r="E4185" t="str">
        <f>"オカヤマケンワケグンホンジョウソンセイネンダン"</f>
        <v>オカヤマケンワケグンホンジョウソンセイネンダン</v>
      </c>
      <c r="F4185" t="str">
        <f>""</f>
        <v/>
      </c>
      <c r="G4185" t="str">
        <f>"頻度不明"</f>
        <v>頻度不明</v>
      </c>
      <c r="H4185" t="str">
        <f>"2002222289103"</f>
        <v>2002222289103</v>
      </c>
      <c r="I4185" t="str">
        <f>HYPERLINK("#", "https://opac.libnet.pref.okayama.jp/licsxp-opac/WOpacMsgNewListToTifTilDetailAction.do?tilcod=2002222289103")</f>
        <v>https://opac.libnet.pref.okayama.jp/licsxp-opac/WOpacMsgNewListToTifTilDetailAction.do?tilcod=2002222289103</v>
      </c>
    </row>
    <row r="4186" spans="1:9" x14ac:dyDescent="0.4">
      <c r="A4186" t="str">
        <f>"初音"</f>
        <v>初音</v>
      </c>
      <c r="B4186" s="1" t="str">
        <f t="shared" si="215"/>
        <v>初音</v>
      </c>
      <c r="C4186" t="str">
        <f>"ハツネ"</f>
        <v>ハツネ</v>
      </c>
      <c r="D4186" t="str">
        <f>"やかげ郷土美術館講座"</f>
        <v>やかげ郷土美術館講座</v>
      </c>
      <c r="E4186" t="str">
        <f>"ヤカゲ キョウド ビジュツカン コウザ"</f>
        <v>ヤカゲ キョウド ビジュツカン コウザ</v>
      </c>
      <c r="F4186" t="str">
        <f>"矢掛町(小田郡)"</f>
        <v>矢掛町(小田郡)</v>
      </c>
      <c r="G4186" t="str">
        <f>"頻度不明"</f>
        <v>頻度不明</v>
      </c>
      <c r="H4186" t="str">
        <f>"2002222325847"</f>
        <v>2002222325847</v>
      </c>
      <c r="I4186" t="str">
        <f>HYPERLINK("#", "https://opac.libnet.pref.okayama.jp/licsxp-opac/WOpacMsgNewListToTifTilDetailAction.do?tilcod=2002222325847")</f>
        <v>https://opac.libnet.pref.okayama.jp/licsxp-opac/WOpacMsgNewListToTifTilDetailAction.do?tilcod=2002222325847</v>
      </c>
    </row>
    <row r="4187" spans="1:9" x14ac:dyDescent="0.4">
      <c r="A4187" t="str">
        <f>"はっぴーわん；Ｈａｐｐｙ　Ｏｎｅ"</f>
        <v>はっぴーわん；Ｈａｐｐｙ　Ｏｎｅ</v>
      </c>
      <c r="B4187" s="1" t="str">
        <f t="shared" si="215"/>
        <v>はっぴーわん；Ｈａｐｐｙ　Ｏｎｅ</v>
      </c>
      <c r="C4187" t="str">
        <f>"ハッピー　ワン"</f>
        <v>ハッピー　ワン</v>
      </c>
      <c r="D4187" t="str">
        <f>"プラスワン出版社"</f>
        <v>プラスワン出版社</v>
      </c>
      <c r="E4187" t="str">
        <f>"プラスワンシュッパンシャ"</f>
        <v>プラスワンシュッパンシャ</v>
      </c>
      <c r="F4187" t="str">
        <f>"岡山"</f>
        <v>岡山</v>
      </c>
      <c r="G4187" t="str">
        <f>"月刊"</f>
        <v>月刊</v>
      </c>
      <c r="H4187" t="str">
        <f>"2002222293141"</f>
        <v>2002222293141</v>
      </c>
      <c r="I4187" t="str">
        <f>HYPERLINK("#", "https://opac.libnet.pref.okayama.jp/licsxp-opac/WOpacMsgNewListToTifTilDetailAction.do?tilcod=2002222293141")</f>
        <v>https://opac.libnet.pref.okayama.jp/licsxp-opac/WOpacMsgNewListToTifTilDetailAction.do?tilcod=2002222293141</v>
      </c>
    </row>
    <row r="4188" spans="1:9" x14ac:dyDescent="0.4">
      <c r="A4188" t="str">
        <f>"Happy Life(ハッピーライフ)通信"</f>
        <v>Happy Life(ハッピーライフ)通信</v>
      </c>
      <c r="B4188" s="1" t="str">
        <f t="shared" si="215"/>
        <v>Happy Life(ハッピーライフ)通信</v>
      </c>
      <c r="C4188" t="str">
        <f>"ハッピーライフ ツウシン"</f>
        <v>ハッピーライフ ツウシン</v>
      </c>
      <c r="D4188" t="str">
        <f>"ティーズ・コーポレーション"</f>
        <v>ティーズ・コーポレーション</v>
      </c>
      <c r="E4188" t="str">
        <f>"ティーズ コーポレーション"</f>
        <v>ティーズ コーポレーション</v>
      </c>
      <c r="F4188" t="str">
        <f>"[岡山]"</f>
        <v>[岡山]</v>
      </c>
      <c r="G4188" t="str">
        <f>"不定期刊"</f>
        <v>不定期刊</v>
      </c>
      <c r="H4188" t="str">
        <f>"2002222332328"</f>
        <v>2002222332328</v>
      </c>
      <c r="I4188" t="str">
        <f>HYPERLINK("#", "https://opac.libnet.pref.okayama.jp/licsxp-opac/WOpacMsgNewListToTifTilDetailAction.do?tilcod=2002222332328")</f>
        <v>https://opac.libnet.pref.okayama.jp/licsxp-opac/WOpacMsgNewListToTifTilDetailAction.do?tilcod=2002222332328</v>
      </c>
    </row>
    <row r="4189" spans="1:9" x14ac:dyDescent="0.4">
      <c r="A4189" t="str">
        <f>"発明おかやま"</f>
        <v>発明おかやま</v>
      </c>
      <c r="B4189" s="1" t="str">
        <f t="shared" si="215"/>
        <v>発明おかやま</v>
      </c>
      <c r="C4189" t="str">
        <f>"ハツメイ　オカヤマ"</f>
        <v>ハツメイ　オカヤマ</v>
      </c>
      <c r="D4189" t="str">
        <f>"岡山県発明協会"</f>
        <v>岡山県発明協会</v>
      </c>
      <c r="E4189" t="str">
        <f>"オカヤマケン ハツメイ キョウカイ"</f>
        <v>オカヤマケン ハツメイ キョウカイ</v>
      </c>
      <c r="F4189" t="str">
        <f t="shared" ref="F4189:F4195" si="217">"岡山"</f>
        <v>岡山</v>
      </c>
      <c r="G4189" t="str">
        <f>"月刊"</f>
        <v>月刊</v>
      </c>
      <c r="H4189" t="str">
        <f>"2002222302386"</f>
        <v>2002222302386</v>
      </c>
      <c r="I4189" t="str">
        <f>HYPERLINK("#", "https://opac.libnet.pref.okayama.jp/licsxp-opac/WOpacMsgNewListToTifTilDetailAction.do?tilcod=2002222302386")</f>
        <v>https://opac.libnet.pref.okayama.jp/licsxp-opac/WOpacMsgNewListToTifTilDetailAction.do?tilcod=2002222302386</v>
      </c>
    </row>
    <row r="4190" spans="1:9" x14ac:dyDescent="0.4">
      <c r="A4190" t="str">
        <f>"ぱど岡山版　"</f>
        <v>ぱど岡山版　</v>
      </c>
      <c r="B4190" s="1" t="str">
        <f t="shared" si="215"/>
        <v>ぱど岡山版　</v>
      </c>
      <c r="C4190" t="str">
        <f>"パド　オカヤマバン　"</f>
        <v>パド　オカヤマバン　</v>
      </c>
      <c r="D4190" t="str">
        <f>"ウェルスマイル"</f>
        <v>ウェルスマイル</v>
      </c>
      <c r="E4190" t="str">
        <f>"ウェルスマイル"</f>
        <v>ウェルスマイル</v>
      </c>
      <c r="F4190" t="str">
        <f t="shared" si="217"/>
        <v>岡山</v>
      </c>
      <c r="G4190" t="str">
        <f>"月刊"</f>
        <v>月刊</v>
      </c>
      <c r="H4190" t="str">
        <f>"2002222322266"</f>
        <v>2002222322266</v>
      </c>
      <c r="I4190" t="str">
        <f>HYPERLINK("#", "https://opac.libnet.pref.okayama.jp/licsxp-opac/WOpacMsgNewListToTifTilDetailAction.do?tilcod=2002222322266")</f>
        <v>https://opac.libnet.pref.okayama.jp/licsxp-opac/WOpacMsgNewListToTifTilDetailAction.do?tilcod=2002222322266</v>
      </c>
    </row>
    <row r="4191" spans="1:9" x14ac:dyDescent="0.4">
      <c r="A4191" t="str">
        <f>"ぱど岡山版　岡山北・倉敷エリア"</f>
        <v>ぱど岡山版　岡山北・倉敷エリア</v>
      </c>
      <c r="B4191" s="1" t="str">
        <f t="shared" si="215"/>
        <v>ぱど岡山版　岡山北・倉敷エリア</v>
      </c>
      <c r="C4191" t="str">
        <f>"パド　オカヤマバン　オカヤマ　キタ　クラシキ　エリア"</f>
        <v>パド　オカヤマバン　オカヤマ　キタ　クラシキ　エリア</v>
      </c>
      <c r="D4191" t="str">
        <f>"阪神ぱど岡山営業所"</f>
        <v>阪神ぱど岡山営業所</v>
      </c>
      <c r="E4191" t="str">
        <f>"ハンシンパドオカヤマエイギョウショ"</f>
        <v>ハンシンパドオカヤマエイギョウショ</v>
      </c>
      <c r="F4191" t="str">
        <f t="shared" si="217"/>
        <v>岡山</v>
      </c>
      <c r="G4191" t="str">
        <f>"月刊"</f>
        <v>月刊</v>
      </c>
      <c r="H4191" t="str">
        <f>"2002222300337"</f>
        <v>2002222300337</v>
      </c>
      <c r="I4191" t="str">
        <f>HYPERLINK("#", "https://opac.libnet.pref.okayama.jp/licsxp-opac/WOpacMsgNewListToTifTilDetailAction.do?tilcod=2002222300337")</f>
        <v>https://opac.libnet.pref.okayama.jp/licsxp-opac/WOpacMsgNewListToTifTilDetailAction.do?tilcod=2002222300337</v>
      </c>
    </row>
    <row r="4192" spans="1:9" x14ac:dyDescent="0.4">
      <c r="A4192" t="str">
        <f>"ぱど岡山版　岡山中央・北エリア"</f>
        <v>ぱど岡山版　岡山中央・北エリア</v>
      </c>
      <c r="B4192" s="1" t="str">
        <f t="shared" si="215"/>
        <v>ぱど岡山版　岡山中央・北エリア</v>
      </c>
      <c r="C4192" t="str">
        <f>"パド　オカヤマバン　オカヤマ　チュウオウ　キタ　エリア"</f>
        <v>パド　オカヤマバン　オカヤマ　チュウオウ　キタ　エリア</v>
      </c>
      <c r="D4192" t="str">
        <f>"ぱどメディアセンター"</f>
        <v>ぱどメディアセンター</v>
      </c>
      <c r="E4192" t="str">
        <f>"パドメディアセンター"</f>
        <v>パドメディアセンター</v>
      </c>
      <c r="F4192" t="str">
        <f t="shared" si="217"/>
        <v>岡山</v>
      </c>
      <c r="G4192" t="str">
        <f>"隔週刊"</f>
        <v>隔週刊</v>
      </c>
      <c r="H4192" t="str">
        <f>"2002222285761"</f>
        <v>2002222285761</v>
      </c>
      <c r="I4192" t="str">
        <f>HYPERLINK("#", "https://opac.libnet.pref.okayama.jp/licsxp-opac/WOpacMsgNewListToTifTilDetailAction.do?tilcod=2002222285761")</f>
        <v>https://opac.libnet.pref.okayama.jp/licsxp-opac/WOpacMsgNewListToTifTilDetailAction.do?tilcod=2002222285761</v>
      </c>
    </row>
    <row r="4193" spans="1:9" x14ac:dyDescent="0.4">
      <c r="A4193" t="str">
        <f>"ぱど岡山版　岡山東エリア"</f>
        <v>ぱど岡山版　岡山東エリア</v>
      </c>
      <c r="B4193" s="1" t="str">
        <f t="shared" si="215"/>
        <v>ぱど岡山版　岡山東エリア</v>
      </c>
      <c r="C4193" t="str">
        <f>"パド　オカヤマバン　オカヤマ　ヒガシ　エリア"</f>
        <v>パド　オカヤマバン　オカヤマ　ヒガシ　エリア</v>
      </c>
      <c r="D4193" t="str">
        <f>"阪神ぱど岡山営業所"</f>
        <v>阪神ぱど岡山営業所</v>
      </c>
      <c r="E4193" t="str">
        <f>"ハンシンパドオカヤマエイギョウショ"</f>
        <v>ハンシンパドオカヤマエイギョウショ</v>
      </c>
      <c r="F4193" t="str">
        <f t="shared" si="217"/>
        <v>岡山</v>
      </c>
      <c r="G4193" t="str">
        <f>"月刊"</f>
        <v>月刊</v>
      </c>
      <c r="H4193" t="str">
        <f>"2002222291581"</f>
        <v>2002222291581</v>
      </c>
      <c r="I4193" t="str">
        <f>HYPERLINK("#", "https://opac.libnet.pref.okayama.jp/licsxp-opac/WOpacMsgNewListToTifTilDetailAction.do?tilcod=2002222291581")</f>
        <v>https://opac.libnet.pref.okayama.jp/licsxp-opac/WOpacMsgNewListToTifTilDetailAction.do?tilcod=2002222291581</v>
      </c>
    </row>
    <row r="4194" spans="1:9" x14ac:dyDescent="0.4">
      <c r="A4194" t="str">
        <f>"ぱど岡山版　岡山西・南エリア"</f>
        <v>ぱど岡山版　岡山西・南エリア</v>
      </c>
      <c r="B4194" s="1" t="str">
        <f t="shared" si="215"/>
        <v>ぱど岡山版　岡山西・南エリア</v>
      </c>
      <c r="C4194" t="str">
        <f>"パド　オカヤマバン　オカヤマニシ　ミナミ　エリア"</f>
        <v>パド　オカヤマバン　オカヤマニシ　ミナミ　エリア</v>
      </c>
      <c r="D4194" t="str">
        <f>"阪神ぱど岡山営業所"</f>
        <v>阪神ぱど岡山営業所</v>
      </c>
      <c r="E4194" t="str">
        <f>"ハンシンパドオカヤマエイギョウショ"</f>
        <v>ハンシンパドオカヤマエイギョウショ</v>
      </c>
      <c r="F4194" t="str">
        <f t="shared" si="217"/>
        <v>岡山</v>
      </c>
      <c r="G4194" t="str">
        <f>"月刊"</f>
        <v>月刊</v>
      </c>
      <c r="H4194" t="str">
        <f>"2002222285771"</f>
        <v>2002222285771</v>
      </c>
      <c r="I4194" t="str">
        <f>HYPERLINK("#", "https://opac.libnet.pref.okayama.jp/licsxp-opac/WOpacMsgNewListToTifTilDetailAction.do?tilcod=2002222285771")</f>
        <v>https://opac.libnet.pref.okayama.jp/licsxp-opac/WOpacMsgNewListToTifTilDetailAction.do?tilcod=2002222285771</v>
      </c>
    </row>
    <row r="4195" spans="1:9" x14ac:dyDescent="0.4">
      <c r="A4195" t="str">
        <f>"波動"</f>
        <v>波動</v>
      </c>
      <c r="B4195" s="1" t="str">
        <f t="shared" si="215"/>
        <v>波動</v>
      </c>
      <c r="C4195" t="str">
        <f>"ハドウ"</f>
        <v>ハドウ</v>
      </c>
      <c r="D4195" t="str">
        <f>"鯉山文庫"</f>
        <v>鯉山文庫</v>
      </c>
      <c r="E4195" t="str">
        <f>"リザン ブンコ"</f>
        <v>リザン ブンコ</v>
      </c>
      <c r="F4195" t="str">
        <f t="shared" si="217"/>
        <v>岡山</v>
      </c>
      <c r="G4195" t="str">
        <f>"季刊"</f>
        <v>季刊</v>
      </c>
      <c r="H4195" t="str">
        <f>"2002222291591"</f>
        <v>2002222291591</v>
      </c>
      <c r="I4195" t="str">
        <f>HYPERLINK("#", "https://opac.libnet.pref.okayama.jp/licsxp-opac/WOpacMsgNewListToTifTilDetailAction.do?tilcod=2002222291591")</f>
        <v>https://opac.libnet.pref.okayama.jp/licsxp-opac/WOpacMsgNewListToTifTilDetailAction.do?tilcod=2002222291591</v>
      </c>
    </row>
    <row r="4196" spans="1:9" x14ac:dyDescent="0.4">
      <c r="A4196" t="str">
        <f>"花の土産"</f>
        <v>花の土産</v>
      </c>
      <c r="B4196" s="1" t="str">
        <f t="shared" si="215"/>
        <v>花の土産</v>
      </c>
      <c r="C4196" t="str">
        <f>"ハナ　ノ　ミヤゲ"</f>
        <v>ハナ　ノ　ミヤゲ</v>
      </c>
      <c r="D4196" t="str">
        <f>"能仁婦人会"</f>
        <v>能仁婦人会</v>
      </c>
      <c r="E4196" t="str">
        <f>"ノウジンフジンカイ"</f>
        <v>ノウジンフジンカイ</v>
      </c>
      <c r="F4196" t="str">
        <f>""</f>
        <v/>
      </c>
      <c r="G4196" t="str">
        <f>"頻度不明"</f>
        <v>頻度不明</v>
      </c>
      <c r="H4196" t="str">
        <f>"2002222289133"</f>
        <v>2002222289133</v>
      </c>
      <c r="I4196" t="str">
        <f>HYPERLINK("#", "https://opac.libnet.pref.okayama.jp/licsxp-opac/WOpacMsgNewListToTifTilDetailAction.do?tilcod=2002222289133")</f>
        <v>https://opac.libnet.pref.okayama.jp/licsxp-opac/WOpacMsgNewListToTifTilDetailAction.do?tilcod=2002222289133</v>
      </c>
    </row>
    <row r="4197" spans="1:9" x14ac:dyDescent="0.4">
      <c r="A4197" t="str">
        <f>"はなし×ちくば；チクバ外科広報誌"</f>
        <v>はなし×ちくば；チクバ外科広報誌</v>
      </c>
      <c r="B4197" s="1" t="str">
        <f t="shared" si="215"/>
        <v>はなし×ちくば；チクバ外科広報誌</v>
      </c>
      <c r="C4197" t="str">
        <f>"ハナシ カケル チクバ＊チクバ ゲカ コウホウシ"</f>
        <v>ハナシ カケル チクバ＊チクバ ゲカ コウホウシ</v>
      </c>
      <c r="D4197" t="str">
        <f>"チクバ外科・胃腸科・肛門科病院"</f>
        <v>チクバ外科・胃腸科・肛門科病院</v>
      </c>
      <c r="E4197" t="str">
        <f>"チクバ ゲカ イチョウカ コウモンカ ビョウイン"</f>
        <v>チクバ ゲカ イチョウカ コウモンカ ビョウイン</v>
      </c>
      <c r="F4197" t="str">
        <f>"倉敷"</f>
        <v>倉敷</v>
      </c>
      <c r="G4197" t="str">
        <f>"年２回刊"</f>
        <v>年２回刊</v>
      </c>
      <c r="H4197" t="str">
        <f>"2002222343650"</f>
        <v>2002222343650</v>
      </c>
      <c r="I4197" t="str">
        <f>HYPERLINK("#", "https://opac.libnet.pref.okayama.jp/licsxp-opac/WOpacMsgNewListToTifTilDetailAction.do?tilcod=2002222343650")</f>
        <v>https://opac.libnet.pref.okayama.jp/licsxp-opac/WOpacMsgNewListToTifTilDetailAction.do?tilcod=2002222343650</v>
      </c>
    </row>
    <row r="4198" spans="1:9" x14ac:dyDescent="0.4">
      <c r="A4198" t="str">
        <f>"はなぞの"</f>
        <v>はなぞの</v>
      </c>
      <c r="B4198" s="1" t="str">
        <f t="shared" si="215"/>
        <v>はなぞの</v>
      </c>
      <c r="C4198" t="str">
        <f>"ハナゾノ"</f>
        <v>ハナゾノ</v>
      </c>
      <c r="D4198" t="str">
        <f>"野馳婦人会"</f>
        <v>野馳婦人会</v>
      </c>
      <c r="E4198" t="str">
        <f>"ノチフジンカイ"</f>
        <v>ノチフジンカイ</v>
      </c>
      <c r="F4198" t="str">
        <f>""</f>
        <v/>
      </c>
      <c r="G4198" t="str">
        <f>"頻度不明"</f>
        <v>頻度不明</v>
      </c>
      <c r="H4198" t="str">
        <f>"2002222289113"</f>
        <v>2002222289113</v>
      </c>
      <c r="I4198" t="str">
        <f>HYPERLINK("#", "https://opac.libnet.pref.okayama.jp/licsxp-opac/WOpacMsgNewListToTifTilDetailAction.do?tilcod=2002222289113")</f>
        <v>https://opac.libnet.pref.okayama.jp/licsxp-opac/WOpacMsgNewListToTifTilDetailAction.do?tilcod=2002222289113</v>
      </c>
    </row>
    <row r="4199" spans="1:9" x14ac:dyDescent="0.4">
      <c r="A4199" t="str">
        <f>"縹（はなだ）"</f>
        <v>縹（はなだ）</v>
      </c>
      <c r="B4199" s="1" t="str">
        <f t="shared" si="215"/>
        <v>縹（はなだ）</v>
      </c>
      <c r="C4199" t="str">
        <f>"ハナダ"</f>
        <v>ハナダ</v>
      </c>
      <c r="D4199" t="str">
        <f>"縹俳句会"</f>
        <v>縹俳句会</v>
      </c>
      <c r="E4199" t="str">
        <f>"ハナダハイクカイ"</f>
        <v>ハナダハイクカイ</v>
      </c>
      <c r="F4199" t="str">
        <f>"岡山"</f>
        <v>岡山</v>
      </c>
      <c r="G4199" t="str">
        <f>"隔月刊"</f>
        <v>隔月刊</v>
      </c>
      <c r="H4199" t="str">
        <f>"2002222291471"</f>
        <v>2002222291471</v>
      </c>
      <c r="I4199" t="str">
        <f>HYPERLINK("#", "https://opac.libnet.pref.okayama.jp/licsxp-opac/WOpacMsgNewListToTifTilDetailAction.do?tilcod=2002222291471")</f>
        <v>https://opac.libnet.pref.okayama.jp/licsxp-opac/WOpacMsgNewListToTifTilDetailAction.do?tilcod=2002222291471</v>
      </c>
    </row>
    <row r="4200" spans="1:9" x14ac:dyDescent="0.4">
      <c r="A4200" t="str">
        <f>"花橘(花たちばな)"</f>
        <v>花橘(花たちばな)</v>
      </c>
      <c r="B4200" s="1" t="str">
        <f t="shared" si="215"/>
        <v>花橘(花たちばな)</v>
      </c>
      <c r="C4200" t="str">
        <f>"ハナタチバナ"</f>
        <v>ハナタチバナ</v>
      </c>
      <c r="D4200" t="str">
        <f>"岡山県岡山高等女学校"</f>
        <v>岡山県岡山高等女学校</v>
      </c>
      <c r="E4200" t="str">
        <f>"オカヤマ コウトウ ジョガッコウ"</f>
        <v>オカヤマ コウトウ ジョガッコウ</v>
      </c>
      <c r="F4200" t="str">
        <f>"岡山"</f>
        <v>岡山</v>
      </c>
      <c r="G4200" t="str">
        <f>"月刊"</f>
        <v>月刊</v>
      </c>
      <c r="H4200" t="str">
        <f>"2002222331414"</f>
        <v>2002222331414</v>
      </c>
      <c r="I4200" t="str">
        <f>HYPERLINK("#", "https://opac.libnet.pref.okayama.jp/licsxp-opac/WOpacMsgNewListToTifTilDetailAction.do?tilcod=2002222331414")</f>
        <v>https://opac.libnet.pref.okayama.jp/licsxp-opac/WOpacMsgNewListToTifTilDetailAction.do?tilcod=2002222331414</v>
      </c>
    </row>
    <row r="4201" spans="1:9" x14ac:dyDescent="0.4">
      <c r="A4201" t="str">
        <f>"花筵"</f>
        <v>花筵</v>
      </c>
      <c r="B4201" s="1" t="str">
        <f t="shared" si="215"/>
        <v>花筵</v>
      </c>
      <c r="C4201" t="str">
        <f>"ハナムシロ"</f>
        <v>ハナムシロ</v>
      </c>
      <c r="D4201" t="str">
        <f>"水島工業高等学校"</f>
        <v>水島工業高等学校</v>
      </c>
      <c r="E4201" t="str">
        <f>"ミズシマ コウギョウ コウトウ ガッコウ"</f>
        <v>ミズシマ コウギョウ コウトウ ガッコウ</v>
      </c>
      <c r="F4201" t="str">
        <f>"倉敷"</f>
        <v>倉敷</v>
      </c>
      <c r="G4201" t="str">
        <f>"年刊"</f>
        <v>年刊</v>
      </c>
      <c r="H4201" t="str">
        <f>"2002222284701"</f>
        <v>2002222284701</v>
      </c>
      <c r="I4201" t="str">
        <f>HYPERLINK("#", "https://opac.libnet.pref.okayama.jp/licsxp-opac/WOpacMsgNewListToTifTilDetailAction.do?tilcod=2002222284701")</f>
        <v>https://opac.libnet.pref.okayama.jp/licsxp-opac/WOpacMsgNewListToTifTilDetailAction.do?tilcod=2002222284701</v>
      </c>
    </row>
    <row r="4202" spans="1:9" x14ac:dyDescent="0.4">
      <c r="A4202" t="str">
        <f>"はなむしろ；水島工業高等学校ＰＴＡ新聞"</f>
        <v>はなむしろ；水島工業高等学校ＰＴＡ新聞</v>
      </c>
      <c r="B4202" s="1" t="str">
        <f t="shared" si="215"/>
        <v>はなむしろ；水島工業高等学校ＰＴＡ新聞</v>
      </c>
      <c r="C4202" t="str">
        <f>"ハナムシロ＊ミズシマ　コウギョウ　コウトウ　ガッコウ　ピーティーエー　シンブン"</f>
        <v>ハナムシロ＊ミズシマ　コウギョウ　コウトウ　ガッコウ　ピーティーエー　シンブン</v>
      </c>
      <c r="D4202" t="str">
        <f>"水島工業高等学校ＰＴＡ"</f>
        <v>水島工業高等学校ＰＴＡ</v>
      </c>
      <c r="E4202" t="str">
        <f>"ミズシマコウギョウコウトウガッコウピーティーエー"</f>
        <v>ミズシマコウギョウコウトウガッコウピーティーエー</v>
      </c>
      <c r="F4202" t="str">
        <f>"倉敷"</f>
        <v>倉敷</v>
      </c>
      <c r="G4202" t="str">
        <f>"年２回刊"</f>
        <v>年２回刊</v>
      </c>
      <c r="H4202" t="str">
        <f>"2002222301922"</f>
        <v>2002222301922</v>
      </c>
      <c r="I4202" t="str">
        <f>HYPERLINK("#", "https://opac.libnet.pref.okayama.jp/licsxp-opac/WOpacMsgNewListToTifTilDetailAction.do?tilcod=2002222301922")</f>
        <v>https://opac.libnet.pref.okayama.jp/licsxp-opac/WOpacMsgNewListToTifTilDetailAction.do?tilcod=2002222301922</v>
      </c>
    </row>
    <row r="4203" spans="1:9" x14ac:dyDescent="0.4">
      <c r="A4203" t="str">
        <f>"母親クラブ くらしき"</f>
        <v>母親クラブ くらしき</v>
      </c>
      <c r="B4203" s="1" t="str">
        <f t="shared" si="215"/>
        <v>母親クラブ くらしき</v>
      </c>
      <c r="C4203" t="str">
        <f>"ハハオヤ クラブ クラシキ"</f>
        <v>ハハオヤ クラブ クラシキ</v>
      </c>
      <c r="D4203" t="str">
        <f>"倉敷市母親クラブ連絡協議会"</f>
        <v>倉敷市母親クラブ連絡協議会</v>
      </c>
      <c r="E4203" t="str">
        <f>"クラシキシ ハハオヤクラブ レンラク キョウギカイ"</f>
        <v>クラシキシ ハハオヤクラブ レンラク キョウギカイ</v>
      </c>
      <c r="F4203" t="str">
        <f>"倉敷"</f>
        <v>倉敷</v>
      </c>
      <c r="G4203" t="str">
        <f>"年刊"</f>
        <v>年刊</v>
      </c>
      <c r="H4203" t="str">
        <f>"2002222338371"</f>
        <v>2002222338371</v>
      </c>
      <c r="I4203" t="str">
        <f>HYPERLINK("#", "https://opac.libnet.pref.okayama.jp/licsxp-opac/WOpacMsgNewListToTifTilDetailAction.do?tilcod=2002222338371")</f>
        <v>https://opac.libnet.pref.okayama.jp/licsxp-opac/WOpacMsgNewListToTifTilDetailAction.do?tilcod=2002222338371</v>
      </c>
    </row>
    <row r="4204" spans="1:9" x14ac:dyDescent="0.4">
      <c r="A4204" t="str">
        <f>"はばたき"</f>
        <v>はばたき</v>
      </c>
      <c r="B4204" s="1" t="str">
        <f t="shared" si="215"/>
        <v>はばたき</v>
      </c>
      <c r="C4204" t="str">
        <f>"ハバタキ"</f>
        <v>ハバタキ</v>
      </c>
      <c r="D4204" t="str">
        <f>"西大寺町子ども会"</f>
        <v>西大寺町子ども会</v>
      </c>
      <c r="E4204" t="str">
        <f>"サイダイジチョウコドモカイ"</f>
        <v>サイダイジチョウコドモカイ</v>
      </c>
      <c r="F4204" t="str">
        <f>""</f>
        <v/>
      </c>
      <c r="G4204" t="str">
        <f>"頻度不明"</f>
        <v>頻度不明</v>
      </c>
      <c r="H4204" t="str">
        <f>"2002222289143"</f>
        <v>2002222289143</v>
      </c>
      <c r="I4204" t="str">
        <f>HYPERLINK("#", "https://opac.libnet.pref.okayama.jp/licsxp-opac/WOpacMsgNewListToTifTilDetailAction.do?tilcod=2002222289143")</f>
        <v>https://opac.libnet.pref.okayama.jp/licsxp-opac/WOpacMsgNewListToTifTilDetailAction.do?tilcod=2002222289143</v>
      </c>
    </row>
    <row r="4205" spans="1:9" x14ac:dyDescent="0.4">
      <c r="A4205" t="str">
        <f>"パピルス；岡山大学算数・数学教育学会誌"</f>
        <v>パピルス；岡山大学算数・数学教育学会誌</v>
      </c>
      <c r="B4205" s="1" t="str">
        <f t="shared" si="215"/>
        <v>パピルス；岡山大学算数・数学教育学会誌</v>
      </c>
      <c r="C4205" t="str">
        <f>"パピルス＊オカヤマ　ダイガク　サンスウ　スウガク　キョウイク　ガッカイシ"</f>
        <v>パピルス＊オカヤマ　ダイガク　サンスウ　スウガク　キョウイク　ガッカイシ</v>
      </c>
      <c r="D4205" t="str">
        <f>"岡山大学算数・数学教育学会"</f>
        <v>岡山大学算数・数学教育学会</v>
      </c>
      <c r="E4205" t="str">
        <f>"オカヤマダイガクサンスウスウガクキョウイクガッカイ"</f>
        <v>オカヤマダイガクサンスウスウガクキョウイクガッカイ</v>
      </c>
      <c r="F4205" t="str">
        <f>"岡山"</f>
        <v>岡山</v>
      </c>
      <c r="G4205" t="str">
        <f>"年刊"</f>
        <v>年刊</v>
      </c>
      <c r="H4205" t="str">
        <f>"2002222301056"</f>
        <v>2002222301056</v>
      </c>
      <c r="I4205" t="str">
        <f>HYPERLINK("#", "https://opac.libnet.pref.okayama.jp/licsxp-opac/WOpacMsgNewListToTifTilDetailAction.do?tilcod=2002222301056")</f>
        <v>https://opac.libnet.pref.okayama.jp/licsxp-opac/WOpacMsgNewListToTifTilDetailAction.do?tilcod=2002222301056</v>
      </c>
    </row>
    <row r="4206" spans="1:9" x14ac:dyDescent="0.4">
      <c r="A4206" t="str">
        <f>"パブリック・ヘルス"</f>
        <v>パブリック・ヘルス</v>
      </c>
      <c r="B4206" s="1" t="str">
        <f t="shared" si="215"/>
        <v>パブリック・ヘルス</v>
      </c>
      <c r="C4206" t="str">
        <f>"パブリック　ヘルス"</f>
        <v>パブリック　ヘルス</v>
      </c>
      <c r="D4206" t="str">
        <f>"岡山県衛生部"</f>
        <v>岡山県衛生部</v>
      </c>
      <c r="E4206" t="str">
        <f>"オカヤマケン エイセイブ"</f>
        <v>オカヤマケン エイセイブ</v>
      </c>
      <c r="F4206" t="str">
        <f>""</f>
        <v/>
      </c>
      <c r="G4206" t="str">
        <f>"頻度不明"</f>
        <v>頻度不明</v>
      </c>
      <c r="H4206" t="str">
        <f>"2002222289153"</f>
        <v>2002222289153</v>
      </c>
      <c r="I4206" t="str">
        <f>HYPERLINK("#", "https://opac.libnet.pref.okayama.jp/licsxp-opac/WOpacMsgNewListToTifTilDetailAction.do?tilcod=2002222289153")</f>
        <v>https://opac.libnet.pref.okayama.jp/licsxp-opac/WOpacMsgNewListToTifTilDetailAction.do?tilcod=2002222289153</v>
      </c>
    </row>
    <row r="4207" spans="1:9" x14ac:dyDescent="0.4">
      <c r="A4207" t="str">
        <f>"林じゅん読者ニュース"</f>
        <v>林じゅん読者ニュース</v>
      </c>
      <c r="B4207" s="1" t="str">
        <f t="shared" si="215"/>
        <v>林じゅん読者ニュース</v>
      </c>
      <c r="C4207" t="str">
        <f>"ハヤシ　ジュン　ドクシャ　ニュース"</f>
        <v>ハヤシ　ジュン　ドクシャ　ニュース</v>
      </c>
      <c r="D4207" t="str">
        <f>"〔出版者不明〕"</f>
        <v>〔出版者不明〕</v>
      </c>
      <c r="E4207" t="str">
        <f>"シュッパンシャフメイ"</f>
        <v>シュッパンシャフメイ</v>
      </c>
      <c r="F4207" t="str">
        <f>"岡山"</f>
        <v>岡山</v>
      </c>
      <c r="G4207" t="str">
        <f>"不定期刊"</f>
        <v>不定期刊</v>
      </c>
      <c r="H4207" t="str">
        <f>"2002222301899"</f>
        <v>2002222301899</v>
      </c>
      <c r="I4207" t="str">
        <f>HYPERLINK("#", "https://opac.libnet.pref.okayama.jp/licsxp-opac/WOpacMsgNewListToTifTilDetailAction.do?tilcod=2002222301899")</f>
        <v>https://opac.libnet.pref.okayama.jp/licsxp-opac/WOpacMsgNewListToTifTilDetailAction.do?tilcod=2002222301899</v>
      </c>
    </row>
    <row r="4208" spans="1:9" x14ac:dyDescent="0.4">
      <c r="A4208" t="str">
        <f>"林精神医学研究所報"</f>
        <v>林精神医学研究所報</v>
      </c>
      <c r="B4208" s="1" t="str">
        <f t="shared" si="215"/>
        <v>林精神医学研究所報</v>
      </c>
      <c r="C4208" t="str">
        <f>"ハヤシ　セイシン　イガク　ケンキュウジョ　ホウ"</f>
        <v>ハヤシ　セイシン　イガク　ケンキュウジョ　ホウ</v>
      </c>
      <c r="D4208" t="str">
        <f>"林精神医学研究所"</f>
        <v>林精神医学研究所</v>
      </c>
      <c r="E4208" t="str">
        <f>"ハヤシセイシンイガクケンキュウジョ"</f>
        <v>ハヤシセイシンイガクケンキュウジョ</v>
      </c>
      <c r="F4208" t="str">
        <f>""</f>
        <v/>
      </c>
      <c r="G4208" t="str">
        <f>"頻度不明"</f>
        <v>頻度不明</v>
      </c>
      <c r="H4208" t="str">
        <f>"2002222289163"</f>
        <v>2002222289163</v>
      </c>
      <c r="I4208" t="str">
        <f>HYPERLINK("#", "https://opac.libnet.pref.okayama.jp/licsxp-opac/WOpacMsgNewListToTifTilDetailAction.do?tilcod=2002222289163")</f>
        <v>https://opac.libnet.pref.okayama.jp/licsxp-opac/WOpacMsgNewListToTifTilDetailAction.do?tilcod=2002222289163</v>
      </c>
    </row>
    <row r="4209" spans="1:9" x14ac:dyDescent="0.4">
      <c r="A4209" t="str">
        <f>"はやしだより"</f>
        <v>はやしだより</v>
      </c>
      <c r="B4209" s="1" t="str">
        <f t="shared" si="215"/>
        <v>はやしだより</v>
      </c>
      <c r="C4209" t="str">
        <f>"ハヤシ ダヨリ"</f>
        <v>ハヤシ ダヨリ</v>
      </c>
      <c r="D4209" t="str">
        <f>"林精神医学研究所附属林道倫精神科神経科病院"</f>
        <v>林精神医学研究所附属林道倫精神科神経科病院</v>
      </c>
      <c r="E4209" t="str">
        <f>"ハヤシ セイシン イガク ケンキュウショ フゾク ハヤシ ドウリン セイシンカ シンケイカ ビョウイン"</f>
        <v>ハヤシ セイシン イガク ケンキュウショ フゾク ハヤシ ドウリン セイシンカ シンケイカ ビョウイン</v>
      </c>
      <c r="F4209" t="str">
        <f>"岡山"</f>
        <v>岡山</v>
      </c>
      <c r="G4209" t="str">
        <f>"年２回刊"</f>
        <v>年２回刊</v>
      </c>
      <c r="H4209" t="str">
        <f>"2002222339971"</f>
        <v>2002222339971</v>
      </c>
      <c r="I4209" t="str">
        <f>HYPERLINK("#", "https://opac.libnet.pref.okayama.jp/licsxp-opac/WOpacMsgNewListToTifTilDetailAction.do?tilcod=2002222339971")</f>
        <v>https://opac.libnet.pref.okayama.jp/licsxp-opac/WOpacMsgNewListToTifTilDetailAction.do?tilcod=2002222339971</v>
      </c>
    </row>
    <row r="4210" spans="1:9" x14ac:dyDescent="0.4">
      <c r="A4210" t="str">
        <f>"林野高校だより"</f>
        <v>林野高校だより</v>
      </c>
      <c r="B4210" s="1" t="str">
        <f t="shared" si="215"/>
        <v>林野高校だより</v>
      </c>
      <c r="C4210" t="str">
        <f>"ハヤシノ　コウコウ　ダヨリ"</f>
        <v>ハヤシノ　コウコウ　ダヨリ</v>
      </c>
      <c r="D4210" t="str">
        <f>"林野高等学校"</f>
        <v>林野高等学校</v>
      </c>
      <c r="E4210" t="str">
        <f>"ハヤシノ コウトウ ガッコウ"</f>
        <v>ハヤシノ コウトウ ガッコウ</v>
      </c>
      <c r="F4210" t="str">
        <f>"美作"</f>
        <v>美作</v>
      </c>
      <c r="G4210" t="str">
        <f>"隔月刊"</f>
        <v>隔月刊</v>
      </c>
      <c r="H4210" t="str">
        <f>"2002222301167"</f>
        <v>2002222301167</v>
      </c>
      <c r="I4210" t="str">
        <f>HYPERLINK("#", "https://opac.libnet.pref.okayama.jp/licsxp-opac/WOpacMsgNewListToTifTilDetailAction.do?tilcod=2002222301167")</f>
        <v>https://opac.libnet.pref.okayama.jp/licsxp-opac/WOpacMsgNewListToTifTilDetailAction.do?tilcod=2002222301167</v>
      </c>
    </row>
    <row r="4211" spans="1:9" x14ac:dyDescent="0.4">
      <c r="A4211" t="str">
        <f>"林野高校図書館報"</f>
        <v>林野高校図書館報</v>
      </c>
      <c r="B4211" s="1" t="str">
        <f t="shared" si="215"/>
        <v>林野高校図書館報</v>
      </c>
      <c r="C4211" t="str">
        <f>"ハヤシノ　コウコウ　トショカンポウ"</f>
        <v>ハヤシノ　コウコウ　トショカンポウ</v>
      </c>
      <c r="D4211" t="str">
        <f>"林野高等学校図書委員会"</f>
        <v>林野高等学校図書委員会</v>
      </c>
      <c r="E4211" t="str">
        <f>"ハヤシノコウトウガッコウトショイインカイ"</f>
        <v>ハヤシノコウトウガッコウトショイインカイ</v>
      </c>
      <c r="F4211" t="str">
        <f>"美作"</f>
        <v>美作</v>
      </c>
      <c r="G4211" t="str">
        <f>"年刊"</f>
        <v>年刊</v>
      </c>
      <c r="H4211" t="str">
        <f>"2002222301781"</f>
        <v>2002222301781</v>
      </c>
      <c r="I4211" t="str">
        <f>HYPERLINK("#", "https://opac.libnet.pref.okayama.jp/licsxp-opac/WOpacMsgNewListToTifTilDetailAction.do?tilcod=2002222301781")</f>
        <v>https://opac.libnet.pref.okayama.jp/licsxp-opac/WOpacMsgNewListToTifTilDetailAction.do?tilcod=2002222301781</v>
      </c>
    </row>
    <row r="4212" spans="1:9" x14ac:dyDescent="0.4">
      <c r="A4212" t="str">
        <f>"〔林野高等学校〕学園"</f>
        <v>〔林野高等学校〕学園</v>
      </c>
      <c r="B4212" s="1" t="str">
        <f t="shared" si="215"/>
        <v>〔林野高等学校〕学園</v>
      </c>
      <c r="C4212" t="str">
        <f>"ハヤシノ　コウトウ　ガッコウ　ガクエン"</f>
        <v>ハヤシノ　コウトウ　ガッコウ　ガクエン</v>
      </c>
      <c r="D4212" t="str">
        <f>"林野高等学校新聞部"</f>
        <v>林野高等学校新聞部</v>
      </c>
      <c r="E4212" t="str">
        <f>"ハヤシノ コウトウ ガッコウ シンブンブ"</f>
        <v>ハヤシノ コウトウ ガッコウ シンブンブ</v>
      </c>
      <c r="F4212" t="str">
        <f>"津山"</f>
        <v>津山</v>
      </c>
      <c r="G4212" t="str">
        <f>"頻度不明"</f>
        <v>頻度不明</v>
      </c>
      <c r="H4212" t="str">
        <f>"2002222300711"</f>
        <v>2002222300711</v>
      </c>
      <c r="I4212" t="str">
        <f>HYPERLINK("#", "https://opac.libnet.pref.okayama.jp/licsxp-opac/WOpacMsgNewListToTifTilDetailAction.do?tilcod=2002222300711")</f>
        <v>https://opac.libnet.pref.okayama.jp/licsxp-opac/WOpacMsgNewListToTifTilDetailAction.do?tilcod=2002222300711</v>
      </c>
    </row>
    <row r="4213" spans="1:9" x14ac:dyDescent="0.4">
      <c r="A4213" t="str">
        <f>"林野高等学校学校案内"</f>
        <v>林野高等学校学校案内</v>
      </c>
      <c r="B4213" s="1" t="str">
        <f t="shared" si="215"/>
        <v>林野高等学校学校案内</v>
      </c>
      <c r="C4213" t="str">
        <f>"ハヤシノ　コウトウ　ガッコウ　ガッコウ　アンナイ"</f>
        <v>ハヤシノ　コウトウ　ガッコウ　ガッコウ　アンナイ</v>
      </c>
      <c r="D4213" t="str">
        <f>"林野高等学校"</f>
        <v>林野高等学校</v>
      </c>
      <c r="E4213" t="str">
        <f>"ハヤシノ コウトウ ガッコウ"</f>
        <v>ハヤシノ コウトウ ガッコウ</v>
      </c>
      <c r="F4213" t="str">
        <f>"美作町（英田郡）"</f>
        <v>美作町（英田郡）</v>
      </c>
      <c r="G4213" t="str">
        <f>"年刊"</f>
        <v>年刊</v>
      </c>
      <c r="H4213" t="str">
        <f>"2002222301292"</f>
        <v>2002222301292</v>
      </c>
      <c r="I4213" t="str">
        <f>HYPERLINK("#", "https://opac.libnet.pref.okayama.jp/licsxp-opac/WOpacMsgNewListToTifTilDetailAction.do?tilcod=2002222301292")</f>
        <v>https://opac.libnet.pref.okayama.jp/licsxp-opac/WOpacMsgNewListToTifTilDetailAction.do?tilcod=2002222301292</v>
      </c>
    </row>
    <row r="4214" spans="1:9" x14ac:dyDescent="0.4">
      <c r="A4214" t="str">
        <f>"林野高等学校学校要覧"</f>
        <v>林野高等学校学校要覧</v>
      </c>
      <c r="B4214" s="1" t="str">
        <f t="shared" si="215"/>
        <v>林野高等学校学校要覧</v>
      </c>
      <c r="C4214" t="str">
        <f>"ハヤシノ　コウトウ　ガッコウ　ガッコウ　ヨウラン"</f>
        <v>ハヤシノ　コウトウ　ガッコウ　ガッコウ　ヨウラン</v>
      </c>
      <c r="D4214" t="str">
        <f>"林野高等学校"</f>
        <v>林野高等学校</v>
      </c>
      <c r="E4214" t="str">
        <f>"ハヤシノ コウトウ ガッコウ"</f>
        <v>ハヤシノ コウトウ ガッコウ</v>
      </c>
      <c r="F4214" t="str">
        <f>"美作"</f>
        <v>美作</v>
      </c>
      <c r="G4214" t="str">
        <f>"年刊"</f>
        <v>年刊</v>
      </c>
      <c r="H4214" t="str">
        <f>"2002222300549"</f>
        <v>2002222300549</v>
      </c>
      <c r="I4214" t="str">
        <f>HYPERLINK("#", "https://opac.libnet.pref.okayama.jp/licsxp-opac/WOpacMsgNewListToTifTilDetailAction.do?tilcod=2002222300549")</f>
        <v>https://opac.libnet.pref.okayama.jp/licsxp-opac/WOpacMsgNewListToTifTilDetailAction.do?tilcod=2002222300549</v>
      </c>
    </row>
    <row r="4215" spans="1:9" x14ac:dyDescent="0.4">
      <c r="A4215" t="str">
        <f>"〔林野高等学校〕　マイ・ドリーム・プロジェクト"</f>
        <v>〔林野高等学校〕　マイ・ドリーム・プロジェクト</v>
      </c>
      <c r="B4215" s="1" t="str">
        <f t="shared" si="215"/>
        <v>〔林野高等学校〕　マイ・ドリーム・プロジェクト</v>
      </c>
      <c r="C4215" t="str">
        <f>"ハヤシノ　コウトウ　ガッコウ　マイ　ドリーム　プロジェクト"</f>
        <v>ハヤシノ　コウトウ　ガッコウ　マイ　ドリーム　プロジェクト</v>
      </c>
      <c r="D4215" t="str">
        <f>"林野高等学校"</f>
        <v>林野高等学校</v>
      </c>
      <c r="E4215" t="str">
        <f>"ハヤシノ コウトウ ガッコウ"</f>
        <v>ハヤシノ コウトウ ガッコウ</v>
      </c>
      <c r="F4215" t="str">
        <f>"美作"</f>
        <v>美作</v>
      </c>
      <c r="G4215" t="str">
        <f>"年刊"</f>
        <v>年刊</v>
      </c>
      <c r="H4215" t="str">
        <f>"2002222301478"</f>
        <v>2002222301478</v>
      </c>
      <c r="I4215" t="str">
        <f>HYPERLINK("#", "https://opac.libnet.pref.okayama.jp/licsxp-opac/WOpacMsgNewListToTifTilDetailAction.do?tilcod=2002222301478")</f>
        <v>https://opac.libnet.pref.okayama.jp/licsxp-opac/WOpacMsgNewListToTifTilDetailAction.do?tilcod=2002222301478</v>
      </c>
    </row>
    <row r="4216" spans="1:9" x14ac:dyDescent="0.4">
      <c r="A4216" t="str">
        <f>"〔林野高等学校〕紀要"</f>
        <v>〔林野高等学校〕紀要</v>
      </c>
      <c r="B4216" s="1" t="str">
        <f t="shared" si="215"/>
        <v>〔林野高等学校〕紀要</v>
      </c>
      <c r="C4216" t="str">
        <f>"ハヤシノ　コウトウ　ガッコウ＊キヨウ"</f>
        <v>ハヤシノ　コウトウ　ガッコウ＊キヨウ</v>
      </c>
      <c r="D4216" t="str">
        <f>"林野高等学校"</f>
        <v>林野高等学校</v>
      </c>
      <c r="E4216" t="str">
        <f>"ハヤシノ コウトウ ガッコウ"</f>
        <v>ハヤシノ コウトウ ガッコウ</v>
      </c>
      <c r="F4216" t="str">
        <f>"美作町（英田郡）"</f>
        <v>美作町（英田郡）</v>
      </c>
      <c r="G4216" t="str">
        <f>"年刊"</f>
        <v>年刊</v>
      </c>
      <c r="H4216" t="str">
        <f>"2002222280301"</f>
        <v>2002222280301</v>
      </c>
      <c r="I4216" t="str">
        <f>HYPERLINK("#", "https://opac.libnet.pref.okayama.jp/licsxp-opac/WOpacMsgNewListToTifTilDetailAction.do?tilcod=2002222280301")</f>
        <v>https://opac.libnet.pref.okayama.jp/licsxp-opac/WOpacMsgNewListToTifTilDetailAction.do?tilcod=2002222280301</v>
      </c>
    </row>
    <row r="4217" spans="1:9" x14ac:dyDescent="0.4">
      <c r="A4217" t="str">
        <f>"林野風交集"</f>
        <v>林野風交集</v>
      </c>
      <c r="B4217" s="1" t="str">
        <f t="shared" si="215"/>
        <v>林野風交集</v>
      </c>
      <c r="C4217" t="str">
        <f>"ハヤシノ　フウコウ　シュウ"</f>
        <v>ハヤシノ　フウコウ　シュウ</v>
      </c>
      <c r="D4217" t="str">
        <f>"林野風交会"</f>
        <v>林野風交会</v>
      </c>
      <c r="E4217" t="str">
        <f>"ハヤシノフウコウカイ"</f>
        <v>ハヤシノフウコウカイ</v>
      </c>
      <c r="F4217" t="str">
        <f>""</f>
        <v/>
      </c>
      <c r="G4217" t="str">
        <f>"頻度不明"</f>
        <v>頻度不明</v>
      </c>
      <c r="H4217" t="str">
        <f>"2002222289173"</f>
        <v>2002222289173</v>
      </c>
      <c r="I4217" t="str">
        <f>HYPERLINK("#", "https://opac.libnet.pref.okayama.jp/licsxp-opac/WOpacMsgNewListToTifTilDetailAction.do?tilcod=2002222289173")</f>
        <v>https://opac.libnet.pref.okayama.jp/licsxp-opac/WOpacMsgNewListToTifTilDetailAction.do?tilcod=2002222289173</v>
      </c>
    </row>
    <row r="4218" spans="1:9" x14ac:dyDescent="0.4">
      <c r="A4218" t="str">
        <f>"ＨＡＹＡＳＨＩＢＡＲＡ（はやしばら）"</f>
        <v>ＨＡＹＡＳＨＩＢＡＲＡ（はやしばら）</v>
      </c>
      <c r="B4218" s="1" t="str">
        <f t="shared" si="215"/>
        <v>ＨＡＹＡＳＨＩＢＡＲＡ（はやしばら）</v>
      </c>
      <c r="C4218" t="str">
        <f>"ハヤシバラ"</f>
        <v>ハヤシバラ</v>
      </c>
      <c r="D4218" t="str">
        <f>"林原広報企画グループ"</f>
        <v>林原広報企画グループ</v>
      </c>
      <c r="E4218" t="str">
        <f>"ハヤシバラコウホウキカクグループ"</f>
        <v>ハヤシバラコウホウキカクグループ</v>
      </c>
      <c r="F4218" t="str">
        <f>"岡山"</f>
        <v>岡山</v>
      </c>
      <c r="G4218" t="str">
        <f>"季刊"</f>
        <v>季刊</v>
      </c>
      <c r="H4218" t="str">
        <f>"2002222281631"</f>
        <v>2002222281631</v>
      </c>
      <c r="I4218" t="str">
        <f>HYPERLINK("#", "https://opac.libnet.pref.okayama.jp/licsxp-opac/WOpacMsgNewListToTifTilDetailAction.do?tilcod=2002222281631")</f>
        <v>https://opac.libnet.pref.okayama.jp/licsxp-opac/WOpacMsgNewListToTifTilDetailAction.do?tilcod=2002222281631</v>
      </c>
    </row>
    <row r="4219" spans="1:9" x14ac:dyDescent="0.4">
      <c r="A4219" t="str">
        <f>"林原美術館ＮＥＷＳ（林原美術館ニュース）；ＨＡＹＡＳＨＩＢＡＲＡ　ＭＵＳＥＵＭ　ＯＦ　ＡＲＴ　ＮＥＷＳ（ハヤシバラミュージアムオブアートニュース）"</f>
        <v>林原美術館ＮＥＷＳ（林原美術館ニュース）；ＨＡＹＡＳＨＩＢＡＲＡ　ＭＵＳＥＵＭ　ＯＦ　ＡＲＴ　ＮＥＷＳ（ハヤシバラミュージアムオブアートニュース）</v>
      </c>
      <c r="B4219" s="1" t="str">
        <f t="shared" si="215"/>
        <v>林原美術館ＮＥＷＳ（林原美術館ニュース）；ＨＡＹＡＳＨＩＢＡＲＡ　ＭＵＳＥＵＭ　ＯＦ　ＡＲＴ　ＮＥＷＳ（ハヤシバラミュージアムオブアートニュース）</v>
      </c>
      <c r="C4219" t="str">
        <f>"ハヤシバラ　ビジュツカン　ニュース＊ハヤシバラ　ミュージアム　オブ　アート　ニュース"</f>
        <v>ハヤシバラ　ビジュツカン　ニュース＊ハヤシバラ　ミュージアム　オブ　アート　ニュース</v>
      </c>
      <c r="D4219" t="str">
        <f>"林原美術館"</f>
        <v>林原美術館</v>
      </c>
      <c r="E4219" t="str">
        <f>"ハヤシバラ ビジュツカン"</f>
        <v>ハヤシバラ ビジュツカン</v>
      </c>
      <c r="F4219" t="str">
        <f>"岡山"</f>
        <v>岡山</v>
      </c>
      <c r="G4219" t="str">
        <f>"年２回刊"</f>
        <v>年２回刊</v>
      </c>
      <c r="H4219" t="str">
        <f>"2002222300195"</f>
        <v>2002222300195</v>
      </c>
      <c r="I4219" t="str">
        <f>HYPERLINK("#", "https://opac.libnet.pref.okayama.jp/licsxp-opac/WOpacMsgNewListToTifTilDetailAction.do?tilcod=2002222300195")</f>
        <v>https://opac.libnet.pref.okayama.jp/licsxp-opac/WOpacMsgNewListToTifTilDetailAction.do?tilcod=2002222300195</v>
      </c>
    </row>
    <row r="4220" spans="1:9" x14ac:dyDescent="0.4">
      <c r="A4220" t="str">
        <f>"早島支援学校学校案内"</f>
        <v>早島支援学校学校案内</v>
      </c>
      <c r="B4220" s="1" t="str">
        <f t="shared" si="215"/>
        <v>早島支援学校学校案内</v>
      </c>
      <c r="C4220" t="str">
        <f>"ハヤシマ　シエン　ガッコウ　ガッコウ　アンナイ"</f>
        <v>ハヤシマ　シエン　ガッコウ　ガッコウ　アンナイ</v>
      </c>
      <c r="D4220" t="str">
        <f>"早島支援学校"</f>
        <v>早島支援学校</v>
      </c>
      <c r="E4220" t="str">
        <f>"ハヤシマ シエン ガッコウ"</f>
        <v>ハヤシマ シエン ガッコウ</v>
      </c>
      <c r="F4220" t="str">
        <f>"早島町（都窪郡）"</f>
        <v>早島町（都窪郡）</v>
      </c>
      <c r="G4220" t="str">
        <f>"年刊"</f>
        <v>年刊</v>
      </c>
      <c r="H4220" t="str">
        <f>"2002222311847"</f>
        <v>2002222311847</v>
      </c>
      <c r="I4220" t="str">
        <f>HYPERLINK("#", "https://opac.libnet.pref.okayama.jp/licsxp-opac/WOpacMsgNewListToTifTilDetailAction.do?tilcod=2002222311847")</f>
        <v>https://opac.libnet.pref.okayama.jp/licsxp-opac/WOpacMsgNewListToTifTilDetailAction.do?tilcod=2002222311847</v>
      </c>
    </row>
    <row r="4221" spans="1:9" x14ac:dyDescent="0.4">
      <c r="A4221" t="str">
        <f>"早島支援学校学校要覧"</f>
        <v>早島支援学校学校要覧</v>
      </c>
      <c r="B4221" s="1" t="str">
        <f t="shared" si="215"/>
        <v>早島支援学校学校要覧</v>
      </c>
      <c r="C4221" t="str">
        <f>"ハヤシマ シエン ガッコウ ガッコウ ヨウラン"</f>
        <v>ハヤシマ シエン ガッコウ ガッコウ ヨウラン</v>
      </c>
      <c r="D4221" t="str">
        <f>"早島支援学校"</f>
        <v>早島支援学校</v>
      </c>
      <c r="E4221" t="str">
        <f>"ハヤシマ シエン ガッコウ"</f>
        <v>ハヤシマ シエン ガッコウ</v>
      </c>
      <c r="F4221" t="str">
        <f>"早島町(都窪郡)"</f>
        <v>早島町(都窪郡)</v>
      </c>
      <c r="G4221" t="str">
        <f>"年刊"</f>
        <v>年刊</v>
      </c>
      <c r="H4221" t="str">
        <f>"2002222311910"</f>
        <v>2002222311910</v>
      </c>
      <c r="I4221" t="str">
        <f>HYPERLINK("#", "https://opac.libnet.pref.okayama.jp/licsxp-opac/WOpacMsgNewListToTifTilDetailAction.do?tilcod=2002222311910")</f>
        <v>https://opac.libnet.pref.okayama.jp/licsxp-opac/WOpacMsgNewListToTifTilDetailAction.do?tilcod=2002222311910</v>
      </c>
    </row>
    <row r="4222" spans="1:9" x14ac:dyDescent="0.4">
      <c r="A4222" t="str">
        <f>"早島養護学校学校案内"</f>
        <v>早島養護学校学校案内</v>
      </c>
      <c r="B4222" s="1" t="str">
        <f t="shared" si="215"/>
        <v>早島養護学校学校案内</v>
      </c>
      <c r="C4222" t="str">
        <f>"ハヤシマ　ヨウゴ　ガッコウ　ガッコウ　アンナイ"</f>
        <v>ハヤシマ　ヨウゴ　ガッコウ　ガッコウ　アンナイ</v>
      </c>
      <c r="D4222" t="str">
        <f>"早島養護学校"</f>
        <v>早島養護学校</v>
      </c>
      <c r="E4222" t="str">
        <f>"ハヤシマヨウゴガッコウ"</f>
        <v>ハヤシマヨウゴガッコウ</v>
      </c>
      <c r="F4222" t="str">
        <f>"早島町（都窪郡）"</f>
        <v>早島町（都窪郡）</v>
      </c>
      <c r="G4222" t="str">
        <f>"年刊"</f>
        <v>年刊</v>
      </c>
      <c r="H4222" t="str">
        <f>"2002222301121"</f>
        <v>2002222301121</v>
      </c>
      <c r="I4222" t="str">
        <f>HYPERLINK("#", "https://opac.libnet.pref.okayama.jp/licsxp-opac/WOpacMsgNewListToTifTilDetailAction.do?tilcod=2002222301121")</f>
        <v>https://opac.libnet.pref.okayama.jp/licsxp-opac/WOpacMsgNewListToTifTilDetailAction.do?tilcod=2002222301121</v>
      </c>
    </row>
    <row r="4223" spans="1:9" x14ac:dyDescent="0.4">
      <c r="A4223" t="str">
        <f>"早島養護学校学校要覧"</f>
        <v>早島養護学校学校要覧</v>
      </c>
      <c r="B4223" s="1" t="str">
        <f t="shared" si="215"/>
        <v>早島養護学校学校要覧</v>
      </c>
      <c r="C4223" t="str">
        <f>"ハヤシマ　ヨウゴ　ガッコウ　ガッコウ　ヨウラン"</f>
        <v>ハヤシマ　ヨウゴ　ガッコウ　ガッコウ　ヨウラン</v>
      </c>
      <c r="D4223" t="str">
        <f>"早島養護学校"</f>
        <v>早島養護学校</v>
      </c>
      <c r="E4223" t="str">
        <f>"ハヤシマヨウゴガッコウ"</f>
        <v>ハヤシマヨウゴガッコウ</v>
      </c>
      <c r="F4223" t="str">
        <f>"早島町（都窪郡）"</f>
        <v>早島町（都窪郡）</v>
      </c>
      <c r="G4223" t="str">
        <f>"年刊"</f>
        <v>年刊</v>
      </c>
      <c r="H4223" t="str">
        <f>"2002222301116"</f>
        <v>2002222301116</v>
      </c>
      <c r="I4223" t="str">
        <f>HYPERLINK("#", "https://opac.libnet.pref.okayama.jp/licsxp-opac/WOpacMsgNewListToTifTilDetailAction.do?tilcod=2002222301116")</f>
        <v>https://opac.libnet.pref.okayama.jp/licsxp-opac/WOpacMsgNewListToTifTilDetailAction.do?tilcod=2002222301116</v>
      </c>
    </row>
    <row r="4224" spans="1:9" x14ac:dyDescent="0.4">
      <c r="A4224" t="str">
        <f>"早島町議会だより"</f>
        <v>早島町議会だより</v>
      </c>
      <c r="B4224" s="1" t="str">
        <f t="shared" si="215"/>
        <v>早島町議会だより</v>
      </c>
      <c r="C4224" t="str">
        <f>"ハヤシマチヨウ　ギカイ　ダヨリ"</f>
        <v>ハヤシマチヨウ　ギカイ　ダヨリ</v>
      </c>
      <c r="D4224" t="str">
        <f>"早島町議会"</f>
        <v>早島町議会</v>
      </c>
      <c r="E4224" t="str">
        <f>"ハヤシマチョウギカイ"</f>
        <v>ハヤシマチョウギカイ</v>
      </c>
      <c r="F4224" t="str">
        <f>"早島町（都窪郡）"</f>
        <v>早島町（都窪郡）</v>
      </c>
      <c r="G4224" t="str">
        <f>"不定期刊"</f>
        <v>不定期刊</v>
      </c>
      <c r="H4224" t="str">
        <f>"2002222281714"</f>
        <v>2002222281714</v>
      </c>
      <c r="I4224" t="str">
        <f>HYPERLINK("#", "https://opac.libnet.pref.okayama.jp/licsxp-opac/WOpacMsgNewListToTifTilDetailAction.do?tilcod=2002222281714")</f>
        <v>https://opac.libnet.pref.okayama.jp/licsxp-opac/WOpacMsgNewListToTifTilDetailAction.do?tilcod=2002222281714</v>
      </c>
    </row>
    <row r="4225" spans="1:9" x14ac:dyDescent="0.4">
      <c r="A4225" t="str">
        <f>"早島町議会だより"</f>
        <v>早島町議会だより</v>
      </c>
      <c r="B4225" s="1" t="str">
        <f t="shared" si="215"/>
        <v>早島町議会だより</v>
      </c>
      <c r="C4225" t="str">
        <f>"ハヤシマチヨウ　ギカイ　ダヨリ"</f>
        <v>ハヤシマチヨウ　ギカイ　ダヨリ</v>
      </c>
      <c r="D4225" t="str">
        <f>"早島町議会広報委員会"</f>
        <v>早島町議会広報委員会</v>
      </c>
      <c r="E4225" t="str">
        <f>"ハヤシマチヨウギカイコウホウイインカイ"</f>
        <v>ハヤシマチヨウギカイコウホウイインカイ</v>
      </c>
      <c r="F4225" t="str">
        <f>"都窪郡早島町"</f>
        <v>都窪郡早島町</v>
      </c>
      <c r="G4225" t="str">
        <f>"その他"</f>
        <v>その他</v>
      </c>
      <c r="H4225" t="str">
        <f>"2002222293821"</f>
        <v>2002222293821</v>
      </c>
      <c r="I4225" t="str">
        <f>HYPERLINK("#", "https://opac.libnet.pref.okayama.jp/licsxp-opac/WOpacMsgNewListToTifTilDetailAction.do?tilcod=2002222293821")</f>
        <v>https://opac.libnet.pref.okayama.jp/licsxp-opac/WOpacMsgNewListToTifTilDetailAction.do?tilcod=2002222293821</v>
      </c>
    </row>
    <row r="4226" spans="1:9" x14ac:dyDescent="0.4">
      <c r="A4226" t="str">
        <f>"早島町健康づくり推進委員協議会だより"</f>
        <v>早島町健康づくり推進委員協議会だより</v>
      </c>
      <c r="B4226" s="1" t="str">
        <f t="shared" si="215"/>
        <v>早島町健康づくり推進委員協議会だより</v>
      </c>
      <c r="C4226" t="str">
        <f>"ハヤシマチョウ　ケンコウ　ズクリ　スイシン　イイン　キョウイギカイ　ダヨリ"</f>
        <v>ハヤシマチョウ　ケンコウ　ズクリ　スイシン　イイン　キョウイギカイ　ダヨリ</v>
      </c>
      <c r="D4226" t="str">
        <f>"早島町健康づくり推進委員協議会"</f>
        <v>早島町健康づくり推進委員協議会</v>
      </c>
      <c r="E4226" t="str">
        <f>"ハヤシマチョウケンコウズクリスイシンイインキョウギカイ"</f>
        <v>ハヤシマチョウケンコウズクリスイシンイインキョウギカイ</v>
      </c>
      <c r="F4226" t="str">
        <f>"早島町（都窪郡）"</f>
        <v>早島町（都窪郡）</v>
      </c>
      <c r="G4226" t="str">
        <f>"頻度不明"</f>
        <v>頻度不明</v>
      </c>
      <c r="H4226" t="str">
        <f>"2002222301949"</f>
        <v>2002222301949</v>
      </c>
      <c r="I4226" t="str">
        <f>HYPERLINK("#", "https://opac.libnet.pref.okayama.jp/licsxp-opac/WOpacMsgNewListToTifTilDetailAction.do?tilcod=2002222301949")</f>
        <v>https://opac.libnet.pref.okayama.jp/licsxp-opac/WOpacMsgNewListToTifTilDetailAction.do?tilcod=2002222301949</v>
      </c>
    </row>
    <row r="4227" spans="1:9" x14ac:dyDescent="0.4">
      <c r="A4227" t="str">
        <f>"バラ会報"</f>
        <v>バラ会報</v>
      </c>
      <c r="B4227" s="1" t="str">
        <f t="shared" si="215"/>
        <v>バラ会報</v>
      </c>
      <c r="C4227" t="str">
        <f>"バラ　カイホウ"</f>
        <v>バラ　カイホウ</v>
      </c>
      <c r="D4227" t="str">
        <f>"岡山バラ会"</f>
        <v>岡山バラ会</v>
      </c>
      <c r="E4227" t="str">
        <f>"オカヤマバラカイ"</f>
        <v>オカヤマバラカイ</v>
      </c>
      <c r="F4227" t="str">
        <f>""</f>
        <v/>
      </c>
      <c r="G4227" t="str">
        <f>"頻度不明"</f>
        <v>頻度不明</v>
      </c>
      <c r="H4227" t="str">
        <f>"2002222289183"</f>
        <v>2002222289183</v>
      </c>
      <c r="I4227" t="str">
        <f>HYPERLINK("#", "https://opac.libnet.pref.okayama.jp/licsxp-opac/WOpacMsgNewListToTifTilDetailAction.do?tilcod=2002222289183")</f>
        <v>https://opac.libnet.pref.okayama.jp/licsxp-opac/WOpacMsgNewListToTifTilDetailAction.do?tilcod=2002222289183</v>
      </c>
    </row>
    <row r="4228" spans="1:9" x14ac:dyDescent="0.4">
      <c r="A4228" t="str">
        <f>"薔薇通信"</f>
        <v>薔薇通信</v>
      </c>
      <c r="B4228" s="1" t="str">
        <f t="shared" ref="B4228:B4291" si="218">HYPERLINK("#", A4228)</f>
        <v>薔薇通信</v>
      </c>
      <c r="C4228" t="str">
        <f>"バラ　ツウシン"</f>
        <v>バラ　ツウシン</v>
      </c>
      <c r="D4228" t="str">
        <f>"岡山薔薇通信派"</f>
        <v>岡山薔薇通信派</v>
      </c>
      <c r="E4228" t="str">
        <f>"オカヤマバラツウシンハ"</f>
        <v>オカヤマバラツウシンハ</v>
      </c>
      <c r="F4228" t="str">
        <f>"岡山"</f>
        <v>岡山</v>
      </c>
      <c r="G4228" t="str">
        <f>"隔月刊"</f>
        <v>隔月刊</v>
      </c>
      <c r="H4228" t="str">
        <f>"2002222300959"</f>
        <v>2002222300959</v>
      </c>
      <c r="I4228" t="str">
        <f>HYPERLINK("#", "https://opac.libnet.pref.okayama.jp/licsxp-opac/WOpacMsgNewListToTifTilDetailAction.do?tilcod=2002222300959")</f>
        <v>https://opac.libnet.pref.okayama.jp/licsxp-opac/WOpacMsgNewListToTifTilDetailAction.do?tilcod=2002222300959</v>
      </c>
    </row>
    <row r="4229" spans="1:9" x14ac:dyDescent="0.4">
      <c r="A4229" t="str">
        <f>"パリアン通信"</f>
        <v>パリアン通信</v>
      </c>
      <c r="B4229" s="1" t="str">
        <f t="shared" si="218"/>
        <v>パリアン通信</v>
      </c>
      <c r="C4229" t="str">
        <f>"パリアン　ツウシン"</f>
        <v>パリアン　ツウシン</v>
      </c>
      <c r="D4229" t="str">
        <f>"岡山県信連推進部「パリアンサークル」事務局"</f>
        <v>岡山県信連推進部「パリアンサークル」事務局</v>
      </c>
      <c r="E4229" t="str">
        <f>"オカヤマケンシンレンスイシンブパリアンサークルジムキョク"</f>
        <v>オカヤマケンシンレンスイシンブパリアンサークルジムキョク</v>
      </c>
      <c r="F4229" t="str">
        <f>"岡山"</f>
        <v>岡山</v>
      </c>
      <c r="G4229" t="str">
        <f>"季刊"</f>
        <v>季刊</v>
      </c>
      <c r="H4229" t="str">
        <f>"2002222293151"</f>
        <v>2002222293151</v>
      </c>
      <c r="I4229" t="str">
        <f>HYPERLINK("#", "https://opac.libnet.pref.okayama.jp/licsxp-opac/WOpacMsgNewListToTifTilDetailAction.do?tilcod=2002222293151")</f>
        <v>https://opac.libnet.pref.okayama.jp/licsxp-opac/WOpacMsgNewListToTifTilDetailAction.do?tilcod=2002222293151</v>
      </c>
    </row>
    <row r="4230" spans="1:9" x14ac:dyDescent="0.4">
      <c r="A4230" t="str">
        <f>"Palier(パリエ)"</f>
        <v>Palier(パリエ)</v>
      </c>
      <c r="B4230" s="1" t="str">
        <f t="shared" si="218"/>
        <v>Palier(パリエ)</v>
      </c>
      <c r="C4230" t="str">
        <f>"パリエ"</f>
        <v>パリエ</v>
      </c>
      <c r="D4230" t="str">
        <f>"株式会社４６舎"</f>
        <v>株式会社４６舎</v>
      </c>
      <c r="E4230" t="str">
        <f>"カブシキ　ガイシャ　ヨンロク　シャ"</f>
        <v>カブシキ　ガイシャ　ヨンロク　シャ</v>
      </c>
      <c r="F4230" t="str">
        <f>"岡山"</f>
        <v>岡山</v>
      </c>
      <c r="G4230" t="str">
        <f>"季刊"</f>
        <v>季刊</v>
      </c>
      <c r="H4230" t="str">
        <f>"2002222328227"</f>
        <v>2002222328227</v>
      </c>
      <c r="I4230" t="str">
        <f>HYPERLINK("#", "https://opac.libnet.pref.okayama.jp/licsxp-opac/WOpacMsgNewListToTifTilDetailAction.do?tilcod=2002222328227")</f>
        <v>https://opac.libnet.pref.okayama.jp/licsxp-opac/WOpacMsgNewListToTifTilDetailAction.do?tilcod=2002222328227</v>
      </c>
    </row>
    <row r="4231" spans="1:9" x14ac:dyDescent="0.4">
      <c r="A4231" t="str">
        <f>"HARMONIA"</f>
        <v>HARMONIA</v>
      </c>
      <c r="B4231" s="1" t="str">
        <f t="shared" si="218"/>
        <v>HARMONIA</v>
      </c>
      <c r="C4231" t="str">
        <f>"ハルモニア"</f>
        <v>ハルモニア</v>
      </c>
      <c r="D4231" t="str">
        <f>"[岡山大学グリークラブ]"</f>
        <v>[岡山大学グリークラブ]</v>
      </c>
      <c r="E4231" t="str">
        <f>"オカヤマ ダイガク グリー クラブ"</f>
        <v>オカヤマ ダイガク グリー クラブ</v>
      </c>
      <c r="F4231" t="str">
        <f>"[岡山]"</f>
        <v>[岡山]</v>
      </c>
      <c r="G4231" t="str">
        <f>"日刊"</f>
        <v>日刊</v>
      </c>
      <c r="H4231" t="str">
        <f>"2002222331939"</f>
        <v>2002222331939</v>
      </c>
      <c r="I4231" t="str">
        <f>HYPERLINK("#", "https://opac.libnet.pref.okayama.jp/licsxp-opac/WOpacMsgNewListToTifTilDetailAction.do?tilcod=2002222331939")</f>
        <v>https://opac.libnet.pref.okayama.jp/licsxp-opac/WOpacMsgNewListToTifTilDetailAction.do?tilcod=2002222331939</v>
      </c>
    </row>
    <row r="4232" spans="1:9" x14ac:dyDescent="0.4">
      <c r="A4232" t="str">
        <f>"はれナビ岡山　ｂｙ　ｍａｇａｚｉｎｅ（バイマガジン）"</f>
        <v>はれナビ岡山　ｂｙ　ｍａｇａｚｉｎｅ（バイマガジン）</v>
      </c>
      <c r="B4232" s="1" t="str">
        <f t="shared" si="218"/>
        <v>はれナビ岡山　ｂｙ　ｍａｇａｚｉｎｅ（バイマガジン）</v>
      </c>
      <c r="C4232" t="str">
        <f>"ハレ　ナビ　オカヤマ　バイ　マガジン"</f>
        <v>ハレ　ナビ　オカヤマ　バイ　マガジン</v>
      </c>
      <c r="D4232" t="str">
        <f>"メディアワークス"</f>
        <v>メディアワークス</v>
      </c>
      <c r="E4232" t="str">
        <f>"メディアワークス"</f>
        <v>メディアワークス</v>
      </c>
      <c r="F4232" t="str">
        <f t="shared" ref="F4232:F4241" si="219">"岡山"</f>
        <v>岡山</v>
      </c>
      <c r="G4232" t="str">
        <f>"季刊"</f>
        <v>季刊</v>
      </c>
      <c r="H4232" t="str">
        <f>"2002222302069"</f>
        <v>2002222302069</v>
      </c>
      <c r="I4232" t="str">
        <f>HYPERLINK("#", "https://opac.libnet.pref.okayama.jp/licsxp-opac/WOpacMsgNewListToTifTilDetailAction.do?tilcod=2002222302069")</f>
        <v>https://opac.libnet.pref.okayama.jp/licsxp-opac/WOpacMsgNewListToTifTilDetailAction.do?tilcod=2002222302069</v>
      </c>
    </row>
    <row r="4233" spans="1:9" x14ac:dyDescent="0.4">
      <c r="A4233" t="str">
        <f>"晴れの国おかやま国体"</f>
        <v>晴れの国おかやま国体</v>
      </c>
      <c r="B4233" s="1" t="str">
        <f t="shared" si="218"/>
        <v>晴れの国おかやま国体</v>
      </c>
      <c r="C4233" t="str">
        <f>"ハレ　ノ　クニ　オカヤマ　コクタイ"</f>
        <v>ハレ　ノ　クニ　オカヤマ　コクタイ</v>
      </c>
      <c r="D4233" t="str">
        <f>"第60回国民体育大会岡山県準備委員会"</f>
        <v>第60回国民体育大会岡山県準備委員会</v>
      </c>
      <c r="E4233" t="str">
        <f>"ダイロクジッカイ コクミン タイイク タイカイ オカヤマケン ジュンビ イインカイ"</f>
        <v>ダイロクジッカイ コクミン タイイク タイカイ オカヤマケン ジュンビ イインカイ</v>
      </c>
      <c r="F4233" t="str">
        <f t="shared" si="219"/>
        <v>岡山</v>
      </c>
      <c r="G4233" t="str">
        <f>"頻度不明"</f>
        <v>頻度不明</v>
      </c>
      <c r="H4233" t="str">
        <f>"2002222283241"</f>
        <v>2002222283241</v>
      </c>
      <c r="I4233" t="str">
        <f>HYPERLINK("#", "https://opac.libnet.pref.okayama.jp/licsxp-opac/WOpacMsgNewListToTifTilDetailAction.do?tilcod=2002222283241")</f>
        <v>https://opac.libnet.pref.okayama.jp/licsxp-opac/WOpacMsgNewListToTifTilDetailAction.do?tilcod=2002222283241</v>
      </c>
    </row>
    <row r="4234" spans="1:9" x14ac:dyDescent="0.4">
      <c r="A4234" t="s">
        <v>2</v>
      </c>
      <c r="B4234" s="1" t="str">
        <f t="shared" si="218"/>
        <v>="晴れの国岡山"宝くじだより"""</v>
      </c>
      <c r="C4234" t="str">
        <f>"ハレ ノ クニ オカヤマ タカラクジ ダヨリ"</f>
        <v>ハレ ノ クニ オカヤマ タカラクジ ダヨリ</v>
      </c>
      <c r="D4234" t="str">
        <f>"岡山県総務部財政課"</f>
        <v>岡山県総務部財政課</v>
      </c>
      <c r="E4234" t="str">
        <f>"オカヤマケン ソウムブ ザイセイカ"</f>
        <v>オカヤマケン ソウムブ ザイセイカ</v>
      </c>
      <c r="F4234" t="str">
        <f t="shared" si="219"/>
        <v>岡山</v>
      </c>
      <c r="G4234" t="str">
        <f>"季刊"</f>
        <v>季刊</v>
      </c>
      <c r="H4234" t="str">
        <f>"2002222316708"</f>
        <v>2002222316708</v>
      </c>
      <c r="I4234" t="str">
        <f>HYPERLINK("#", "https://opac.libnet.pref.okayama.jp/licsxp-opac/WOpacMsgNewListToTifTilDetailAction.do?tilcod=2002222316708")</f>
        <v>https://opac.libnet.pref.okayama.jp/licsxp-opac/WOpacMsgNewListToTifTilDetailAction.do?tilcod=2002222316708</v>
      </c>
    </row>
    <row r="4235" spans="1:9" x14ac:dyDescent="0.4">
      <c r="A4235" t="str">
        <f>"晴れの国おかやま；岡山県広報紙"</f>
        <v>晴れの国おかやま；岡山県広報紙</v>
      </c>
      <c r="B4235" s="1" t="str">
        <f t="shared" si="218"/>
        <v>晴れの国おかやま；岡山県広報紙</v>
      </c>
      <c r="C4235" t="str">
        <f>"ハレ　ノ　クニ　オカヤマ＊オカヤマケン　コウホウシ"</f>
        <v>ハレ　ノ　クニ　オカヤマ＊オカヤマケン　コウホウシ</v>
      </c>
      <c r="D4235" t="str">
        <f>"岡山県総合政策局公聴広報課"</f>
        <v>岡山県総合政策局公聴広報課</v>
      </c>
      <c r="E4235" t="str">
        <f>"オカヤマケン ソウゴウ セイサクキョク コウチョウ コウホウカ"</f>
        <v>オカヤマケン ソウゴウ セイサクキョク コウチョウ コウホウカ</v>
      </c>
      <c r="F4235" t="str">
        <f t="shared" si="219"/>
        <v>岡山</v>
      </c>
      <c r="G4235" t="str">
        <f>"隔月刊"</f>
        <v>隔月刊</v>
      </c>
      <c r="H4235" t="str">
        <f>"2002222301049"</f>
        <v>2002222301049</v>
      </c>
      <c r="I4235" t="str">
        <f>HYPERLINK("#", "https://opac.libnet.pref.okayama.jp/licsxp-opac/WOpacMsgNewListToTifTilDetailAction.do?tilcod=2002222301049")</f>
        <v>https://opac.libnet.pref.okayama.jp/licsxp-opac/WOpacMsgNewListToTifTilDetailAction.do?tilcod=2002222301049</v>
      </c>
    </row>
    <row r="4236" spans="1:9" x14ac:dyDescent="0.4">
      <c r="A4236" t="str">
        <f>"晴れの国ジャーナル"</f>
        <v>晴れの国ジャーナル</v>
      </c>
      <c r="B4236" s="1" t="str">
        <f t="shared" si="218"/>
        <v>晴れの国ジャーナル</v>
      </c>
      <c r="C4236" t="str">
        <f>"ハレ　ノ　クニ　ジャーナル"</f>
        <v>ハレ　ノ　クニ　ジャーナル</v>
      </c>
      <c r="D4236" t="str">
        <f>"岡山県知事室広聴広報課"</f>
        <v>岡山県知事室広聴広報課</v>
      </c>
      <c r="E4236" t="str">
        <f>"オカヤマケン チジシツ コウチョウ コウホウカ"</f>
        <v>オカヤマケン チジシツ コウチョウ コウホウカ</v>
      </c>
      <c r="F4236" t="str">
        <f t="shared" si="219"/>
        <v>岡山</v>
      </c>
      <c r="G4236" t="str">
        <f>"隔月刊"</f>
        <v>隔月刊</v>
      </c>
      <c r="H4236" t="str">
        <f>"2002222282961"</f>
        <v>2002222282961</v>
      </c>
      <c r="I4236" t="str">
        <f>HYPERLINK("#", "https://opac.libnet.pref.okayama.jp/licsxp-opac/WOpacMsgNewListToTifTilDetailAction.do?tilcod=2002222282961")</f>
        <v>https://opac.libnet.pref.okayama.jp/licsxp-opac/WOpacMsgNewListToTifTilDetailAction.do?tilcod=2002222282961</v>
      </c>
    </row>
    <row r="4237" spans="1:9" x14ac:dyDescent="0.4">
      <c r="A4237" t="str">
        <f>"晴れの国ミニレター"</f>
        <v>晴れの国ミニレター</v>
      </c>
      <c r="B4237" s="1" t="str">
        <f t="shared" si="218"/>
        <v>晴れの国ミニレター</v>
      </c>
      <c r="C4237" t="str">
        <f>"ハレ　ノ　クニ　ミニ　レター"</f>
        <v>ハレ　ノ　クニ　ミニ　レター</v>
      </c>
      <c r="D4237" t="str">
        <f>"岡山食糧事務所"</f>
        <v>岡山食糧事務所</v>
      </c>
      <c r="E4237" t="str">
        <f>"オカヤマ ショクリョウ ジムショ"</f>
        <v>オカヤマ ショクリョウ ジムショ</v>
      </c>
      <c r="F4237" t="str">
        <f t="shared" si="219"/>
        <v>岡山</v>
      </c>
      <c r="G4237" t="str">
        <f>"月２回刊"</f>
        <v>月２回刊</v>
      </c>
      <c r="H4237" t="str">
        <f>"2002222293561"</f>
        <v>2002222293561</v>
      </c>
      <c r="I4237" t="str">
        <f>HYPERLINK("#", "https://opac.libnet.pref.okayama.jp/licsxp-opac/WOpacMsgNewListToTifTilDetailAction.do?tilcod=2002222293561")</f>
        <v>https://opac.libnet.pref.okayama.jp/licsxp-opac/WOpacMsgNewListToTifTilDetailAction.do?tilcod=2002222293561</v>
      </c>
    </row>
    <row r="4238" spans="1:9" x14ac:dyDescent="0.4">
      <c r="A4238" t="str">
        <f>"晴れのみち"</f>
        <v>晴れのみち</v>
      </c>
      <c r="B4238" s="1" t="str">
        <f t="shared" si="218"/>
        <v>晴れのみち</v>
      </c>
      <c r="C4238" t="str">
        <f>"ハレ　ノ　ミチ"</f>
        <v>ハレ　ノ　ミチ</v>
      </c>
      <c r="D4238" t="str">
        <f>"建設省中国地方建設局岡山国道工事事務所"</f>
        <v>建設省中国地方建設局岡山国道工事事務所</v>
      </c>
      <c r="E4238" t="str">
        <f>"ケンセツショウチュウゴクチホウケンセツキョクオカヤマコクドウコウジジムショ"</f>
        <v>ケンセツショウチュウゴクチホウケンセツキョクオカヤマコクドウコウジジムショ</v>
      </c>
      <c r="F4238" t="str">
        <f t="shared" si="219"/>
        <v>岡山</v>
      </c>
      <c r="G4238" t="str">
        <f>"季刊"</f>
        <v>季刊</v>
      </c>
      <c r="H4238" t="str">
        <f>"2002222283081"</f>
        <v>2002222283081</v>
      </c>
      <c r="I4238" t="str">
        <f>HYPERLINK("#", "https://opac.libnet.pref.okayama.jp/licsxp-opac/WOpacMsgNewListToTifTilDetailAction.do?tilcod=2002222283081")</f>
        <v>https://opac.libnet.pref.okayama.jp/licsxp-opac/WOpacMsgNewListToTifTilDetailAction.do?tilcod=2002222283081</v>
      </c>
    </row>
    <row r="4239" spans="1:9" x14ac:dyDescent="0.4">
      <c r="A4239" t="str">
        <f>"晴れのみち"</f>
        <v>晴れのみち</v>
      </c>
      <c r="B4239" s="1" t="str">
        <f t="shared" si="218"/>
        <v>晴れのみち</v>
      </c>
      <c r="C4239" t="str">
        <f>"ハレ　ノ　ミチ"</f>
        <v>ハレ　ノ　ミチ</v>
      </c>
      <c r="D4239" t="str">
        <f>"国土交通省岡山国道事務所"</f>
        <v>国土交通省岡山国道事務所</v>
      </c>
      <c r="E4239" t="str">
        <f>"コクドコウツウショウオカヤマコクドウジムショ"</f>
        <v>コクドコウツウショウオカヤマコクドウジムショ</v>
      </c>
      <c r="F4239" t="str">
        <f t="shared" si="219"/>
        <v>岡山</v>
      </c>
      <c r="G4239" t="str">
        <f>"季刊"</f>
        <v>季刊</v>
      </c>
      <c r="H4239" t="str">
        <f>"2002222301486"</f>
        <v>2002222301486</v>
      </c>
      <c r="I4239" t="str">
        <f>HYPERLINK("#", "https://opac.libnet.pref.okayama.jp/licsxp-opac/WOpacMsgNewListToTifTilDetailAction.do?tilcod=2002222301486")</f>
        <v>https://opac.libnet.pref.okayama.jp/licsxp-opac/WOpacMsgNewListToTifTilDetailAction.do?tilcod=2002222301486</v>
      </c>
    </row>
    <row r="4240" spans="1:9" x14ac:dyDescent="0.4">
      <c r="A4240" t="str">
        <f>"晴れのみち；かわら版"</f>
        <v>晴れのみち；かわら版</v>
      </c>
      <c r="B4240" s="1" t="str">
        <f t="shared" si="218"/>
        <v>晴れのみち；かわら版</v>
      </c>
      <c r="C4240" t="str">
        <f>"ハレ　ノ　ミチ＊カワラ　バン"</f>
        <v>ハレ　ノ　ミチ＊カワラ　バン</v>
      </c>
      <c r="D4240" t="str">
        <f>"国土交通省岡山国道事務所"</f>
        <v>国土交通省岡山国道事務所</v>
      </c>
      <c r="E4240" t="str">
        <f>"コクドコウツウショウオカヤマコクドウジムショ"</f>
        <v>コクドコウツウショウオカヤマコクドウジムショ</v>
      </c>
      <c r="F4240" t="str">
        <f t="shared" si="219"/>
        <v>岡山</v>
      </c>
      <c r="G4240" t="str">
        <f>"季刊"</f>
        <v>季刊</v>
      </c>
      <c r="H4240" t="str">
        <f>"2002222301297"</f>
        <v>2002222301297</v>
      </c>
      <c r="I4240" t="str">
        <f>HYPERLINK("#", "https://opac.libnet.pref.okayama.jp/licsxp-opac/WOpacMsgNewListToTifTilDetailAction.do?tilcod=2002222301297")</f>
        <v>https://opac.libnet.pref.okayama.jp/licsxp-opac/WOpacMsgNewListToTifTilDetailAction.do?tilcod=2002222301297</v>
      </c>
    </row>
    <row r="4241" spans="1:9" x14ac:dyDescent="0.4">
      <c r="A4241" t="str">
        <f>"Hare Press;FM岡山フリーペーパー"</f>
        <v>Hare Press;FM岡山フリーペーパー</v>
      </c>
      <c r="B4241" s="1" t="str">
        <f t="shared" si="218"/>
        <v>Hare Press;FM岡山フリーペーパー</v>
      </c>
      <c r="C4241" t="str">
        <f>"ハレ プレス*エフエム オカヤマ フリー ペーパー"</f>
        <v>ハレ プレス*エフエム オカヤマ フリー ペーパー</v>
      </c>
      <c r="D4241" t="str">
        <f>"岡山エフエム放送"</f>
        <v>岡山エフエム放送</v>
      </c>
      <c r="E4241" t="str">
        <f>"オカヤマ エフエム ホウソウ"</f>
        <v>オカヤマ エフエム ホウソウ</v>
      </c>
      <c r="F4241" t="str">
        <f t="shared" si="219"/>
        <v>岡山</v>
      </c>
      <c r="G4241" t="str">
        <f>"季刊"</f>
        <v>季刊</v>
      </c>
      <c r="H4241" t="str">
        <f>"2002222318646"</f>
        <v>2002222318646</v>
      </c>
      <c r="I4241" t="str">
        <f>HYPERLINK("#", "https://opac.libnet.pref.okayama.jp/licsxp-opac/WOpacMsgNewListToTifTilDetailAction.do?tilcod=2002222318646")</f>
        <v>https://opac.libnet.pref.okayama.jp/licsxp-opac/WOpacMsgNewListToTifTilDetailAction.do?tilcod=2002222318646</v>
      </c>
    </row>
    <row r="4242" spans="1:9" x14ac:dyDescent="0.4">
      <c r="A4242" t="str">
        <f>"パレス"</f>
        <v>パレス</v>
      </c>
      <c r="B4242" s="1" t="str">
        <f t="shared" si="218"/>
        <v>パレス</v>
      </c>
      <c r="C4242" t="str">
        <f>"パレス"</f>
        <v>パレス</v>
      </c>
      <c r="D4242" t="str">
        <f>"詩の会パレス"</f>
        <v>詩の会パレス</v>
      </c>
      <c r="E4242" t="str">
        <f>"シ ノ カイ パレス"</f>
        <v>シ ノ カイ パレス</v>
      </c>
      <c r="F4242" t="str">
        <f>""</f>
        <v/>
      </c>
      <c r="G4242" t="str">
        <f>"頻度不明"</f>
        <v>頻度不明</v>
      </c>
      <c r="H4242" t="str">
        <f>"2002222289193"</f>
        <v>2002222289193</v>
      </c>
      <c r="I4242" t="str">
        <f>HYPERLINK("#", "https://opac.libnet.pref.okayama.jp/licsxp-opac/WOpacMsgNewListToTifTilDetailAction.do?tilcod=2002222289193")</f>
        <v>https://opac.libnet.pref.okayama.jp/licsxp-opac/WOpacMsgNewListToTifTilDetailAction.do?tilcod=2002222289193</v>
      </c>
    </row>
    <row r="4243" spans="1:9" x14ac:dyDescent="0.4">
      <c r="A4243" t="str">
        <f>"ぱれっと"</f>
        <v>ぱれっと</v>
      </c>
      <c r="B4243" s="1" t="str">
        <f t="shared" si="218"/>
        <v>ぱれっと</v>
      </c>
      <c r="C4243" t="str">
        <f>"パレット"</f>
        <v>パレット</v>
      </c>
      <c r="D4243" t="str">
        <f>"よしい子どもセンター"</f>
        <v>よしい子どもセンター</v>
      </c>
      <c r="E4243" t="str">
        <f>"ヨシイコドモセンター"</f>
        <v>ヨシイコドモセンター</v>
      </c>
      <c r="F4243" t="str">
        <f>"芳井町（後月郡）"</f>
        <v>芳井町（後月郡）</v>
      </c>
      <c r="G4243" t="str">
        <f>"頻度不明"</f>
        <v>頻度不明</v>
      </c>
      <c r="H4243" t="str">
        <f>"2002222285921"</f>
        <v>2002222285921</v>
      </c>
      <c r="I4243" t="str">
        <f>HYPERLINK("#", "https://opac.libnet.pref.okayama.jp/licsxp-opac/WOpacMsgNewListToTifTilDetailAction.do?tilcod=2002222285921")</f>
        <v>https://opac.libnet.pref.okayama.jp/licsxp-opac/WOpacMsgNewListToTifTilDetailAction.do?tilcod=2002222285921</v>
      </c>
    </row>
    <row r="4244" spans="1:9" x14ac:dyDescent="0.4">
      <c r="A4244" t="str">
        <f>"ぱれっと；ＪＡ岡山広報誌"</f>
        <v>ぱれっと；ＪＡ岡山広報誌</v>
      </c>
      <c r="B4244" s="1" t="str">
        <f t="shared" si="218"/>
        <v>ぱれっと；ＪＡ岡山広報誌</v>
      </c>
      <c r="C4244" t="str">
        <f>"パレット＊ジェーエー　オカヤマ　コウホウシ"</f>
        <v>パレット＊ジェーエー　オカヤマ　コウホウシ</v>
      </c>
      <c r="D4244" t="str">
        <f>"岡山市農業協同組合"</f>
        <v>岡山市農業協同組合</v>
      </c>
      <c r="E4244" t="str">
        <f>"オカヤマシ ノウギョウ キョウドウ クミアイ"</f>
        <v>オカヤマシ ノウギョウ キョウドウ クミアイ</v>
      </c>
      <c r="F4244" t="str">
        <f>"岡山"</f>
        <v>岡山</v>
      </c>
      <c r="G4244" t="str">
        <f>"月刊"</f>
        <v>月刊</v>
      </c>
      <c r="H4244" t="str">
        <f>"2002222302109"</f>
        <v>2002222302109</v>
      </c>
      <c r="I4244" t="str">
        <f>HYPERLINK("#", "https://opac.libnet.pref.okayama.jp/licsxp-opac/WOpacMsgNewListToTifTilDetailAction.do?tilcod=2002222302109")</f>
        <v>https://opac.libnet.pref.okayama.jp/licsxp-opac/WOpacMsgNewListToTifTilDetailAction.do?tilcod=2002222302109</v>
      </c>
    </row>
    <row r="4245" spans="1:9" x14ac:dyDescent="0.4">
      <c r="A4245" t="str">
        <f>"晴れの国スポーツニュース；Okayama Sport Association News"</f>
        <v>晴れの国スポーツニュース；Okayama Sport Association News</v>
      </c>
      <c r="B4245" s="1" t="str">
        <f t="shared" si="218"/>
        <v>晴れの国スポーツニュース；Okayama Sport Association News</v>
      </c>
      <c r="C4245" t="str">
        <f>"ハレノクニ スポーツ ニュース＊オカヤマ スポーツ アソシエィション ニュース"</f>
        <v>ハレノクニ スポーツ ニュース＊オカヤマ スポーツ アソシエィション ニュース</v>
      </c>
      <c r="D4245" t="str">
        <f>"岡山県スポーツ協会"</f>
        <v>岡山県スポーツ協会</v>
      </c>
      <c r="E4245" t="str">
        <f>"オカヤマケン スポーツ キョウカイ"</f>
        <v>オカヤマケン スポーツ キョウカイ</v>
      </c>
      <c r="F4245" t="str">
        <f>"岡山"</f>
        <v>岡山</v>
      </c>
      <c r="G4245" t="str">
        <f>"年刊"</f>
        <v>年刊</v>
      </c>
      <c r="H4245" t="str">
        <f>"2002222335706"</f>
        <v>2002222335706</v>
      </c>
      <c r="I4245" t="str">
        <f>HYPERLINK("#", "https://opac.libnet.pref.okayama.jp/licsxp-opac/WOpacMsgNewListToTifTilDetailAction.do?tilcod=2002222335706")</f>
        <v>https://opac.libnet.pref.okayama.jp/licsxp-opac/WOpacMsgNewListToTifTilDetailAction.do?tilcod=2002222335706</v>
      </c>
    </row>
    <row r="4246" spans="1:9" x14ac:dyDescent="0.4">
      <c r="A4246" t="str">
        <f>"ハレノワ通信 [WA]"</f>
        <v>ハレノワ通信 [WA]</v>
      </c>
      <c r="B4246" s="1" t="str">
        <f t="shared" si="218"/>
        <v>ハレノワ通信 [WA]</v>
      </c>
      <c r="C4246" t="str">
        <f>"ハレノワ ツウシン ワ"</f>
        <v>ハレノワ ツウシン ワ</v>
      </c>
      <c r="D4246" t="str">
        <f>"岡山文化芸術創造"</f>
        <v>岡山文化芸術創造</v>
      </c>
      <c r="E4246" t="str">
        <f>"オカヤマ ブンカ ゲイジュツ ソウゾウ"</f>
        <v>オカヤマ ブンカ ゲイジュツ ソウゾウ</v>
      </c>
      <c r="F4246" t="str">
        <f>"岡山"</f>
        <v>岡山</v>
      </c>
      <c r="G4246" t="str">
        <f>"頻度不明"</f>
        <v>頻度不明</v>
      </c>
      <c r="H4246" t="str">
        <f>"2002222343173"</f>
        <v>2002222343173</v>
      </c>
      <c r="I4246" t="str">
        <f>HYPERLINK("#", "https://opac.libnet.pref.okayama.jp/licsxp-opac/WOpacMsgNewListToTifTilDetailAction.do?tilcod=2002222343173")</f>
        <v>https://opac.libnet.pref.okayama.jp/licsxp-opac/WOpacMsgNewListToTifTilDetailAction.do?tilcod=2002222343173</v>
      </c>
    </row>
    <row r="4247" spans="1:9" x14ac:dyDescent="0.4">
      <c r="A4247" t="str">
        <f>"ハレノワレター 千日前から"</f>
        <v>ハレノワレター 千日前から</v>
      </c>
      <c r="B4247" s="1" t="str">
        <f t="shared" si="218"/>
        <v>ハレノワレター 千日前から</v>
      </c>
      <c r="C4247" t="str">
        <f>"ハレノワ レター センニチマエ カラ"</f>
        <v>ハレノワ レター センニチマエ カラ</v>
      </c>
      <c r="D4247" t="str">
        <f>"岡山文化芸術創造"</f>
        <v>岡山文化芸術創造</v>
      </c>
      <c r="E4247" t="str">
        <f>"オカヤマ ブンカ ゲイジュツ ソウゾウ"</f>
        <v>オカヤマ ブンカ ゲイジュツ ソウゾウ</v>
      </c>
      <c r="F4247" t="str">
        <f>"岡山"</f>
        <v>岡山</v>
      </c>
      <c r="G4247" t="str">
        <f>"不定期刊"</f>
        <v>不定期刊</v>
      </c>
      <c r="H4247" t="str">
        <f>"2002222340935"</f>
        <v>2002222340935</v>
      </c>
      <c r="I4247" t="str">
        <f>HYPERLINK("#", "https://opac.libnet.pref.okayama.jp/licsxp-opac/WOpacMsgNewListToTifTilDetailAction.do?tilcod=2002222340935")</f>
        <v>https://opac.libnet.pref.okayama.jp/licsxp-opac/WOpacMsgNewListToTifTilDetailAction.do?tilcod=2002222340935</v>
      </c>
    </row>
    <row r="4248" spans="1:9" x14ac:dyDescent="0.4">
      <c r="A4248" t="str">
        <f>"晴ればれ；「組合員の笑顔」が広がる「協同」の素晴らしさを伝える広報誌"</f>
        <v>晴ればれ；「組合員の笑顔」が広がる「協同」の素晴らしさを伝える広報誌</v>
      </c>
      <c r="B4248" s="1" t="str">
        <f t="shared" si="218"/>
        <v>晴ればれ；「組合員の笑顔」が広がる「協同」の素晴らしさを伝える広報誌</v>
      </c>
      <c r="C4248" t="str">
        <f>"ハレバレ＊クミアイインノ エガオ ガ ヒロガル キョウドウ ノ スバラシサ オ ツタエル コウホウシ"</f>
        <v>ハレバレ＊クミアイインノ エガオ ガ ヒロガル キョウドウ ノ スバラシサ オ ツタエル コウホウシ</v>
      </c>
      <c r="D4248" t="str">
        <f>"晴れの国岡山農業協同組合"</f>
        <v>晴れの国岡山農業協同組合</v>
      </c>
      <c r="E4248" t="str">
        <f>"ハレ ノ クニ オカヤマ ノウギョウ キョウドウ クミアイ"</f>
        <v>ハレ ノ クニ オカヤマ ノウギョウ キョウドウ クミアイ</v>
      </c>
      <c r="F4248" t="str">
        <f>"岡山"</f>
        <v>岡山</v>
      </c>
      <c r="G4248" t="str">
        <f>"月刊"</f>
        <v>月刊</v>
      </c>
      <c r="H4248" t="str">
        <f>"2002222335707"</f>
        <v>2002222335707</v>
      </c>
      <c r="I4248" t="str">
        <f>HYPERLINK("#", "https://opac.libnet.pref.okayama.jp/licsxp-opac/WOpacMsgNewListToTifTilDetailAction.do?tilcod=2002222335707")</f>
        <v>https://opac.libnet.pref.okayama.jp/licsxp-opac/WOpacMsgNewListToTifTilDetailAction.do?tilcod=2002222335707</v>
      </c>
    </row>
    <row r="4249" spans="1:9" x14ac:dyDescent="0.4">
      <c r="A4249" t="str">
        <f>"Harebare；JA-Harenokuni Okayama Free paper [晴ればれ]"</f>
        <v>Harebare；JA-Harenokuni Okayama Free paper [晴ればれ]</v>
      </c>
      <c r="B4249" s="1" t="str">
        <f t="shared" si="218"/>
        <v>Harebare；JA-Harenokuni Okayama Free paper [晴ればれ]</v>
      </c>
      <c r="C4249" t="str">
        <f>"ハレバレ＊ジェイエー ハレノクニ オカヤマ フリーペーパー ハレバレ"</f>
        <v>ハレバレ＊ジェイエー ハレノクニ オカヤマ フリーペーパー ハレバレ</v>
      </c>
      <c r="D4249" t="str">
        <f>"晴れの国岡山農業協同組合営農部"</f>
        <v>晴れの国岡山農業協同組合営農部</v>
      </c>
      <c r="E4249" t="str">
        <f>"ハレ ノ クニ オカヤマ ノウギョウ キョウドウ クミアイ"</f>
        <v>ハレ ノ クニ オカヤマ ノウギョウ キョウドウ クミアイ</v>
      </c>
      <c r="F4249" t="str">
        <f>"倉敷"</f>
        <v>倉敷</v>
      </c>
      <c r="G4249" t="str">
        <f>"季刊"</f>
        <v>季刊</v>
      </c>
      <c r="H4249" t="str">
        <f>"2002222336769"</f>
        <v>2002222336769</v>
      </c>
      <c r="I4249" t="str">
        <f>HYPERLINK("#", "https://opac.libnet.pref.okayama.jp/licsxp-opac/WOpacMsgNewListToTifTilDetailAction.do?tilcod=2002222336769")</f>
        <v>https://opac.libnet.pref.okayama.jp/licsxp-opac/WOpacMsgNewListToTifTilDetailAction.do?tilcod=2002222336769</v>
      </c>
    </row>
    <row r="4250" spans="1:9" x14ac:dyDescent="0.4">
      <c r="A4250" t="str">
        <f>"haremachi Times"</f>
        <v>haremachi Times</v>
      </c>
      <c r="B4250" s="1" t="str">
        <f t="shared" si="218"/>
        <v>haremachi Times</v>
      </c>
      <c r="C4250" t="str">
        <f>"ハレマチ タイムズ"</f>
        <v>ハレマチ タイムズ</v>
      </c>
      <c r="D4250" t="str">
        <f>"イオンモール岡山"</f>
        <v>イオンモール岡山</v>
      </c>
      <c r="E4250" t="str">
        <f>"イオン モール オカヤマ"</f>
        <v>イオン モール オカヤマ</v>
      </c>
      <c r="F4250" t="str">
        <f>"岡山"</f>
        <v>岡山</v>
      </c>
      <c r="G4250" t="str">
        <f>"頻度不明"</f>
        <v>頻度不明</v>
      </c>
      <c r="H4250" t="str">
        <f>"2002222333368"</f>
        <v>2002222333368</v>
      </c>
      <c r="I4250" t="str">
        <f>HYPERLINK("#", "https://opac.libnet.pref.okayama.jp/licsxp-opac/WOpacMsgNewListToTifTilDetailAction.do?tilcod=2002222333368")</f>
        <v>https://opac.libnet.pref.okayama.jp/licsxp-opac/WOpacMsgNewListToTifTilDetailAction.do?tilcod=2002222333368</v>
      </c>
    </row>
    <row r="4251" spans="1:9" x14ac:dyDescent="0.4">
      <c r="A4251" t="str">
        <f>"haremachi Me＋（ハレマチミープラス）；イオンモール岡山マガジン"</f>
        <v>haremachi Me＋（ハレマチミープラス）；イオンモール岡山マガジン</v>
      </c>
      <c r="B4251" s="1" t="str">
        <f t="shared" si="218"/>
        <v>haremachi Me＋（ハレマチミープラス）；イオンモール岡山マガジン</v>
      </c>
      <c r="C4251" t="str">
        <f>"ハレマチ ミー プラス＊イオンモール オカヤマ マガジン"</f>
        <v>ハレマチ ミー プラス＊イオンモール オカヤマ マガジン</v>
      </c>
      <c r="D4251" t="str">
        <f>"HUR"</f>
        <v>HUR</v>
      </c>
      <c r="E4251" t="str">
        <f>"エイチ ユー アール"</f>
        <v>エイチ ユー アール</v>
      </c>
      <c r="F4251" t="str">
        <f>"岡山"</f>
        <v>岡山</v>
      </c>
      <c r="G4251" t="str">
        <f>"季刊"</f>
        <v>季刊</v>
      </c>
      <c r="H4251" t="str">
        <f>"2002222334790"</f>
        <v>2002222334790</v>
      </c>
      <c r="I4251" t="str">
        <f>HYPERLINK("#", "https://opac.libnet.pref.okayama.jp/licsxp-opac/WOpacMsgNewListToTifTilDetailAction.do?tilcod=2002222334790")</f>
        <v>https://opac.libnet.pref.okayama.jp/licsxp-opac/WOpacMsgNewListToTifTilDetailAction.do?tilcod=2002222334790</v>
      </c>
    </row>
    <row r="4252" spans="1:9" x14ac:dyDescent="0.4">
      <c r="A4252" t="str">
        <f>"ハロータウン"</f>
        <v>ハロータウン</v>
      </c>
      <c r="B4252" s="1" t="str">
        <f t="shared" si="218"/>
        <v>ハロータウン</v>
      </c>
      <c r="C4252" t="str">
        <f>"ハロー　タウン"</f>
        <v>ハロー　タウン</v>
      </c>
      <c r="D4252" t="str">
        <f>"絵広"</f>
        <v>絵広</v>
      </c>
      <c r="E4252" t="str">
        <f>"エヒロ"</f>
        <v>エヒロ</v>
      </c>
      <c r="F4252" t="str">
        <f>""</f>
        <v/>
      </c>
      <c r="G4252" t="str">
        <f>"頻度不明"</f>
        <v>頻度不明</v>
      </c>
      <c r="H4252" t="str">
        <f>"2002222289203"</f>
        <v>2002222289203</v>
      </c>
      <c r="I4252" t="str">
        <f>HYPERLINK("#", "https://opac.libnet.pref.okayama.jp/licsxp-opac/WOpacMsgNewListToTifTilDetailAction.do?tilcod=2002222289203")</f>
        <v>https://opac.libnet.pref.okayama.jp/licsxp-opac/WOpacMsgNewListToTifTilDetailAction.do?tilcod=2002222289203</v>
      </c>
    </row>
    <row r="4253" spans="1:9" x14ac:dyDescent="0.4">
      <c r="A4253" t="str">
        <f>"ハローワークおかやま"</f>
        <v>ハローワークおかやま</v>
      </c>
      <c r="B4253" s="1" t="str">
        <f t="shared" si="218"/>
        <v>ハローワークおかやま</v>
      </c>
      <c r="C4253" t="str">
        <f>"ハローワーク　オカヤマ"</f>
        <v>ハローワーク　オカヤマ</v>
      </c>
      <c r="D4253" t="str">
        <f>"岡山公共職業安定所"</f>
        <v>岡山公共職業安定所</v>
      </c>
      <c r="E4253" t="str">
        <f>"オカヤマ コウキョウ ショクギョウ アンテイショ"</f>
        <v>オカヤマ コウキョウ ショクギョウ アンテイショ</v>
      </c>
      <c r="F4253" t="str">
        <f>"岡山"</f>
        <v>岡山</v>
      </c>
      <c r="G4253" t="str">
        <f>"月刊"</f>
        <v>月刊</v>
      </c>
      <c r="H4253" t="str">
        <f>"2002222299161"</f>
        <v>2002222299161</v>
      </c>
      <c r="I4253" t="str">
        <f>HYPERLINK("#", "https://opac.libnet.pref.okayama.jp/licsxp-opac/WOpacMsgNewListToTifTilDetailAction.do?tilcod=2002222299161")</f>
        <v>https://opac.libnet.pref.okayama.jp/licsxp-opac/WOpacMsgNewListToTifTilDetailAction.do?tilcod=2002222299161</v>
      </c>
    </row>
    <row r="4254" spans="1:9" x14ac:dyDescent="0.4">
      <c r="A4254" t="str">
        <f>"ハローワークKOJIMA；求人情報誌"</f>
        <v>ハローワークKOJIMA；求人情報誌</v>
      </c>
      <c r="B4254" s="1" t="str">
        <f t="shared" si="218"/>
        <v>ハローワークKOJIMA；求人情報誌</v>
      </c>
      <c r="C4254" t="str">
        <f>"ハローワーク コジマ＊キュウジン ジョウホウシ"</f>
        <v>ハローワーク コジマ＊キュウジン ジョウホウシ</v>
      </c>
      <c r="D4254" t="str">
        <f>"ハローワーク児島"</f>
        <v>ハローワーク児島</v>
      </c>
      <c r="E4254" t="str">
        <f>"ハローワーク コジマ"</f>
        <v>ハローワーク コジマ</v>
      </c>
      <c r="F4254" t="str">
        <f>"倉敷"</f>
        <v>倉敷</v>
      </c>
      <c r="G4254" t="str">
        <f>"月２回刊"</f>
        <v>月２回刊</v>
      </c>
      <c r="H4254" t="str">
        <f>"2002222316248"</f>
        <v>2002222316248</v>
      </c>
      <c r="I4254" t="str">
        <f>HYPERLINK("#", "https://opac.libnet.pref.okayama.jp/licsxp-opac/WOpacMsgNewListToTifTilDetailAction.do?tilcod=2002222316248")</f>
        <v>https://opac.libnet.pref.okayama.jp/licsxp-opac/WOpacMsgNewListToTifTilDetailAction.do?tilcod=2002222316248</v>
      </c>
    </row>
    <row r="4255" spans="1:9" x14ac:dyDescent="0.4">
      <c r="A4255" t="str">
        <f>"パワフルキッズ"</f>
        <v>パワフルキッズ</v>
      </c>
      <c r="B4255" s="1" t="str">
        <f t="shared" si="218"/>
        <v>パワフルキッズ</v>
      </c>
      <c r="C4255" t="str">
        <f>"パワフル　キッズ"</f>
        <v>パワフル　キッズ</v>
      </c>
      <c r="D4255" t="str">
        <f>"倉敷市子どもセンター"</f>
        <v>倉敷市子どもセンター</v>
      </c>
      <c r="E4255" t="str">
        <f>"クラシキシコドモセンター"</f>
        <v>クラシキシコドモセンター</v>
      </c>
      <c r="F4255" t="str">
        <f>"倉敷"</f>
        <v>倉敷</v>
      </c>
      <c r="G4255" t="str">
        <f>"頻度不明"</f>
        <v>頻度不明</v>
      </c>
      <c r="H4255" t="str">
        <f>"2002222285711"</f>
        <v>2002222285711</v>
      </c>
      <c r="I4255" t="str">
        <f>HYPERLINK("#", "https://opac.libnet.pref.okayama.jp/licsxp-opac/WOpacMsgNewListToTifTilDetailAction.do?tilcod=2002222285711")</f>
        <v>https://opac.libnet.pref.okayama.jp/licsxp-opac/WOpacMsgNewListToTifTilDetailAction.do?tilcod=2002222285711</v>
      </c>
    </row>
    <row r="4256" spans="1:9" x14ac:dyDescent="0.4">
      <c r="A4256" t="str">
        <f>"汎岡山"</f>
        <v>汎岡山</v>
      </c>
      <c r="B4256" s="1" t="str">
        <f t="shared" si="218"/>
        <v>汎岡山</v>
      </c>
      <c r="C4256" t="str">
        <f>"ハン オカヤマ"</f>
        <v>ハン オカヤマ</v>
      </c>
      <c r="D4256" t="str">
        <f>"汎岡山社"</f>
        <v>汎岡山社</v>
      </c>
      <c r="E4256" t="str">
        <f>"ハンオカヤマシャ"</f>
        <v>ハンオカヤマシャ</v>
      </c>
      <c r="F4256" t="str">
        <f>""</f>
        <v/>
      </c>
      <c r="G4256" t="str">
        <f>"頻度不明"</f>
        <v>頻度不明</v>
      </c>
      <c r="H4256" t="str">
        <f>"2002222289213"</f>
        <v>2002222289213</v>
      </c>
      <c r="I4256" t="str">
        <f>HYPERLINK("#", "https://opac.libnet.pref.okayama.jp/licsxp-opac/WOpacMsgNewListToTifTilDetailAction.do?tilcod=2002222289213")</f>
        <v>https://opac.libnet.pref.okayama.jp/licsxp-opac/WOpacMsgNewListToTifTilDetailAction.do?tilcod=2002222289213</v>
      </c>
    </row>
    <row r="4257" spans="1:9" x14ac:dyDescent="0.4">
      <c r="A4257" t="str">
        <f>"萬古不易"</f>
        <v>萬古不易</v>
      </c>
      <c r="B4257" s="1" t="str">
        <f t="shared" si="218"/>
        <v>萬古不易</v>
      </c>
      <c r="C4257" t="str">
        <f>"バンコ　フエキ"</f>
        <v>バンコ　フエキ</v>
      </c>
      <c r="D4257" t="str">
        <f>"利守酒造"</f>
        <v>利守酒造</v>
      </c>
      <c r="E4257" t="str">
        <f>"トシモリシュゾウ"</f>
        <v>トシモリシュゾウ</v>
      </c>
      <c r="F4257" t="str">
        <f>"赤磐郡赤坂町"</f>
        <v>赤磐郡赤坂町</v>
      </c>
      <c r="G4257" t="str">
        <f>"年３回刊"</f>
        <v>年３回刊</v>
      </c>
      <c r="H4257" t="str">
        <f>"2002222291601"</f>
        <v>2002222291601</v>
      </c>
      <c r="I4257" t="str">
        <f>HYPERLINK("#", "https://opac.libnet.pref.okayama.jp/licsxp-opac/WOpacMsgNewListToTifTilDetailAction.do?tilcod=2002222291601")</f>
        <v>https://opac.libnet.pref.okayama.jp/licsxp-opac/WOpacMsgNewListToTifTilDetailAction.do?tilcod=2002222291601</v>
      </c>
    </row>
    <row r="4258" spans="1:9" x14ac:dyDescent="0.4">
      <c r="A4258" t="str">
        <f>"犯罪統計月報"</f>
        <v>犯罪統計月報</v>
      </c>
      <c r="B4258" s="1" t="str">
        <f t="shared" si="218"/>
        <v>犯罪統計月報</v>
      </c>
      <c r="C4258" t="str">
        <f>"ハンザイ　トウケイ　ゲッポウ"</f>
        <v>ハンザイ　トウケイ　ゲッポウ</v>
      </c>
      <c r="D4258" t="str">
        <f>"岡山県警察本部刑事部捜査第一課"</f>
        <v>岡山県警察本部刑事部捜査第一課</v>
      </c>
      <c r="E4258" t="str">
        <f>"オカヤマケンケイサツホンブケイジブソウサダイイッカ"</f>
        <v>オカヤマケンケイサツホンブケイジブソウサダイイッカ</v>
      </c>
      <c r="F4258" t="str">
        <f>""</f>
        <v/>
      </c>
      <c r="G4258" t="str">
        <f>"月刊"</f>
        <v>月刊</v>
      </c>
      <c r="H4258" t="str">
        <f>"2002222280794"</f>
        <v>2002222280794</v>
      </c>
      <c r="I4258" t="str">
        <f>HYPERLINK("#", "https://opac.libnet.pref.okayama.jp/licsxp-opac/WOpacMsgNewListToTifTilDetailAction.do?tilcod=2002222280794")</f>
        <v>https://opac.libnet.pref.okayama.jp/licsxp-opac/WOpacMsgNewListToTifTilDetailAction.do?tilcod=2002222280794</v>
      </c>
    </row>
    <row r="4259" spans="1:9" x14ac:dyDescent="0.4">
      <c r="A4259" t="str">
        <f>"はんざけ"</f>
        <v>はんざけ</v>
      </c>
      <c r="B4259" s="1" t="str">
        <f t="shared" si="218"/>
        <v>はんざけ</v>
      </c>
      <c r="C4259" t="str">
        <f>"ハンザケ"</f>
        <v>ハンザケ</v>
      </c>
      <c r="D4259" t="str">
        <f>"噴泉俳句会"</f>
        <v>噴泉俳句会</v>
      </c>
      <c r="E4259" t="str">
        <f>"フンセンハイクカイ"</f>
        <v>フンセンハイクカイ</v>
      </c>
      <c r="F4259" t="str">
        <f>""</f>
        <v/>
      </c>
      <c r="G4259" t="str">
        <f>"頻度不明"</f>
        <v>頻度不明</v>
      </c>
      <c r="H4259" t="str">
        <f>"2002222289223"</f>
        <v>2002222289223</v>
      </c>
      <c r="I4259" t="str">
        <f>HYPERLINK("#", "https://opac.libnet.pref.okayama.jp/licsxp-opac/WOpacMsgNewListToTifTilDetailAction.do?tilcod=2002222289223")</f>
        <v>https://opac.libnet.pref.okayama.jp/licsxp-opac/WOpacMsgNewListToTifTilDetailAction.do?tilcod=2002222289223</v>
      </c>
    </row>
    <row r="4260" spans="1:9" x14ac:dyDescent="0.4">
      <c r="A4260" t="str">
        <f>"BANSUN PRESS(バンサン プレス)"</f>
        <v>BANSUN PRESS(バンサン プレス)</v>
      </c>
      <c r="B4260" s="1" t="str">
        <f t="shared" si="218"/>
        <v>BANSUN PRESS(バンサン プレス)</v>
      </c>
      <c r="C4260" t="str">
        <f>"バンサン プレス"</f>
        <v>バンサン プレス</v>
      </c>
      <c r="D4260" t="str">
        <f>"[岡山一番街]"</f>
        <v>[岡山一番街]</v>
      </c>
      <c r="E4260" t="str">
        <f>"オカヤマ イチバンガイ"</f>
        <v>オカヤマ イチバンガイ</v>
      </c>
      <c r="F4260" t="str">
        <f>"岡山"</f>
        <v>岡山</v>
      </c>
      <c r="G4260" t="str">
        <f>"季刊"</f>
        <v>季刊</v>
      </c>
      <c r="H4260" t="str">
        <f>"2002222324606"</f>
        <v>2002222324606</v>
      </c>
      <c r="I4260" t="str">
        <f>HYPERLINK("#", "https://opac.libnet.pref.okayama.jp/licsxp-opac/WOpacMsgNewListToTifTilDetailAction.do?tilcod=2002222324606")</f>
        <v>https://opac.libnet.pref.okayama.jp/licsxp-opac/WOpacMsgNewListToTifTilDetailAction.do?tilcod=2002222324606</v>
      </c>
    </row>
    <row r="4261" spans="1:9" x14ac:dyDescent="0.4">
      <c r="A4261" t="str">
        <f>"反射鏡新聞"</f>
        <v>反射鏡新聞</v>
      </c>
      <c r="B4261" s="1" t="str">
        <f t="shared" si="218"/>
        <v>反射鏡新聞</v>
      </c>
      <c r="C4261" t="str">
        <f>"ハンシャキョウ　シンブン"</f>
        <v>ハンシャキョウ　シンブン</v>
      </c>
      <c r="D4261" t="str">
        <f>"反射鏡新聞社"</f>
        <v>反射鏡新聞社</v>
      </c>
      <c r="E4261" t="str">
        <f>"ハンシャキョウシンブンシャ"</f>
        <v>ハンシャキョウシンブンシャ</v>
      </c>
      <c r="F4261" t="str">
        <f>""</f>
        <v/>
      </c>
      <c r="G4261" t="str">
        <f>"頻度不明"</f>
        <v>頻度不明</v>
      </c>
      <c r="H4261" t="str">
        <f>"2002222289233"</f>
        <v>2002222289233</v>
      </c>
      <c r="I4261" t="str">
        <f>HYPERLINK("#", "https://opac.libnet.pref.okayama.jp/licsxp-opac/WOpacMsgNewListToTifTilDetailAction.do?tilcod=2002222289233")</f>
        <v>https://opac.libnet.pref.okayama.jp/licsxp-opac/WOpacMsgNewListToTifTilDetailAction.do?tilcod=2002222289233</v>
      </c>
    </row>
    <row r="4262" spans="1:9" x14ac:dyDescent="0.4">
      <c r="A4262" t="str">
        <f>"晩成会会報"</f>
        <v>晩成会会報</v>
      </c>
      <c r="B4262" s="1" t="str">
        <f t="shared" si="218"/>
        <v>晩成会会報</v>
      </c>
      <c r="C4262" t="str">
        <f>"バンセイカイ　カイホウ"</f>
        <v>バンセイカイ　カイホウ</v>
      </c>
      <c r="D4262" t="str">
        <f>"晩成会"</f>
        <v>晩成会</v>
      </c>
      <c r="E4262" t="str">
        <f>"バンセイカイ"</f>
        <v>バンセイカイ</v>
      </c>
      <c r="F4262" t="str">
        <f>"〔岡山〕"</f>
        <v>〔岡山〕</v>
      </c>
      <c r="G4262" t="str">
        <f>"年刊"</f>
        <v>年刊</v>
      </c>
      <c r="H4262" t="str">
        <f>"2002222301370"</f>
        <v>2002222301370</v>
      </c>
      <c r="I4262" t="str">
        <f>HYPERLINK("#", "https://opac.libnet.pref.okayama.jp/licsxp-opac/WOpacMsgNewListToTifTilDetailAction.do?tilcod=2002222301370")</f>
        <v>https://opac.libnet.pref.okayama.jp/licsxp-opac/WOpacMsgNewListToTifTilDetailAction.do?tilcod=2002222301370</v>
      </c>
    </row>
    <row r="4263" spans="1:9" x14ac:dyDescent="0.4">
      <c r="A4263" t="str">
        <f>"半田山"</f>
        <v>半田山</v>
      </c>
      <c r="B4263" s="1" t="str">
        <f t="shared" si="218"/>
        <v>半田山</v>
      </c>
      <c r="C4263" t="str">
        <f>"ハンダヤマ"</f>
        <v>ハンダヤマ</v>
      </c>
      <c r="D4263" t="str">
        <f>"岡山大学学友会"</f>
        <v>岡山大学学友会</v>
      </c>
      <c r="E4263" t="str">
        <f>"オカヤマ ダイガク ガクユウカイ"</f>
        <v>オカヤマ ダイガク ガクユウカイ</v>
      </c>
      <c r="F4263" t="str">
        <f>""</f>
        <v/>
      </c>
      <c r="G4263" t="str">
        <f>"頻度不明"</f>
        <v>頻度不明</v>
      </c>
      <c r="H4263" t="str">
        <f>"2002222289243"</f>
        <v>2002222289243</v>
      </c>
      <c r="I4263" t="str">
        <f>HYPERLINK("#", "https://opac.libnet.pref.okayama.jp/licsxp-opac/WOpacMsgNewListToTifTilDetailAction.do?tilcod=2002222289243")</f>
        <v>https://opac.libnet.pref.okayama.jp/licsxp-opac/WOpacMsgNewListToTifTilDetailAction.do?tilcod=2002222289243</v>
      </c>
    </row>
    <row r="4264" spans="1:9" x14ac:dyDescent="0.4">
      <c r="A4264" t="str">
        <f>"半田山地理考古"</f>
        <v>半田山地理考古</v>
      </c>
      <c r="B4264" s="1" t="str">
        <f t="shared" si="218"/>
        <v>半田山地理考古</v>
      </c>
      <c r="C4264" t="str">
        <f>"ハンダヤマ チリ コウコ"</f>
        <v>ハンダヤマ チリ コウコ</v>
      </c>
      <c r="D4264" t="str">
        <f>"岡山理科大学生物地球学部"</f>
        <v>岡山理科大学生物地球学部</v>
      </c>
      <c r="E4264" t="str">
        <f>"オカヤマ リカ ダイガク セイブツ チキュウ ガクブ"</f>
        <v>オカヤマ リカ ダイガク セイブツ チキュウ ガクブ</v>
      </c>
      <c r="F4264" t="str">
        <f>"岡山"</f>
        <v>岡山</v>
      </c>
      <c r="G4264" t="str">
        <f>"年刊"</f>
        <v>年刊</v>
      </c>
      <c r="H4264" t="str">
        <f>"2002222326668"</f>
        <v>2002222326668</v>
      </c>
      <c r="I4264" t="str">
        <f>HYPERLINK("#", "https://opac.libnet.pref.okayama.jp/licsxp-opac/WOpacMsgNewListToTifTilDetailAction.do?tilcod=2002222326668")</f>
        <v>https://opac.libnet.pref.okayama.jp/licsxp-opac/WOpacMsgNewListToTifTilDetailAction.do?tilcod=2002222326668</v>
      </c>
    </row>
    <row r="4265" spans="1:9" x14ac:dyDescent="0.4">
      <c r="A4265" t="str">
        <f>"万能会誌(複製)"</f>
        <v>万能会誌(複製)</v>
      </c>
      <c r="B4265" s="1" t="str">
        <f t="shared" si="218"/>
        <v>万能会誌(複製)</v>
      </c>
      <c r="C4265" t="str">
        <f>"バンノウ カイシ＊フクセイ"</f>
        <v>バンノウ カイシ＊フクセイ</v>
      </c>
      <c r="D4265" t="str">
        <f>"万能会"</f>
        <v>万能会</v>
      </c>
      <c r="E4265" t="str">
        <f>"バンノウカイ"</f>
        <v>バンノウカイ</v>
      </c>
      <c r="F4265" t="str">
        <f>"岡山"</f>
        <v>岡山</v>
      </c>
      <c r="G4265" t="str">
        <f>"頻度不明"</f>
        <v>頻度不明</v>
      </c>
      <c r="H4265" t="str">
        <f>"2002222334787"</f>
        <v>2002222334787</v>
      </c>
      <c r="I4265" t="str">
        <f>HYPERLINK("#", "https://opac.libnet.pref.okayama.jp/licsxp-opac/WOpacMsgNewListToTifTilDetailAction.do?tilcod=2002222334787")</f>
        <v>https://opac.libnet.pref.okayama.jp/licsxp-opac/WOpacMsgNewListToTifTilDetailAction.do?tilcod=2002222334787</v>
      </c>
    </row>
    <row r="4266" spans="1:9" x14ac:dyDescent="0.4">
      <c r="A4266" t="str">
        <f>"B.b；県北ブライダル情報誌B.b(ブライダル&amp;ビューティ) "</f>
        <v xml:space="preserve">B.b；県北ブライダル情報誌B.b(ブライダル&amp;ビューティ) </v>
      </c>
      <c r="B4266" s="1" t="str">
        <f t="shared" si="218"/>
        <v xml:space="preserve">B.b；県北ブライダル情報誌B.b(ブライダル&amp;ビューティ) </v>
      </c>
      <c r="C4266" t="str">
        <f>"ビー ビー＊ケンホク ブライダル ジョウホウシ ビービーブライダル アンド ビューティ"</f>
        <v>ビー ビー＊ケンホク ブライダル ジョウホウシ ビービーブライダル アンド ビューティ</v>
      </c>
      <c r="D4266" t="str">
        <f>"アットタウン編集室"</f>
        <v>アットタウン編集室</v>
      </c>
      <c r="E4266" t="str">
        <f>"アット タウン　ヘンシュウシツ"</f>
        <v>アット タウン　ヘンシュウシツ</v>
      </c>
      <c r="F4266" t="str">
        <f>"津山"</f>
        <v>津山</v>
      </c>
      <c r="G4266" t="str">
        <f>"季刊"</f>
        <v>季刊</v>
      </c>
      <c r="H4266" t="str">
        <f>"2002222331766"</f>
        <v>2002222331766</v>
      </c>
      <c r="I4266" t="str">
        <f>HYPERLINK("#", "https://opac.libnet.pref.okayama.jp/licsxp-opac/WOpacMsgNewListToTifTilDetailAction.do?tilcod=2002222331766")</f>
        <v>https://opac.libnet.pref.okayama.jp/licsxp-opac/WOpacMsgNewListToTifTilDetailAction.do?tilcod=2002222331766</v>
      </c>
    </row>
    <row r="4267" spans="1:9" x14ac:dyDescent="0.4">
      <c r="A4267" t="str">
        <f>"B.b；ブライダル情報誌B.b(ブライダル&amp;ビューティ) "</f>
        <v xml:space="preserve">B.b；ブライダル情報誌B.b(ブライダル&amp;ビューティ) </v>
      </c>
      <c r="B4267" s="1" t="str">
        <f t="shared" si="218"/>
        <v xml:space="preserve">B.b；ブライダル情報誌B.b(ブライダル&amp;ビューティ) </v>
      </c>
      <c r="C4267" t="str">
        <f>"ビー ビー＊ブライダル ジョウホウシ ビービーブライダル アンド ビューティ"</f>
        <v>ビー ビー＊ブライダル ジョウホウシ ビービーブライダル アンド ビューティ</v>
      </c>
      <c r="D4267" t="str">
        <f>"AFWアットタウン"</f>
        <v>AFWアットタウン</v>
      </c>
      <c r="E4267" t="str">
        <f>"エーエフダブリューアットタウン"</f>
        <v>エーエフダブリューアットタウン</v>
      </c>
      <c r="F4267" t="str">
        <f>"津山"</f>
        <v>津山</v>
      </c>
      <c r="G4267" t="str">
        <f>"季刊"</f>
        <v>季刊</v>
      </c>
      <c r="H4267" t="str">
        <f>"2002222331768"</f>
        <v>2002222331768</v>
      </c>
      <c r="I4267" t="str">
        <f>HYPERLINK("#", "https://opac.libnet.pref.okayama.jp/licsxp-opac/WOpacMsgNewListToTifTilDetailAction.do?tilcod=2002222331768")</f>
        <v>https://opac.libnet.pref.okayama.jp/licsxp-opac/WOpacMsgNewListToTifTilDetailAction.do?tilcod=2002222331768</v>
      </c>
    </row>
    <row r="4268" spans="1:9" x14ac:dyDescent="0.4">
      <c r="A4268" t="str">
        <f>"Ｂ-ｉｎｇ岡山・備後版（ビーイング岡山備後版）"</f>
        <v>Ｂ-ｉｎｇ岡山・備後版（ビーイング岡山備後版）</v>
      </c>
      <c r="B4268" s="1" t="str">
        <f t="shared" si="218"/>
        <v>Ｂ-ｉｎｇ岡山・備後版（ビーイング岡山備後版）</v>
      </c>
      <c r="C4268" t="str">
        <f>"ビーイング　オカヤマ　ビンゴ　バン"</f>
        <v>ビーイング　オカヤマ　ビンゴ　バン</v>
      </c>
      <c r="D4268" t="str">
        <f>"リクルート岡山支社"</f>
        <v>リクルート岡山支社</v>
      </c>
      <c r="E4268" t="str">
        <f>"リクルートオカヤマシシャ"</f>
        <v>リクルートオカヤマシシャ</v>
      </c>
      <c r="F4268" t="str">
        <f>"岡山"</f>
        <v>岡山</v>
      </c>
      <c r="G4268" t="str">
        <f>"隔週刊"</f>
        <v>隔週刊</v>
      </c>
      <c r="H4268" t="str">
        <f>"2002222282731"</f>
        <v>2002222282731</v>
      </c>
      <c r="I4268" t="str">
        <f>HYPERLINK("#", "https://opac.libnet.pref.okayama.jp/licsxp-opac/WOpacMsgNewListToTifTilDetailAction.do?tilcod=2002222282731")</f>
        <v>https://opac.libnet.pref.okayama.jp/licsxp-opac/WOpacMsgNewListToTifTilDetailAction.do?tilcod=2002222282731</v>
      </c>
    </row>
    <row r="4269" spans="1:9" x14ac:dyDescent="0.4">
      <c r="A4269" t="str">
        <f>"Ｂ・Ｍ・Ｄ会報"</f>
        <v>Ｂ・Ｍ・Ｄ会報</v>
      </c>
      <c r="B4269" s="1" t="str">
        <f t="shared" si="218"/>
        <v>Ｂ・Ｍ・Ｄ会報</v>
      </c>
      <c r="C4269" t="str">
        <f>"ビーエムディー　カイホウ"</f>
        <v>ビーエムディー　カイホウ</v>
      </c>
      <c r="D4269" t="str">
        <f>"岡山県自動車文庫配本所運営連絡協議会"</f>
        <v>岡山県自動車文庫配本所運営連絡協議会</v>
      </c>
      <c r="E4269" t="str">
        <f>"オカヤマケンジドウシャブンコハイホンショウンエイレンラクキョウギカイ"</f>
        <v>オカヤマケンジドウシャブンコハイホンショウンエイレンラクキョウギカイ</v>
      </c>
      <c r="F4269" t="str">
        <f>"岡山"</f>
        <v>岡山</v>
      </c>
      <c r="G4269" t="str">
        <f>"年刊"</f>
        <v>年刊</v>
      </c>
      <c r="H4269" t="str">
        <f>"2002222280561"</f>
        <v>2002222280561</v>
      </c>
      <c r="I4269" t="str">
        <f>HYPERLINK("#", "https://opac.libnet.pref.okayama.jp/licsxp-opac/WOpacMsgNewListToTifTilDetailAction.do?tilcod=2002222280561")</f>
        <v>https://opac.libnet.pref.okayama.jp/licsxp-opac/WOpacMsgNewListToTifTilDetailAction.do?tilcod=2002222280561</v>
      </c>
    </row>
    <row r="4270" spans="1:9" x14ac:dyDescent="0.4">
      <c r="A4270" t="str">
        <f>"Ｐ・Ｊａｍ（ピー・ジャム）"</f>
        <v>Ｐ・Ｊａｍ（ピー・ジャム）</v>
      </c>
      <c r="B4270" s="1" t="str">
        <f t="shared" si="218"/>
        <v>Ｐ・Ｊａｍ（ピー・ジャム）</v>
      </c>
      <c r="C4270" t="str">
        <f>"ピージャム"</f>
        <v>ピージャム</v>
      </c>
      <c r="D4270" t="str">
        <f>"アス"</f>
        <v>アス</v>
      </c>
      <c r="E4270" t="str">
        <f>"アス"</f>
        <v>アス</v>
      </c>
      <c r="F4270" t="str">
        <f>""</f>
        <v/>
      </c>
      <c r="G4270" t="str">
        <f>"頻度不明"</f>
        <v>頻度不明</v>
      </c>
      <c r="H4270" t="str">
        <f>"2002222289323"</f>
        <v>2002222289323</v>
      </c>
      <c r="I4270" t="str">
        <f>HYPERLINK("#", "https://opac.libnet.pref.okayama.jp/licsxp-opac/WOpacMsgNewListToTifTilDetailAction.do?tilcod=2002222289323")</f>
        <v>https://opac.libnet.pref.okayama.jp/licsxp-opac/WOpacMsgNewListToTifTilDetailAction.do?tilcod=2002222289323</v>
      </c>
    </row>
    <row r="4271" spans="1:9" x14ac:dyDescent="0.4">
      <c r="A4271" t="str">
        <f>"ピースおかやま"</f>
        <v>ピースおかやま</v>
      </c>
      <c r="B4271" s="1" t="str">
        <f t="shared" si="218"/>
        <v>ピースおかやま</v>
      </c>
      <c r="C4271" t="str">
        <f>"ピース オカヤマ "</f>
        <v xml:space="preserve">ピース オカヤマ </v>
      </c>
      <c r="D4271" t="str">
        <f>"NPO法人平和推進岡山市民協議会"</f>
        <v>NPO法人平和推進岡山市民協議会</v>
      </c>
      <c r="E4271" t="str">
        <f>"ヘイワ スイシン オカヤマ シミン キョウギカイ"</f>
        <v>ヘイワ スイシン オカヤマ シミン キョウギカイ</v>
      </c>
      <c r="F4271" t="str">
        <f>"岡山"</f>
        <v>岡山</v>
      </c>
      <c r="G4271" t="str">
        <f>"頻度不明"</f>
        <v>頻度不明</v>
      </c>
      <c r="H4271" t="str">
        <f>"2002222307813"</f>
        <v>2002222307813</v>
      </c>
      <c r="I4271" t="str">
        <f>HYPERLINK("#", "https://opac.libnet.pref.okayama.jp/licsxp-opac/WOpacMsgNewListToTifTilDetailAction.do?tilcod=2002222307813")</f>
        <v>https://opac.libnet.pref.okayama.jp/licsxp-opac/WOpacMsgNewListToTifTilDetailAction.do?tilcod=2002222307813</v>
      </c>
    </row>
    <row r="4272" spans="1:9" x14ac:dyDescent="0.4">
      <c r="A4272" t="str">
        <f>"PEACH TOWN"</f>
        <v>PEACH TOWN</v>
      </c>
      <c r="B4272" s="1" t="str">
        <f t="shared" si="218"/>
        <v>PEACH TOWN</v>
      </c>
      <c r="C4272" t="str">
        <f>"ピーチ タウン"</f>
        <v>ピーチ タウン</v>
      </c>
      <c r="D4272" t="str">
        <f>"[出版者不明]"</f>
        <v>[出版者不明]</v>
      </c>
      <c r="E4272" t="str">
        <f>"シュッパンシャ フメイ"</f>
        <v>シュッパンシャ フメイ</v>
      </c>
      <c r="F4272" t="str">
        <f>"岡山"</f>
        <v>岡山</v>
      </c>
      <c r="G4272" t="str">
        <f>"頻度不明"</f>
        <v>頻度不明</v>
      </c>
      <c r="H4272" t="str">
        <f>"2002222342931"</f>
        <v>2002222342931</v>
      </c>
      <c r="I4272" t="str">
        <f>HYPERLINK("#", "https://opac.libnet.pref.okayama.jp/licsxp-opac/WOpacMsgNewListToTifTilDetailAction.do?tilcod=2002222342931")</f>
        <v>https://opac.libnet.pref.okayama.jp/licsxp-opac/WOpacMsgNewListToTifTilDetailAction.do?tilcod=2002222342931</v>
      </c>
    </row>
    <row r="4273" spans="1:9" x14ac:dyDescent="0.4">
      <c r="A4273" t="str">
        <f>"Ｐｅａｃｈ　Ｂｉｚ＋（ＰＬＵＳ）（ピーチビズプラス）"</f>
        <v>Ｐｅａｃｈ　Ｂｉｚ＋（ＰＬＵＳ）（ピーチビズプラス）</v>
      </c>
      <c r="B4273" s="1" t="str">
        <f t="shared" si="218"/>
        <v>Ｐｅａｃｈ　Ｂｉｚ＋（ＰＬＵＳ）（ピーチビズプラス）</v>
      </c>
      <c r="C4273" t="str">
        <f>"ピーチ　ビズ　プラス"</f>
        <v>ピーチ　ビズ　プラス</v>
      </c>
      <c r="D4273" t="str">
        <f>"桃木まさき"</f>
        <v>桃木まさき</v>
      </c>
      <c r="E4273" t="str">
        <f>"モモキマサキ"</f>
        <v>モモキマサキ</v>
      </c>
      <c r="F4273" t="str">
        <f>"岡山"</f>
        <v>岡山</v>
      </c>
      <c r="G4273" t="str">
        <f>"頻度不明"</f>
        <v>頻度不明</v>
      </c>
      <c r="H4273" t="str">
        <f>"2002222302417"</f>
        <v>2002222302417</v>
      </c>
      <c r="I4273" t="str">
        <f>HYPERLINK("#", "https://opac.libnet.pref.okayama.jp/licsxp-opac/WOpacMsgNewListToTifTilDetailAction.do?tilcod=2002222302417")</f>
        <v>https://opac.libnet.pref.okayama.jp/licsxp-opac/WOpacMsgNewListToTifTilDetailAction.do?tilcod=2002222302417</v>
      </c>
    </row>
    <row r="4274" spans="1:9" x14ac:dyDescent="0.4">
      <c r="A4274" t="str">
        <f>"PTA新聞"</f>
        <v>PTA新聞</v>
      </c>
      <c r="B4274" s="1" t="str">
        <f t="shared" si="218"/>
        <v>PTA新聞</v>
      </c>
      <c r="C4274" t="str">
        <f>"ピーティーエー シンブン"</f>
        <v>ピーティーエー シンブン</v>
      </c>
      <c r="D4274" t="str">
        <f>"岡山県PTA連合会"</f>
        <v>岡山県PTA連合会</v>
      </c>
      <c r="E4274" t="str">
        <f>"オカヤマケン ピーティーエー レンゴウカイ"</f>
        <v>オカヤマケン ピーティーエー レンゴウカイ</v>
      </c>
      <c r="F4274" t="str">
        <f>""</f>
        <v/>
      </c>
      <c r="G4274" t="str">
        <f>"月刊"</f>
        <v>月刊</v>
      </c>
      <c r="H4274" t="str">
        <f>"2002222309568"</f>
        <v>2002222309568</v>
      </c>
      <c r="I4274" t="str">
        <f>HYPERLINK("#", "https://opac.libnet.pref.okayama.jp/licsxp-opac/WOpacMsgNewListToTifTilDetailAction.do?tilcod=2002222309568")</f>
        <v>https://opac.libnet.pref.okayama.jp/licsxp-opac/WOpacMsgNewListToTifTilDetailAction.do?tilcod=2002222309568</v>
      </c>
    </row>
    <row r="4275" spans="1:9" x14ac:dyDescent="0.4">
      <c r="A4275" t="str">
        <f>"B.b north＊県北ブライダル情報誌（ブライダル&amp;ビューティ・ノース)"</f>
        <v>B.b north＊県北ブライダル情報誌（ブライダル&amp;ビューティ・ノース)</v>
      </c>
      <c r="B4275" s="1" t="str">
        <f t="shared" si="218"/>
        <v>B.b north＊県北ブライダル情報誌（ブライダル&amp;ビューティ・ノース)</v>
      </c>
      <c r="C4275" t="str">
        <f>"ビービー ノース＊ ケンホク ブライダル ジョウホウシ ブライダル アンド ビューティー ノース"</f>
        <v>ビービー ノース＊ ケンホク ブライダル ジョウホウシ ブライダル アンド ビューティー ノース</v>
      </c>
      <c r="D4275" t="str">
        <f>"AFWアットタウン"</f>
        <v>AFWアットタウン</v>
      </c>
      <c r="E4275" t="str">
        <f>"エーエフダブリューアットタウン"</f>
        <v>エーエフダブリューアットタウン</v>
      </c>
      <c r="F4275" t="str">
        <f>"津山"</f>
        <v>津山</v>
      </c>
      <c r="G4275" t="str">
        <f>"年２回刊"</f>
        <v>年２回刊</v>
      </c>
      <c r="H4275" t="str">
        <f>"2002222331769"</f>
        <v>2002222331769</v>
      </c>
      <c r="I4275" t="str">
        <f>HYPERLINK("#", "https://opac.libnet.pref.okayama.jp/licsxp-opac/WOpacMsgNewListToTifTilDetailAction.do?tilcod=2002222331769")</f>
        <v>https://opac.libnet.pref.okayama.jp/licsxp-opac/WOpacMsgNewListToTifTilDetailAction.do?tilcod=2002222331769</v>
      </c>
    </row>
    <row r="4276" spans="1:9" x14ac:dyDescent="0.4">
      <c r="A4276" t="str">
        <f>"東岡山工業高等学校学校案内"</f>
        <v>東岡山工業高等学校学校案内</v>
      </c>
      <c r="B4276" s="1" t="str">
        <f t="shared" si="218"/>
        <v>東岡山工業高等学校学校案内</v>
      </c>
      <c r="C4276" t="str">
        <f>"ヒガシ　オカヤマ　コウギョウ　コウトウ　ガッコウ　ガッコウ　アンナイ"</f>
        <v>ヒガシ　オカヤマ　コウギョウ　コウトウ　ガッコウ　ガッコウ　アンナイ</v>
      </c>
      <c r="D4276" t="str">
        <f>"東岡山工業高等学校"</f>
        <v>東岡山工業高等学校</v>
      </c>
      <c r="E4276" t="str">
        <f>"ヒガシ オカヤマ コウギョウ コウトウ ガッコウ"</f>
        <v>ヒガシ オカヤマ コウギョウ コウトウ ガッコウ</v>
      </c>
      <c r="F4276" t="str">
        <f>"岡山"</f>
        <v>岡山</v>
      </c>
      <c r="G4276" t="str">
        <f>"年刊"</f>
        <v>年刊</v>
      </c>
      <c r="H4276" t="str">
        <f>"2002222301180"</f>
        <v>2002222301180</v>
      </c>
      <c r="I4276" t="str">
        <f>HYPERLINK("#", "https://opac.libnet.pref.okayama.jp/licsxp-opac/WOpacMsgNewListToTifTilDetailAction.do?tilcod=2002222301180")</f>
        <v>https://opac.libnet.pref.okayama.jp/licsxp-opac/WOpacMsgNewListToTifTilDetailAction.do?tilcod=2002222301180</v>
      </c>
    </row>
    <row r="4277" spans="1:9" x14ac:dyDescent="0.4">
      <c r="A4277" t="str">
        <f>"東岡山工業高等学校学校要覧"</f>
        <v>東岡山工業高等学校学校要覧</v>
      </c>
      <c r="B4277" s="1" t="str">
        <f t="shared" si="218"/>
        <v>東岡山工業高等学校学校要覧</v>
      </c>
      <c r="C4277" t="str">
        <f>"ヒガシ　オカヤマ　コウギョウ　コウトウ　ガッコウ　ガッコウ　ヨウラン"</f>
        <v>ヒガシ　オカヤマ　コウギョウ　コウトウ　ガッコウ　ガッコウ　ヨウラン</v>
      </c>
      <c r="D4277" t="str">
        <f>"東岡山工業高等学校"</f>
        <v>東岡山工業高等学校</v>
      </c>
      <c r="E4277" t="str">
        <f>"ヒガシ オカヤマ コウギョウ コウトウ ガッコウ"</f>
        <v>ヒガシ オカヤマ コウギョウ コウトウ ガッコウ</v>
      </c>
      <c r="F4277" t="str">
        <f>"岡山"</f>
        <v>岡山</v>
      </c>
      <c r="G4277" t="str">
        <f>"年刊"</f>
        <v>年刊</v>
      </c>
      <c r="H4277" t="str">
        <f>"2002222300491"</f>
        <v>2002222300491</v>
      </c>
      <c r="I4277" t="str">
        <f>HYPERLINK("#", "https://opac.libnet.pref.okayama.jp/licsxp-opac/WOpacMsgNewListToTifTilDetailAction.do?tilcod=2002222300491")</f>
        <v>https://opac.libnet.pref.okayama.jp/licsxp-opac/WOpacMsgNewListToTifTilDetailAction.do?tilcod=2002222300491</v>
      </c>
    </row>
    <row r="4278" spans="1:9" x14ac:dyDescent="0.4">
      <c r="A4278" t="str">
        <f>"〔東岡山工業高等学校〕図書館案内"</f>
        <v>〔東岡山工業高等学校〕図書館案内</v>
      </c>
      <c r="B4278" s="1" t="str">
        <f t="shared" si="218"/>
        <v>〔東岡山工業高等学校〕図書館案内</v>
      </c>
      <c r="C4278" t="str">
        <f>"ヒガシ　オカヤマ　コウギョウ　コウトウ　ガッコウ　トショカン　アンナイ"</f>
        <v>ヒガシ　オカヤマ　コウギョウ　コウトウ　ガッコウ　トショカン　アンナイ</v>
      </c>
      <c r="D4278" t="str">
        <f>"東岡山工業高等学校図書委員会"</f>
        <v>東岡山工業高等学校図書委員会</v>
      </c>
      <c r="E4278" t="str">
        <f>"ヒガシオカヤマコウギョウコウトウガッコウトショイインカイ"</f>
        <v>ヒガシオカヤマコウギョウコウトウガッコウトショイインカイ</v>
      </c>
      <c r="F4278" t="str">
        <f>"岡山"</f>
        <v>岡山</v>
      </c>
      <c r="G4278" t="str">
        <f>"年刊"</f>
        <v>年刊</v>
      </c>
      <c r="H4278" t="str">
        <f>"2002222301655"</f>
        <v>2002222301655</v>
      </c>
      <c r="I4278" t="str">
        <f>HYPERLINK("#", "https://opac.libnet.pref.okayama.jp/licsxp-opac/WOpacMsgNewListToTifTilDetailAction.do?tilcod=2002222301655")</f>
        <v>https://opac.libnet.pref.okayama.jp/licsxp-opac/WOpacMsgNewListToTifTilDetailAction.do?tilcod=2002222301655</v>
      </c>
    </row>
    <row r="4279" spans="1:9" x14ac:dyDescent="0.4">
      <c r="A4279" t="str">
        <f>"〔東岡山工業高等学校〕東光"</f>
        <v>〔東岡山工業高等学校〕東光</v>
      </c>
      <c r="B4279" s="1" t="str">
        <f t="shared" si="218"/>
        <v>〔東岡山工業高等学校〕東光</v>
      </c>
      <c r="C4279" t="str">
        <f>"ヒガシ　オカヤマ　コウギョウ　コウトウ　ガッコウ＊トウコウ"</f>
        <v>ヒガシ　オカヤマ　コウギョウ　コウトウ　ガッコウ＊トウコウ</v>
      </c>
      <c r="D4279" t="str">
        <f>"東岡山工業高等学校広報委員会"</f>
        <v>東岡山工業高等学校広報委員会</v>
      </c>
      <c r="E4279" t="str">
        <f>"ヒガシオカヤマコウギョウコウトウガッコウコウホウイインカイ"</f>
        <v>ヒガシオカヤマコウギョウコウトウガッコウコウホウイインカイ</v>
      </c>
      <c r="F4279" t="str">
        <f>"岡山"</f>
        <v>岡山</v>
      </c>
      <c r="G4279" t="str">
        <f>"年刊"</f>
        <v>年刊</v>
      </c>
      <c r="H4279" t="str">
        <f>"2002222301974"</f>
        <v>2002222301974</v>
      </c>
      <c r="I4279" t="str">
        <f>HYPERLINK("#", "https://opac.libnet.pref.okayama.jp/licsxp-opac/WOpacMsgNewListToTifTilDetailAction.do?tilcod=2002222301974")</f>
        <v>https://opac.libnet.pref.okayama.jp/licsxp-opac/WOpacMsgNewListToTifTilDetailAction.do?tilcod=2002222301974</v>
      </c>
    </row>
    <row r="4280" spans="1:9" x14ac:dyDescent="0.4">
      <c r="A4280" t="str">
        <f>"東粟倉村議会だより"</f>
        <v>東粟倉村議会だより</v>
      </c>
      <c r="B4280" s="1" t="str">
        <f t="shared" si="218"/>
        <v>東粟倉村議会だより</v>
      </c>
      <c r="C4280" t="str">
        <f>"ヒガシアワクラソン　ギカイ　ダヨリ"</f>
        <v>ヒガシアワクラソン　ギカイ　ダヨリ</v>
      </c>
      <c r="D4280" t="str">
        <f>"岡山県東粟倉村議会"</f>
        <v>岡山県東粟倉村議会</v>
      </c>
      <c r="E4280" t="str">
        <f>"オカヤマケンヒガシアワクラソンギカイ"</f>
        <v>オカヤマケンヒガシアワクラソンギカイ</v>
      </c>
      <c r="F4280" t="str">
        <f>"東粟倉村"</f>
        <v>東粟倉村</v>
      </c>
      <c r="G4280" t="str">
        <f>"季刊"</f>
        <v>季刊</v>
      </c>
      <c r="H4280" t="str">
        <f>"2002222293651"</f>
        <v>2002222293651</v>
      </c>
      <c r="I4280" t="str">
        <f>HYPERLINK("#", "https://opac.libnet.pref.okayama.jp/licsxp-opac/WOpacMsgNewListToTifTilDetailAction.do?tilcod=2002222293651")</f>
        <v>https://opac.libnet.pref.okayama.jp/licsxp-opac/WOpacMsgNewListToTifTilDetailAction.do?tilcod=2002222293651</v>
      </c>
    </row>
    <row r="4281" spans="1:9" x14ac:dyDescent="0.4">
      <c r="A4281" t="str">
        <f>"東山公民館だより"</f>
        <v>東山公民館だより</v>
      </c>
      <c r="B4281" s="1" t="str">
        <f t="shared" si="218"/>
        <v>東山公民館だより</v>
      </c>
      <c r="C4281" t="str">
        <f>"ヒガシヤマ コウミンカン ダヨリ"</f>
        <v>ヒガシヤマ コウミンカン ダヨリ</v>
      </c>
      <c r="D4281" t="str">
        <f>"岡山市立東山公民館"</f>
        <v>岡山市立東山公民館</v>
      </c>
      <c r="E4281" t="str">
        <f>"オカヤマシリツ ヒガシヤマ コウミンカン"</f>
        <v>オカヤマシリツ ヒガシヤマ コウミンカン</v>
      </c>
      <c r="F4281" t="str">
        <f>"岡山"</f>
        <v>岡山</v>
      </c>
      <c r="G4281" t="str">
        <f>"隔月刊"</f>
        <v>隔月刊</v>
      </c>
      <c r="H4281" t="str">
        <f>"2002222341251"</f>
        <v>2002222341251</v>
      </c>
      <c r="I4281" t="str">
        <f>HYPERLINK("#", "https://opac.libnet.pref.okayama.jp/licsxp-opac/WOpacMsgNewListToTifTilDetailAction.do?tilcod=2002222341251")</f>
        <v>https://opac.libnet.pref.okayama.jp/licsxp-opac/WOpacMsgNewListToTifTilDetailAction.do?tilcod=2002222341251</v>
      </c>
    </row>
    <row r="4282" spans="1:9" x14ac:dyDescent="0.4">
      <c r="A4282" t="str">
        <f>"東山俳句"</f>
        <v>東山俳句</v>
      </c>
      <c r="B4282" s="1" t="str">
        <f t="shared" si="218"/>
        <v>東山俳句</v>
      </c>
      <c r="C4282" t="str">
        <f>"ヒガシヤマ ハイク"</f>
        <v>ヒガシヤマ ハイク</v>
      </c>
      <c r="D4282" t="str">
        <f>"東山俳句会"</f>
        <v>東山俳句会</v>
      </c>
      <c r="E4282" t="str">
        <f>"ヒガシヤマ ハイクカイ"</f>
        <v>ヒガシヤマ ハイクカイ</v>
      </c>
      <c r="F4282" t="str">
        <f>"岡山"</f>
        <v>岡山</v>
      </c>
      <c r="G4282" t="str">
        <f>"年刊"</f>
        <v>年刊</v>
      </c>
      <c r="H4282" t="str">
        <f>"2002222319611"</f>
        <v>2002222319611</v>
      </c>
      <c r="I4282" t="str">
        <f>HYPERLINK("#", "https://opac.libnet.pref.okayama.jp/licsxp-opac/WOpacMsgNewListToTifTilDetailAction.do?tilcod=2002222319611")</f>
        <v>https://opac.libnet.pref.okayama.jp/licsxp-opac/WOpacMsgNewListToTifTilDetailAction.do?tilcod=2002222319611</v>
      </c>
    </row>
    <row r="4283" spans="1:9" x14ac:dyDescent="0.4">
      <c r="A4283" t="str">
        <f>"東山陽光友会たより"</f>
        <v>東山陽光友会たより</v>
      </c>
      <c r="B4283" s="1" t="str">
        <f t="shared" si="218"/>
        <v>東山陽光友会たより</v>
      </c>
      <c r="C4283" t="str">
        <f>"ヒガシヤマ　ヨウコウユウカイ　タヨリ"</f>
        <v>ヒガシヤマ　ヨウコウユウカイ　タヨリ</v>
      </c>
      <c r="D4283" t="str">
        <f>"東山陽光友会"</f>
        <v>東山陽光友会</v>
      </c>
      <c r="E4283" t="str">
        <f>"ヒガシヤマヨウコウユウカイ"</f>
        <v>ヒガシヤマヨウコウユウカイ</v>
      </c>
      <c r="F4283" t="str">
        <f>"備前"</f>
        <v>備前</v>
      </c>
      <c r="G4283" t="str">
        <f>"月刊"</f>
        <v>月刊</v>
      </c>
      <c r="H4283" t="str">
        <f>"2002222293181"</f>
        <v>2002222293181</v>
      </c>
      <c r="I4283" t="str">
        <f>HYPERLINK("#", "https://opac.libnet.pref.okayama.jp/licsxp-opac/WOpacMsgNewListToTifTilDetailAction.do?tilcod=2002222293181")</f>
        <v>https://opac.libnet.pref.okayama.jp/licsxp-opac/WOpacMsgNewListToTifTilDetailAction.do?tilcod=2002222293181</v>
      </c>
    </row>
    <row r="4284" spans="1:9" x14ac:dyDescent="0.4">
      <c r="A4284" t="str">
        <f>"ひかり　"</f>
        <v>ひかり　</v>
      </c>
      <c r="B4284" s="1" t="str">
        <f t="shared" si="218"/>
        <v>ひかり　</v>
      </c>
      <c r="C4284" t="str">
        <f>"ヒカリ"</f>
        <v>ヒカリ</v>
      </c>
      <c r="D4284" t="str">
        <f>"高橋章"</f>
        <v>高橋章</v>
      </c>
      <c r="E4284" t="str">
        <f>"タカハシ　アキラ"</f>
        <v>タカハシ　アキラ</v>
      </c>
      <c r="F4284" t="str">
        <f>""</f>
        <v/>
      </c>
      <c r="G4284" t="str">
        <f>"頻度不明"</f>
        <v>頻度不明</v>
      </c>
      <c r="H4284" t="str">
        <f>"2002222280854"</f>
        <v>2002222280854</v>
      </c>
      <c r="I4284" t="str">
        <f>HYPERLINK("#", "https://opac.libnet.pref.okayama.jp/licsxp-opac/WOpacMsgNewListToTifTilDetailAction.do?tilcod=2002222280854")</f>
        <v>https://opac.libnet.pref.okayama.jp/licsxp-opac/WOpacMsgNewListToTifTilDetailAction.do?tilcod=2002222280854</v>
      </c>
    </row>
    <row r="4285" spans="1:9" x14ac:dyDescent="0.4">
      <c r="A4285" t="str">
        <f>"ひかり"</f>
        <v>ひかり</v>
      </c>
      <c r="B4285" s="1" t="str">
        <f t="shared" si="218"/>
        <v>ひかり</v>
      </c>
      <c r="C4285" t="str">
        <f>"ヒカリ"</f>
        <v>ヒカリ</v>
      </c>
      <c r="D4285" t="str">
        <f>"森永ミルク中毒のこどもを守る会"</f>
        <v>森永ミルク中毒のこどもを守る会</v>
      </c>
      <c r="E4285" t="str">
        <f>"モリナガミルクチュウドクノコドモオマモルカイ"</f>
        <v>モリナガミルクチュウドクノコドモオマモルカイ</v>
      </c>
      <c r="F4285" t="str">
        <f>"岡山"</f>
        <v>岡山</v>
      </c>
      <c r="G4285" t="str">
        <f>"月刊"</f>
        <v>月刊</v>
      </c>
      <c r="H4285" t="str">
        <f>"2002222300960"</f>
        <v>2002222300960</v>
      </c>
      <c r="I4285" t="str">
        <f>HYPERLINK("#", "https://opac.libnet.pref.okayama.jp/licsxp-opac/WOpacMsgNewListToTifTilDetailAction.do?tilcod=2002222300960")</f>
        <v>https://opac.libnet.pref.okayama.jp/licsxp-opac/WOpacMsgNewListToTifTilDetailAction.do?tilcod=2002222300960</v>
      </c>
    </row>
    <row r="4286" spans="1:9" x14ac:dyDescent="0.4">
      <c r="A4286" t="str">
        <f>"光と詩"</f>
        <v>光と詩</v>
      </c>
      <c r="B4286" s="1" t="str">
        <f t="shared" si="218"/>
        <v>光と詩</v>
      </c>
      <c r="C4286" t="str">
        <f>"ヒカリ　ト　ウタ"</f>
        <v>ヒカリ　ト　ウタ</v>
      </c>
      <c r="D4286" t="str">
        <f>"光と詩の会"</f>
        <v>光と詩の会</v>
      </c>
      <c r="E4286" t="str">
        <f>"ヒカリトウタノカイ"</f>
        <v>ヒカリトウタノカイ</v>
      </c>
      <c r="F4286" t="str">
        <f>"郷内村（児島郡）"</f>
        <v>郷内村（児島郡）</v>
      </c>
      <c r="G4286" t="str">
        <f>"隔月刊"</f>
        <v>隔月刊</v>
      </c>
      <c r="H4286" t="str">
        <f>"2002222301731"</f>
        <v>2002222301731</v>
      </c>
      <c r="I4286" t="str">
        <f>HYPERLINK("#", "https://opac.libnet.pref.okayama.jp/licsxp-opac/WOpacMsgNewListToTifTilDetailAction.do?tilcod=2002222301731")</f>
        <v>https://opac.libnet.pref.okayama.jp/licsxp-opac/WOpacMsgNewListToTifTilDetailAction.do?tilcod=2002222301731</v>
      </c>
    </row>
    <row r="4287" spans="1:9" x14ac:dyDescent="0.4">
      <c r="A4287" t="str">
        <f>"ひぐらし"</f>
        <v>ひぐらし</v>
      </c>
      <c r="B4287" s="1" t="str">
        <f t="shared" si="218"/>
        <v>ひぐらし</v>
      </c>
      <c r="C4287" t="str">
        <f>"ヒグラシ"</f>
        <v>ヒグラシ</v>
      </c>
      <c r="D4287" t="str">
        <f>"ひぐらし発行所"</f>
        <v>ひぐらし発行所</v>
      </c>
      <c r="E4287" t="str">
        <f>"ヒグラシ ハッコウショ"</f>
        <v>ヒグラシ ハッコウショ</v>
      </c>
      <c r="F4287" t="str">
        <f>"岡山"</f>
        <v>岡山</v>
      </c>
      <c r="G4287" t="str">
        <f>"月刊"</f>
        <v>月刊</v>
      </c>
      <c r="H4287" t="str">
        <f>"2002222312386"</f>
        <v>2002222312386</v>
      </c>
      <c r="I4287" t="str">
        <f>HYPERLINK("#", "https://opac.libnet.pref.okayama.jp/licsxp-opac/WOpacMsgNewListToTifTilDetailAction.do?tilcod=2002222312386")</f>
        <v>https://opac.libnet.pref.okayama.jp/licsxp-opac/WOpacMsgNewListToTifTilDetailAction.do?tilcod=2002222312386</v>
      </c>
    </row>
    <row r="4288" spans="1:9" x14ac:dyDescent="0.4">
      <c r="A4288" t="str">
        <f>"日暮らし"</f>
        <v>日暮らし</v>
      </c>
      <c r="B4288" s="1" t="str">
        <f t="shared" si="218"/>
        <v>日暮らし</v>
      </c>
      <c r="C4288" t="str">
        <f>"ヒグラシ"</f>
        <v>ヒグラシ</v>
      </c>
      <c r="D4288" t="str">
        <f>"佐野アトリエ"</f>
        <v>佐野アトリエ</v>
      </c>
      <c r="E4288" t="str">
        <f>"サノアトリエ"</f>
        <v>サノアトリエ</v>
      </c>
      <c r="F4288" t="str">
        <f>"岡山"</f>
        <v>岡山</v>
      </c>
      <c r="G4288" t="str">
        <f>"年刊"</f>
        <v>年刊</v>
      </c>
      <c r="H4288" t="str">
        <f>"2002222302118"</f>
        <v>2002222302118</v>
      </c>
      <c r="I4288" t="str">
        <f>HYPERLINK("#", "https://opac.libnet.pref.okayama.jp/licsxp-opac/WOpacMsgNewListToTifTilDetailAction.do?tilcod=2002222302118")</f>
        <v>https://opac.libnet.pref.okayama.jp/licsxp-opac/WOpacMsgNewListToTifTilDetailAction.do?tilcod=2002222302118</v>
      </c>
    </row>
    <row r="4289" spans="1:9" x14ac:dyDescent="0.4">
      <c r="A4289" t="str">
        <f>"非行問題"</f>
        <v>非行問題</v>
      </c>
      <c r="B4289" s="1" t="str">
        <f t="shared" si="218"/>
        <v>非行問題</v>
      </c>
      <c r="C4289" t="str">
        <f>"ヒコウ　モンダイ"</f>
        <v>ヒコウ　モンダイ</v>
      </c>
      <c r="D4289" t="str">
        <f>"岡山県立成徳学校"</f>
        <v>岡山県立成徳学校</v>
      </c>
      <c r="E4289" t="str">
        <f>"オカヤマケンリツセイトクガッコウ"</f>
        <v>オカヤマケンリツセイトクガッコウ</v>
      </c>
      <c r="F4289" t="str">
        <f>""</f>
        <v/>
      </c>
      <c r="G4289" t="str">
        <f t="shared" ref="G4289:G4295" si="220">"頻度不明"</f>
        <v>頻度不明</v>
      </c>
      <c r="H4289" t="str">
        <f>"2002222289263"</f>
        <v>2002222289263</v>
      </c>
      <c r="I4289" t="str">
        <f>HYPERLINK("#", "https://opac.libnet.pref.okayama.jp/licsxp-opac/WOpacMsgNewListToTifTilDetailAction.do?tilcod=2002222289263")</f>
        <v>https://opac.libnet.pref.okayama.jp/licsxp-opac/WOpacMsgNewListToTifTilDetailAction.do?tilcod=2002222289263</v>
      </c>
    </row>
    <row r="4290" spans="1:9" x14ac:dyDescent="0.4">
      <c r="A4290" t="str">
        <f>"ひこうきぐも；矢掛・美星子ども情報誌"</f>
        <v>ひこうきぐも；矢掛・美星子ども情報誌</v>
      </c>
      <c r="B4290" s="1" t="str">
        <f t="shared" si="218"/>
        <v>ひこうきぐも；矢掛・美星子ども情報誌</v>
      </c>
      <c r="C4290" t="str">
        <f>"ヒコウキグモ＊ヤカゲ　ビセイ　コドモ　ジョウホウシ"</f>
        <v>ヒコウキグモ＊ヤカゲ　ビセイ　コドモ　ジョウホウシ</v>
      </c>
      <c r="D4290" t="str">
        <f>"矢掛町教育委員会"</f>
        <v>矢掛町教育委員会</v>
      </c>
      <c r="E4290" t="str">
        <f>"ヤカゲチョウ キョウイク イインカイ"</f>
        <v>ヤカゲチョウ キョウイク イインカイ</v>
      </c>
      <c r="F4290" t="str">
        <f>"矢掛"</f>
        <v>矢掛</v>
      </c>
      <c r="G4290" t="str">
        <f t="shared" si="220"/>
        <v>頻度不明</v>
      </c>
      <c r="H4290" t="str">
        <f>"2002222285901"</f>
        <v>2002222285901</v>
      </c>
      <c r="I4290" t="str">
        <f>HYPERLINK("#", "https://opac.libnet.pref.okayama.jp/licsxp-opac/WOpacMsgNewListToTifTilDetailAction.do?tilcod=2002222285901")</f>
        <v>https://opac.libnet.pref.okayama.jp/licsxp-opac/WOpacMsgNewListToTifTilDetailAction.do?tilcod=2002222285901</v>
      </c>
    </row>
    <row r="4291" spans="1:9" x14ac:dyDescent="0.4">
      <c r="A4291" t="str">
        <f>"蘖"</f>
        <v>蘖</v>
      </c>
      <c r="B4291" s="1" t="str">
        <f t="shared" si="218"/>
        <v>蘖</v>
      </c>
      <c r="C4291" t="str">
        <f>"ヒコバエ"</f>
        <v>ヒコバエ</v>
      </c>
      <c r="D4291" t="str">
        <f>"井笠川柳会"</f>
        <v>井笠川柳会</v>
      </c>
      <c r="E4291" t="str">
        <f>"イカサ センリュウ カイ"</f>
        <v>イカサ センリュウ カイ</v>
      </c>
      <c r="F4291" t="str">
        <f>"笠岡"</f>
        <v>笠岡</v>
      </c>
      <c r="G4291" t="str">
        <f t="shared" si="220"/>
        <v>頻度不明</v>
      </c>
      <c r="H4291" t="str">
        <f>"2002222339631"</f>
        <v>2002222339631</v>
      </c>
      <c r="I4291" t="str">
        <f>HYPERLINK("#", "https://opac.libnet.pref.okayama.jp/licsxp-opac/WOpacMsgNewListToTifTilDetailAction.do?tilcod=2002222339631")</f>
        <v>https://opac.libnet.pref.okayama.jp/licsxp-opac/WOpacMsgNewListToTifTilDetailAction.do?tilcod=2002222339631</v>
      </c>
    </row>
    <row r="4292" spans="1:9" x14ac:dyDescent="0.4">
      <c r="A4292" t="str">
        <f>"備作"</f>
        <v>備作</v>
      </c>
      <c r="B4292" s="1" t="str">
        <f t="shared" ref="B4292:B4355" si="221">HYPERLINK("#", A4292)</f>
        <v>備作</v>
      </c>
      <c r="C4292" t="str">
        <f>"ビサク"</f>
        <v>ビサク</v>
      </c>
      <c r="D4292" t="str">
        <f>"備作発行所"</f>
        <v>備作発行所</v>
      </c>
      <c r="E4292" t="str">
        <f>"ビサクハッコウショ"</f>
        <v>ビサクハッコウショ</v>
      </c>
      <c r="F4292" t="str">
        <f>""</f>
        <v/>
      </c>
      <c r="G4292" t="str">
        <f t="shared" si="220"/>
        <v>頻度不明</v>
      </c>
      <c r="H4292" t="str">
        <f>"2002222289273"</f>
        <v>2002222289273</v>
      </c>
      <c r="I4292" t="str">
        <f>HYPERLINK("#", "https://opac.libnet.pref.okayama.jp/licsxp-opac/WOpacMsgNewListToTifTilDetailAction.do?tilcod=2002222289273")</f>
        <v>https://opac.libnet.pref.okayama.jp/licsxp-opac/WOpacMsgNewListToTifTilDetailAction.do?tilcod=2002222289273</v>
      </c>
    </row>
    <row r="4293" spans="1:9" x14ac:dyDescent="0.4">
      <c r="A4293" t="str">
        <f>"備作教育"</f>
        <v>備作教育</v>
      </c>
      <c r="B4293" s="1" t="str">
        <f t="shared" si="221"/>
        <v>備作教育</v>
      </c>
      <c r="C4293" t="str">
        <f>"ビサク キョウイク"</f>
        <v>ビサク キョウイク</v>
      </c>
      <c r="D4293" t="str">
        <f>"岡山県教育会"</f>
        <v>岡山県教育会</v>
      </c>
      <c r="E4293" t="str">
        <f>"オカヤマケン キョウイクカイ"</f>
        <v>オカヤマケン キョウイクカイ</v>
      </c>
      <c r="F4293" t="str">
        <f>"岡山"</f>
        <v>岡山</v>
      </c>
      <c r="G4293" t="str">
        <f t="shared" si="220"/>
        <v>頻度不明</v>
      </c>
      <c r="H4293" t="str">
        <f>"2002222289283"</f>
        <v>2002222289283</v>
      </c>
      <c r="I4293" t="str">
        <f>HYPERLINK("#", "https://opac.libnet.pref.okayama.jp/licsxp-opac/WOpacMsgNewListToTifTilDetailAction.do?tilcod=2002222289283")</f>
        <v>https://opac.libnet.pref.okayama.jp/licsxp-opac/WOpacMsgNewListToTifTilDetailAction.do?tilcod=2002222289283</v>
      </c>
    </row>
    <row r="4294" spans="1:9" x14ac:dyDescent="0.4">
      <c r="A4294" t="str">
        <f>"備作恵済会々報"</f>
        <v>備作恵済会々報</v>
      </c>
      <c r="B4294" s="1" t="str">
        <f t="shared" si="221"/>
        <v>備作恵済会々報</v>
      </c>
      <c r="C4294" t="str">
        <f>"ビサク　ケイザイカイ　カイホウ"</f>
        <v>ビサク　ケイザイカイ　カイホウ</v>
      </c>
      <c r="D4294" t="str">
        <f>"備作恵済会"</f>
        <v>備作恵済会</v>
      </c>
      <c r="E4294" t="str">
        <f>"ビサク ケイサイカイ"</f>
        <v>ビサク ケイサイカイ</v>
      </c>
      <c r="F4294" t="str">
        <f>""</f>
        <v/>
      </c>
      <c r="G4294" t="str">
        <f t="shared" si="220"/>
        <v>頻度不明</v>
      </c>
      <c r="H4294" t="str">
        <f>"2002222289293"</f>
        <v>2002222289293</v>
      </c>
      <c r="I4294" t="str">
        <f>HYPERLINK("#", "https://opac.libnet.pref.okayama.jp/licsxp-opac/WOpacMsgNewListToTifTilDetailAction.do?tilcod=2002222289293")</f>
        <v>https://opac.libnet.pref.okayama.jp/licsxp-opac/WOpacMsgNewListToTifTilDetailAction.do?tilcod=2002222289293</v>
      </c>
    </row>
    <row r="4295" spans="1:9" x14ac:dyDescent="0.4">
      <c r="A4295" t="str">
        <f>"備作恵済会報"</f>
        <v>備作恵済会報</v>
      </c>
      <c r="B4295" s="1" t="str">
        <f t="shared" si="221"/>
        <v>備作恵済会報</v>
      </c>
      <c r="C4295" t="str">
        <f>"ビサク　ケイザイカイホウ"</f>
        <v>ビサク　ケイザイカイホウ</v>
      </c>
      <c r="D4295" t="str">
        <f>"備作恵済会"</f>
        <v>備作恵済会</v>
      </c>
      <c r="E4295" t="str">
        <f>"ビサク ケイサイカイ"</f>
        <v>ビサク ケイサイカイ</v>
      </c>
      <c r="F4295" t="str">
        <f>""</f>
        <v/>
      </c>
      <c r="G4295" t="str">
        <f t="shared" si="220"/>
        <v>頻度不明</v>
      </c>
      <c r="H4295" t="str">
        <f>"2002222289303"</f>
        <v>2002222289303</v>
      </c>
      <c r="I4295" t="str">
        <f>HYPERLINK("#", "https://opac.libnet.pref.okayama.jp/licsxp-opac/WOpacMsgNewListToTifTilDetailAction.do?tilcod=2002222289303")</f>
        <v>https://opac.libnet.pref.okayama.jp/licsxp-opac/WOpacMsgNewListToTifTilDetailAction.do?tilcod=2002222289303</v>
      </c>
    </row>
    <row r="4296" spans="1:9" x14ac:dyDescent="0.4">
      <c r="A4296" t="str">
        <f>"備作高等学校学校案内"</f>
        <v>備作高等学校学校案内</v>
      </c>
      <c r="B4296" s="1" t="str">
        <f t="shared" si="221"/>
        <v>備作高等学校学校案内</v>
      </c>
      <c r="C4296" t="str">
        <f>"ビサク　コウトウ　ガッコウ　ガッコウ　アンナイ"</f>
        <v>ビサク　コウトウ　ガッコウ　ガッコウ　アンナイ</v>
      </c>
      <c r="D4296" t="str">
        <f>"備作高等学校"</f>
        <v>備作高等学校</v>
      </c>
      <c r="E4296" t="str">
        <f>"ビサクコウトウガッコウ"</f>
        <v>ビサクコウトウガッコウ</v>
      </c>
      <c r="F4296" t="str">
        <f>"赤磐市"</f>
        <v>赤磐市</v>
      </c>
      <c r="G4296" t="str">
        <f>"年刊"</f>
        <v>年刊</v>
      </c>
      <c r="H4296" t="str">
        <f>"2002222301197"</f>
        <v>2002222301197</v>
      </c>
      <c r="I4296" t="str">
        <f>HYPERLINK("#", "https://opac.libnet.pref.okayama.jp/licsxp-opac/WOpacMsgNewListToTifTilDetailAction.do?tilcod=2002222301197")</f>
        <v>https://opac.libnet.pref.okayama.jp/licsxp-opac/WOpacMsgNewListToTifTilDetailAction.do?tilcod=2002222301197</v>
      </c>
    </row>
    <row r="4297" spans="1:9" x14ac:dyDescent="0.4">
      <c r="A4297" t="str">
        <f>"備作高等学校学校要覧"</f>
        <v>備作高等学校学校要覧</v>
      </c>
      <c r="B4297" s="1" t="str">
        <f t="shared" si="221"/>
        <v>備作高等学校学校要覧</v>
      </c>
      <c r="C4297" t="str">
        <f>"ビサク　コウトウ　ガッコウ　ガッコウ　ヨウラン"</f>
        <v>ビサク　コウトウ　ガッコウ　ガッコウ　ヨウラン</v>
      </c>
      <c r="D4297" t="str">
        <f>"備作高等学校"</f>
        <v>備作高等学校</v>
      </c>
      <c r="E4297" t="str">
        <f>"ビサクコウトウガッコウ"</f>
        <v>ビサクコウトウガッコウ</v>
      </c>
      <c r="F4297" t="str">
        <f>"赤磐市"</f>
        <v>赤磐市</v>
      </c>
      <c r="G4297" t="str">
        <f>"年刊"</f>
        <v>年刊</v>
      </c>
      <c r="H4297" t="str">
        <f>"2002222300605"</f>
        <v>2002222300605</v>
      </c>
      <c r="I4297" t="str">
        <f>HYPERLINK("#", "https://opac.libnet.pref.okayama.jp/licsxp-opac/WOpacMsgNewListToTifTilDetailAction.do?tilcod=2002222300605")</f>
        <v>https://opac.libnet.pref.okayama.jp/licsxp-opac/WOpacMsgNewListToTifTilDetailAction.do?tilcod=2002222300605</v>
      </c>
    </row>
    <row r="4298" spans="1:9" x14ac:dyDescent="0.4">
      <c r="A4298" t="str">
        <f>"備作時事"</f>
        <v>備作時事</v>
      </c>
      <c r="B4298" s="1" t="str">
        <f t="shared" si="221"/>
        <v>備作時事</v>
      </c>
      <c r="C4298" t="str">
        <f>"ビサク　ジジ"</f>
        <v>ビサク　ジジ</v>
      </c>
      <c r="D4298" t="str">
        <f>"備作時事社"</f>
        <v>備作時事社</v>
      </c>
      <c r="E4298" t="str">
        <f>"ビサクジジャ"</f>
        <v>ビサクジジャ</v>
      </c>
      <c r="F4298" t="str">
        <f>"岡山"</f>
        <v>岡山</v>
      </c>
      <c r="G4298" t="str">
        <f>"日刊"</f>
        <v>日刊</v>
      </c>
      <c r="H4298" t="str">
        <f>"2002222301000"</f>
        <v>2002222301000</v>
      </c>
      <c r="I4298" t="str">
        <f>HYPERLINK("#", "https://opac.libnet.pref.okayama.jp/licsxp-opac/WOpacMsgNewListToTifTilDetailAction.do?tilcod=2002222301000")</f>
        <v>https://opac.libnet.pref.okayama.jp/licsxp-opac/WOpacMsgNewListToTifTilDetailAction.do?tilcod=2002222301000</v>
      </c>
    </row>
    <row r="4299" spans="1:9" x14ac:dyDescent="0.4">
      <c r="A4299" t="str">
        <f>"備作大来会"</f>
        <v>備作大来会</v>
      </c>
      <c r="B4299" s="1" t="str">
        <f t="shared" si="221"/>
        <v>備作大来会</v>
      </c>
      <c r="C4299" t="str">
        <f>"ビサク　ダイライ　カイ"</f>
        <v>ビサク　ダイライ　カイ</v>
      </c>
      <c r="D4299" t="str">
        <f>""</f>
        <v/>
      </c>
      <c r="E4299" t="str">
        <f>""</f>
        <v/>
      </c>
      <c r="F4299" t="str">
        <f>""</f>
        <v/>
      </c>
      <c r="G4299" t="str">
        <f>"頻度不明"</f>
        <v>頻度不明</v>
      </c>
      <c r="H4299" t="str">
        <f>"2002222289313"</f>
        <v>2002222289313</v>
      </c>
      <c r="I4299" t="str">
        <f>HYPERLINK("#", "https://opac.libnet.pref.okayama.jp/licsxp-opac/WOpacMsgNewListToTifTilDetailAction.do?tilcod=2002222289313")</f>
        <v>https://opac.libnet.pref.okayama.jp/licsxp-opac/WOpacMsgNewListToTifTilDetailAction.do?tilcod=2002222289313</v>
      </c>
    </row>
    <row r="4300" spans="1:9" x14ac:dyDescent="0.4">
      <c r="A4300" t="str">
        <f>"備作之古文書"</f>
        <v>備作之古文書</v>
      </c>
      <c r="B4300" s="1" t="str">
        <f t="shared" si="221"/>
        <v>備作之古文書</v>
      </c>
      <c r="C4300" t="str">
        <f>"ビサク　ノ　コモンジョ"</f>
        <v>ビサク　ノ　コモンジョ</v>
      </c>
      <c r="D4300" t="str">
        <f>"備作史料研究会"</f>
        <v>備作史料研究会</v>
      </c>
      <c r="E4300" t="str">
        <f>"ビサクシリョウケンキュウカイ"</f>
        <v>ビサクシリョウケンキュウカイ</v>
      </c>
      <c r="F4300" t="str">
        <f>"岡山"</f>
        <v>岡山</v>
      </c>
      <c r="G4300" t="str">
        <f>"年刊"</f>
        <v>年刊</v>
      </c>
      <c r="H4300" t="str">
        <f>"2002222293191"</f>
        <v>2002222293191</v>
      </c>
      <c r="I4300" t="str">
        <f>HYPERLINK("#", "https://opac.libnet.pref.okayama.jp/licsxp-opac/WOpacMsgNewListToTifTilDetailAction.do?tilcod=2002222293191")</f>
        <v>https://opac.libnet.pref.okayama.jp/licsxp-opac/WOpacMsgNewListToTifTilDetailAction.do?tilcod=2002222293191</v>
      </c>
    </row>
    <row r="4301" spans="1:9" x14ac:dyDescent="0.4">
      <c r="A4301" t="str">
        <f>"ひざし"</f>
        <v>ひざし</v>
      </c>
      <c r="B4301" s="1" t="str">
        <f t="shared" si="221"/>
        <v>ひざし</v>
      </c>
      <c r="C4301" t="str">
        <f>"ヒザシ"</f>
        <v>ヒザシ</v>
      </c>
      <c r="D4301" t="str">
        <f>"岡南荘三備会"</f>
        <v>岡南荘三備会</v>
      </c>
      <c r="E4301" t="str">
        <f>"コウナンソウ サンビカイ"</f>
        <v>コウナンソウ サンビカイ</v>
      </c>
      <c r="F4301" t="str">
        <f>"岡山"</f>
        <v>岡山</v>
      </c>
      <c r="G4301" t="str">
        <f>"年刊"</f>
        <v>年刊</v>
      </c>
      <c r="H4301" t="str">
        <f>"2002222341070"</f>
        <v>2002222341070</v>
      </c>
      <c r="I4301" t="str">
        <f>HYPERLINK("#", "https://opac.libnet.pref.okayama.jp/licsxp-opac/WOpacMsgNewListToTifTilDetailAction.do?tilcod=2002222341070")</f>
        <v>https://opac.libnet.pref.okayama.jp/licsxp-opac/WOpacMsgNewListToTifTilDetailAction.do?tilcod=2002222341070</v>
      </c>
    </row>
    <row r="4302" spans="1:9" x14ac:dyDescent="0.4">
      <c r="A4302" t="str">
        <f>"備讃空中花粉研究会誌"</f>
        <v>備讃空中花粉研究会誌</v>
      </c>
      <c r="B4302" s="1" t="str">
        <f t="shared" si="221"/>
        <v>備讃空中花粉研究会誌</v>
      </c>
      <c r="C4302" t="str">
        <f>"ビサン　クウチュウ　カフン　ケンキュウカイシ"</f>
        <v>ビサン　クウチュウ　カフン　ケンキュウカイシ</v>
      </c>
      <c r="D4302" t="str">
        <f>"備讃空中花粉研究会"</f>
        <v>備讃空中花粉研究会</v>
      </c>
      <c r="E4302" t="str">
        <f>"ビサンクウチュウカフンケンキュウカイ"</f>
        <v>ビサンクウチュウカフンケンキュウカイ</v>
      </c>
      <c r="F4302" t="str">
        <f>"賀陽町（上房郡）"</f>
        <v>賀陽町（上房郡）</v>
      </c>
      <c r="G4302" t="str">
        <f>"年刊"</f>
        <v>年刊</v>
      </c>
      <c r="H4302" t="str">
        <f>"2002222302112"</f>
        <v>2002222302112</v>
      </c>
      <c r="I4302" t="str">
        <f>HYPERLINK("#", "https://opac.libnet.pref.okayama.jp/licsxp-opac/WOpacMsgNewListToTifTilDetailAction.do?tilcod=2002222302112")</f>
        <v>https://opac.libnet.pref.okayama.jp/licsxp-opac/WOpacMsgNewListToTifTilDetailAction.do?tilcod=2002222302112</v>
      </c>
    </row>
    <row r="4303" spans="1:9" x14ac:dyDescent="0.4">
      <c r="A4303" t="str">
        <f>"ひしお通信"</f>
        <v>ひしお通信</v>
      </c>
      <c r="B4303" s="1" t="str">
        <f t="shared" si="221"/>
        <v>ひしお通信</v>
      </c>
      <c r="C4303" t="str">
        <f>"ヒシオ　ツウシン"</f>
        <v>ヒシオ　ツウシン</v>
      </c>
      <c r="D4303" t="str">
        <f>"勝山文化住来館ひしお"</f>
        <v>勝山文化住来館ひしお</v>
      </c>
      <c r="E4303" t="str">
        <f>"カツヤマ ブンカ オウライカン ヒシオ"</f>
        <v>カツヤマ ブンカ オウライカン ヒシオ</v>
      </c>
      <c r="F4303" t="str">
        <f>"真庭"</f>
        <v>真庭</v>
      </c>
      <c r="G4303" t="str">
        <f>"季刊"</f>
        <v>季刊</v>
      </c>
      <c r="H4303" t="str">
        <f>"2002222302433"</f>
        <v>2002222302433</v>
      </c>
      <c r="I4303" t="str">
        <f>HYPERLINK("#", "https://opac.libnet.pref.okayama.jp/licsxp-opac/WOpacMsgNewListToTifTilDetailAction.do?tilcod=2002222302433")</f>
        <v>https://opac.libnet.pref.okayama.jp/licsxp-opac/WOpacMsgNewListToTifTilDetailAction.do?tilcod=2002222302433</v>
      </c>
    </row>
    <row r="4304" spans="1:9" x14ac:dyDescent="0.4">
      <c r="A4304" t="str">
        <f>"〔日近村皆兵団〕団友"</f>
        <v>〔日近村皆兵団〕団友</v>
      </c>
      <c r="B4304" s="1" t="str">
        <f t="shared" si="221"/>
        <v>〔日近村皆兵団〕団友</v>
      </c>
      <c r="C4304" t="str">
        <f>"ヒジカイソン　カイヘイダン＊ダンユウ"</f>
        <v>ヒジカイソン　カイヘイダン＊ダンユウ</v>
      </c>
      <c r="D4304" t="str">
        <f>"日近村皆兵団"</f>
        <v>日近村皆兵団</v>
      </c>
      <c r="E4304" t="str">
        <f>"ヒジカイソン カイヘイダン"</f>
        <v>ヒジカイソン カイヘイダン</v>
      </c>
      <c r="F4304" t="str">
        <f>""</f>
        <v/>
      </c>
      <c r="G4304" t="str">
        <f>"頻度不明"</f>
        <v>頻度不明</v>
      </c>
      <c r="H4304" t="str">
        <f>"2002222284213"</f>
        <v>2002222284213</v>
      </c>
      <c r="I4304" t="str">
        <f>HYPERLINK("#", "https://opac.libnet.pref.okayama.jp/licsxp-opac/WOpacMsgNewListToTifTilDetailAction.do?tilcod=2002222284213")</f>
        <v>https://opac.libnet.pref.okayama.jp/licsxp-opac/WOpacMsgNewListToTifTilDetailAction.do?tilcod=2002222284213</v>
      </c>
    </row>
    <row r="4305" spans="1:9" x14ac:dyDescent="0.4">
      <c r="A4305" t="str">
        <f>"VISIT WEST JAPAN"</f>
        <v>VISIT WEST JAPAN</v>
      </c>
      <c r="B4305" s="1" t="str">
        <f t="shared" si="221"/>
        <v>VISIT WEST JAPAN</v>
      </c>
      <c r="C4305" t="str">
        <f>"ビジット ウエスト ジャパン"</f>
        <v>ビジット ウエスト ジャパン</v>
      </c>
      <c r="D4305" t="str">
        <f>"リョービツアーズ"</f>
        <v>リョービツアーズ</v>
      </c>
      <c r="E4305" t="str">
        <f>"リョービ ツアーズ"</f>
        <v>リョービ ツアーズ</v>
      </c>
      <c r="F4305" t="str">
        <f>""</f>
        <v/>
      </c>
      <c r="G4305" t="str">
        <f>"季刊"</f>
        <v>季刊</v>
      </c>
      <c r="H4305" t="str">
        <f>"2002222328986"</f>
        <v>2002222328986</v>
      </c>
      <c r="I4305" t="str">
        <f>HYPERLINK("#", "https://opac.libnet.pref.okayama.jp/licsxp-opac/WOpacMsgNewListToTifTilDetailAction.do?tilcod=2002222328986")</f>
        <v>https://opac.libnet.pref.okayama.jp/licsxp-opac/WOpacMsgNewListToTifTilDetailAction.do?tilcod=2002222328986</v>
      </c>
    </row>
    <row r="4306" spans="1:9" x14ac:dyDescent="0.4">
      <c r="A4306" t="str">
        <f>"VISIT WEST JAPAN OKAYAMA"</f>
        <v>VISIT WEST JAPAN OKAYAMA</v>
      </c>
      <c r="B4306" s="1" t="str">
        <f t="shared" si="221"/>
        <v>VISIT WEST JAPAN OKAYAMA</v>
      </c>
      <c r="C4306" t="str">
        <f>"ビジット ウエスト ジャパン オカヤマ"</f>
        <v>ビジット ウエスト ジャパン オカヤマ</v>
      </c>
      <c r="D4306" t="str">
        <f>"リョービツアーズ"</f>
        <v>リョービツアーズ</v>
      </c>
      <c r="E4306" t="str">
        <f>""</f>
        <v/>
      </c>
      <c r="F4306" t="str">
        <f>""</f>
        <v/>
      </c>
      <c r="G4306" t="str">
        <f>"季刊"</f>
        <v>季刊</v>
      </c>
      <c r="H4306" t="str">
        <f>"2002222330947"</f>
        <v>2002222330947</v>
      </c>
      <c r="I4306" t="str">
        <f>HYPERLINK("#", "https://opac.libnet.pref.okayama.jp/licsxp-opac/WOpacMsgNewListToTifTilDetailAction.do?tilcod=2002222330947")</f>
        <v>https://opac.libnet.pref.okayama.jp/licsxp-opac/WOpacMsgNewListToTifTilDetailAction.do?tilcod=2002222330947</v>
      </c>
    </row>
    <row r="4307" spans="1:9" x14ac:dyDescent="0.4">
      <c r="A4307" t="str">
        <f>"Business Support(ビジネスサポート)"</f>
        <v>Business Support(ビジネスサポート)</v>
      </c>
      <c r="B4307" s="1" t="str">
        <f t="shared" si="221"/>
        <v>Business Support(ビジネスサポート)</v>
      </c>
      <c r="C4307" t="str">
        <f>"ビジネス サポート"</f>
        <v>ビジネス サポート</v>
      </c>
      <c r="D4307" t="str">
        <f>"岡山県立図書館"</f>
        <v>岡山県立図書館</v>
      </c>
      <c r="E4307" t="str">
        <f>"オカヤマケンリツ トショカン"</f>
        <v>オカヤマケンリツ トショカン</v>
      </c>
      <c r="F4307" t="str">
        <f>"岡山"</f>
        <v>岡山</v>
      </c>
      <c r="G4307" t="str">
        <f>"不定期刊"</f>
        <v>不定期刊</v>
      </c>
      <c r="H4307" t="str">
        <f>"2002222301100"</f>
        <v>2002222301100</v>
      </c>
      <c r="I4307" t="str">
        <f>HYPERLINK("#", "https://opac.libnet.pref.okayama.jp/licsxp-opac/WOpacMsgNewListToTifTilDetailAction.do?tilcod=2002222301100")</f>
        <v>https://opac.libnet.pref.okayama.jp/licsxp-opac/WOpacMsgNewListToTifTilDetailAction.do?tilcod=2002222301100</v>
      </c>
    </row>
    <row r="4308" spans="1:9" x14ac:dyDescent="0.4">
      <c r="A4308" t="str">
        <f>"美術教育岡山"</f>
        <v>美術教育岡山</v>
      </c>
      <c r="B4308" s="1" t="str">
        <f t="shared" si="221"/>
        <v>美術教育岡山</v>
      </c>
      <c r="C4308" t="str">
        <f>"ビジュツ キョウイク オカヤマ"</f>
        <v>ビジュツ キョウイク オカヤマ</v>
      </c>
      <c r="D4308" t="str">
        <f>"岡山県美術教育研究協議会"</f>
        <v>岡山県美術教育研究協議会</v>
      </c>
      <c r="E4308" t="str">
        <f>"オカヤマケン ビジュツ キョウイク ケンキュウ キョウギカイ"</f>
        <v>オカヤマケン ビジュツ キョウイク ケンキュウ キョウギカイ</v>
      </c>
      <c r="F4308" t="str">
        <f>"岡山"</f>
        <v>岡山</v>
      </c>
      <c r="G4308" t="str">
        <f>"頻度不明"</f>
        <v>頻度不明</v>
      </c>
      <c r="H4308" t="str">
        <f>"2002222308989"</f>
        <v>2002222308989</v>
      </c>
      <c r="I4308" t="str">
        <f>HYPERLINK("#", "https://opac.libnet.pref.okayama.jp/licsxp-opac/WOpacMsgNewListToTifTilDetailAction.do?tilcod=2002222308989")</f>
        <v>https://opac.libnet.pref.okayama.jp/licsxp-opac/WOpacMsgNewListToTifTilDetailAction.do?tilcod=2002222308989</v>
      </c>
    </row>
    <row r="4309" spans="1:9" x14ac:dyDescent="0.4">
      <c r="A4309" t="str">
        <f>"美術館通信"</f>
        <v>美術館通信</v>
      </c>
      <c r="B4309" s="1" t="str">
        <f t="shared" si="221"/>
        <v>美術館通信</v>
      </c>
      <c r="C4309" t="str">
        <f>"ビジュツカン　ツウシン"</f>
        <v>ビジュツカン　ツウシン</v>
      </c>
      <c r="D4309" t="str">
        <f>"岡山市立オリエント美術館友の会・岡山市立オリエント美術館"</f>
        <v>岡山市立オリエント美術館友の会・岡山市立オリエント美術館</v>
      </c>
      <c r="E4309" t="str">
        <f>"オカヤマシリツオリエントビジュツカントモノカイオカヤマシリツオリエントビジュツカン"</f>
        <v>オカヤマシリツオリエントビジュツカントモノカイオカヤマシリツオリエントビジュツカン</v>
      </c>
      <c r="F4309" t="str">
        <f>"岡山"</f>
        <v>岡山</v>
      </c>
      <c r="G4309" t="str">
        <f>"その他"</f>
        <v>その他</v>
      </c>
      <c r="H4309" t="str">
        <f>"2002222300023"</f>
        <v>2002222300023</v>
      </c>
      <c r="I4309" t="str">
        <f>HYPERLINK("#", "https://opac.libnet.pref.okayama.jp/licsxp-opac/WOpacMsgNewListToTifTilDetailAction.do?tilcod=2002222300023")</f>
        <v>https://opac.libnet.pref.okayama.jp/licsxp-opac/WOpacMsgNewListToTifTilDetailAction.do?tilcod=2002222300023</v>
      </c>
    </row>
    <row r="4310" spans="1:9" x14ac:dyDescent="0.4">
      <c r="A4310" t="str">
        <f>"飛翔；岡山県高等学校文化連盟記録集"</f>
        <v>飛翔；岡山県高等学校文化連盟記録集</v>
      </c>
      <c r="B4310" s="1" t="str">
        <f t="shared" si="221"/>
        <v>飛翔；岡山県高等学校文化連盟記録集</v>
      </c>
      <c r="C4310" t="str">
        <f>"ヒショウ＊オカヤマケン　コウトウ　ガッコウ　ブンカ　レンメイ　キロクシュウ"</f>
        <v>ヒショウ＊オカヤマケン　コウトウ　ガッコウ　ブンカ　レンメイ　キロクシュウ</v>
      </c>
      <c r="D4310" t="str">
        <f>"岡山県高等学校文化連盟"</f>
        <v>岡山県高等学校文化連盟</v>
      </c>
      <c r="E4310" t="str">
        <f>"オカヤマケン コウトウ ガッコウ ブンカ レンメイ"</f>
        <v>オカヤマケン コウトウ ガッコウ ブンカ レンメイ</v>
      </c>
      <c r="F4310" t="str">
        <f>"岡山"</f>
        <v>岡山</v>
      </c>
      <c r="G4310" t="str">
        <f>"年刊"</f>
        <v>年刊</v>
      </c>
      <c r="H4310" t="str">
        <f>"2002222293201"</f>
        <v>2002222293201</v>
      </c>
      <c r="I4310" t="str">
        <f>HYPERLINK("#", "https://opac.libnet.pref.okayama.jp/licsxp-opac/WOpacMsgNewListToTifTilDetailAction.do?tilcod=2002222293201")</f>
        <v>https://opac.libnet.pref.okayama.jp/licsxp-opac/WOpacMsgNewListToTifTilDetailAction.do?tilcod=2002222293201</v>
      </c>
    </row>
    <row r="4311" spans="1:9" x14ac:dyDescent="0.4">
      <c r="A4311" t="str">
        <f>"美星町報"</f>
        <v>美星町報</v>
      </c>
      <c r="B4311" s="1" t="str">
        <f t="shared" si="221"/>
        <v>美星町報</v>
      </c>
      <c r="C4311" t="str">
        <f>"ビセイ　チョウホウ"</f>
        <v>ビセイ　チョウホウ</v>
      </c>
      <c r="D4311" t="str">
        <f>"美星町"</f>
        <v>美星町</v>
      </c>
      <c r="E4311" t="str">
        <f>"ビセイチョウ"</f>
        <v>ビセイチョウ</v>
      </c>
      <c r="F4311" t="str">
        <f>"美星町（小田郡）"</f>
        <v>美星町（小田郡）</v>
      </c>
      <c r="G4311" t="str">
        <f>"月刊"</f>
        <v>月刊</v>
      </c>
      <c r="H4311" t="str">
        <f>"2002222301607"</f>
        <v>2002222301607</v>
      </c>
      <c r="I4311" t="str">
        <f>HYPERLINK("#", "https://opac.libnet.pref.okayama.jp/licsxp-opac/WOpacMsgNewListToTifTilDetailAction.do?tilcod=2002222301607")</f>
        <v>https://opac.libnet.pref.okayama.jp/licsxp-opac/WOpacMsgNewListToTifTilDetailAction.do?tilcod=2002222301607</v>
      </c>
    </row>
    <row r="4312" spans="1:9" x14ac:dyDescent="0.4">
      <c r="A4312" t="str">
        <f>"美然（びぜん）"</f>
        <v>美然（びぜん）</v>
      </c>
      <c r="B4312" s="1" t="str">
        <f t="shared" si="221"/>
        <v>美然（びぜん）</v>
      </c>
      <c r="C4312" t="str">
        <f>"ビゼン"</f>
        <v>ビゼン</v>
      </c>
      <c r="D4312" t="str">
        <f>"天満屋岡山店"</f>
        <v>天満屋岡山店</v>
      </c>
      <c r="E4312" t="str">
        <f>"テンマヤ オカヤマテン"</f>
        <v>テンマヤ オカヤマテン</v>
      </c>
      <c r="F4312" t="str">
        <f>"岡山"</f>
        <v>岡山</v>
      </c>
      <c r="G4312" t="str">
        <f>"季刊"</f>
        <v>季刊</v>
      </c>
      <c r="H4312" t="str">
        <f>"2002222329868"</f>
        <v>2002222329868</v>
      </c>
      <c r="I4312" t="str">
        <f>HYPERLINK("#", "https://opac.libnet.pref.okayama.jp/licsxp-opac/WOpacMsgNewListToTifTilDetailAction.do?tilcod=2002222329868")</f>
        <v>https://opac.libnet.pref.okayama.jp/licsxp-opac/WOpacMsgNewListToTifTilDetailAction.do?tilcod=2002222329868</v>
      </c>
    </row>
    <row r="4313" spans="1:9" x14ac:dyDescent="0.4">
      <c r="A4313" t="str">
        <f>"備前岡山　牛窓神社だより"</f>
        <v>備前岡山　牛窓神社だより</v>
      </c>
      <c r="B4313" s="1" t="str">
        <f t="shared" si="221"/>
        <v>備前岡山　牛窓神社だより</v>
      </c>
      <c r="C4313" t="str">
        <f>"ビゼン　オカヤマ　ウシマド　ジンジャ　ダヨリ"</f>
        <v>ビゼン　オカヤマ　ウシマド　ジンジャ　ダヨリ</v>
      </c>
      <c r="D4313" t="str">
        <f>"牛窓神社社務所"</f>
        <v>牛窓神社社務所</v>
      </c>
      <c r="E4313" t="str">
        <f>"ウシマドジンジャシャムショ"</f>
        <v>ウシマドジンジャシャムショ</v>
      </c>
      <c r="F4313" t="str">
        <f>"瀬戸内"</f>
        <v>瀬戸内</v>
      </c>
      <c r="G4313" t="str">
        <f>"年２回刊"</f>
        <v>年２回刊</v>
      </c>
      <c r="H4313" t="str">
        <f>"2002222300706"</f>
        <v>2002222300706</v>
      </c>
      <c r="I4313" t="str">
        <f>HYPERLINK("#", "https://opac.libnet.pref.okayama.jp/licsxp-opac/WOpacMsgNewListToTifTilDetailAction.do?tilcod=2002222300706")</f>
        <v>https://opac.libnet.pref.okayama.jp/licsxp-opac/WOpacMsgNewListToTifTilDetailAction.do?tilcod=2002222300706</v>
      </c>
    </row>
    <row r="4314" spans="1:9" x14ac:dyDescent="0.4">
      <c r="A4314" t="str">
        <f>"備前高等学校学校要覧"</f>
        <v>備前高等学校学校要覧</v>
      </c>
      <c r="B4314" s="1" t="str">
        <f t="shared" si="221"/>
        <v>備前高等学校学校要覧</v>
      </c>
      <c r="C4314" t="str">
        <f>"ビゼン　コウトウ　ガッコウ　ガッコウ　ヨウラン"</f>
        <v>ビゼン　コウトウ　ガッコウ　ガッコウ　ヨウラン</v>
      </c>
      <c r="D4314" t="str">
        <f>"備前高等学校"</f>
        <v>備前高等学校</v>
      </c>
      <c r="E4314" t="str">
        <f>"ビゼン コウトウ ガッコウ"</f>
        <v>ビゼン コウトウ ガッコウ</v>
      </c>
      <c r="F4314" t="str">
        <f>"備前"</f>
        <v>備前</v>
      </c>
      <c r="G4314" t="str">
        <f>"年刊"</f>
        <v>年刊</v>
      </c>
      <c r="H4314" t="str">
        <f>"2002222300530"</f>
        <v>2002222300530</v>
      </c>
      <c r="I4314" t="str">
        <f>HYPERLINK("#", "https://opac.libnet.pref.okayama.jp/licsxp-opac/WOpacMsgNewListToTifTilDetailAction.do?tilcod=2002222300530")</f>
        <v>https://opac.libnet.pref.okayama.jp/licsxp-opac/WOpacMsgNewListToTifTilDetailAction.do?tilcod=2002222300530</v>
      </c>
    </row>
    <row r="4315" spans="1:9" x14ac:dyDescent="0.4">
      <c r="A4315" t="str">
        <f>"備前市議会だより"</f>
        <v>備前市議会だより</v>
      </c>
      <c r="B4315" s="1" t="str">
        <f t="shared" si="221"/>
        <v>備前市議会だより</v>
      </c>
      <c r="C4315" t="str">
        <f>"ビゼン　シギカイ　ダヨリ"</f>
        <v>ビゼン　シギカイ　ダヨリ</v>
      </c>
      <c r="D4315" t="str">
        <f>"備前市議会"</f>
        <v>備前市議会</v>
      </c>
      <c r="E4315" t="str">
        <f>"ビゼンシギカイ"</f>
        <v>ビゼンシギカイ</v>
      </c>
      <c r="F4315" t="str">
        <f>"備前"</f>
        <v>備前</v>
      </c>
      <c r="G4315" t="str">
        <f>"季刊"</f>
        <v>季刊</v>
      </c>
      <c r="H4315" t="str">
        <f>"2002222301630"</f>
        <v>2002222301630</v>
      </c>
      <c r="I4315" t="str">
        <f>HYPERLINK("#", "https://opac.libnet.pref.okayama.jp/licsxp-opac/WOpacMsgNewListToTifTilDetailAction.do?tilcod=2002222301630")</f>
        <v>https://opac.libnet.pref.okayama.jp/licsxp-opac/WOpacMsgNewListToTifTilDetailAction.do?tilcod=2002222301630</v>
      </c>
    </row>
    <row r="4316" spans="1:9" x14ac:dyDescent="0.4">
      <c r="A4316" t="str">
        <f>"びぜん社協だより"</f>
        <v>びぜん社協だより</v>
      </c>
      <c r="B4316" s="1" t="str">
        <f t="shared" si="221"/>
        <v>びぜん社協だより</v>
      </c>
      <c r="C4316" t="str">
        <f>"ビゼン　シャキョウ　ダヨリ"</f>
        <v>ビゼン　シャキョウ　ダヨリ</v>
      </c>
      <c r="D4316" t="str">
        <f>"備前市社会福祉協議会"</f>
        <v>備前市社会福祉協議会</v>
      </c>
      <c r="E4316" t="str">
        <f>"ビゼンシ シャカイ フクシ キョウギカイ"</f>
        <v>ビゼンシ シャカイ フクシ キョウギカイ</v>
      </c>
      <c r="F4316" t="str">
        <f>"備前"</f>
        <v>備前</v>
      </c>
      <c r="G4316" t="str">
        <f>"頻度不明"</f>
        <v>頻度不明</v>
      </c>
      <c r="H4316" t="str">
        <f>"2002222301969"</f>
        <v>2002222301969</v>
      </c>
      <c r="I4316" t="str">
        <f>HYPERLINK("#", "https://opac.libnet.pref.okayama.jp/licsxp-opac/WOpacMsgNewListToTifTilDetailAction.do?tilcod=2002222301969")</f>
        <v>https://opac.libnet.pref.okayama.jp/licsxp-opac/WOpacMsgNewListToTifTilDetailAction.do?tilcod=2002222301969</v>
      </c>
    </row>
    <row r="4317" spans="1:9" x14ac:dyDescent="0.4">
      <c r="A4317" t="str">
        <f>"備前の禅宗"</f>
        <v>備前の禅宗</v>
      </c>
      <c r="B4317" s="1" t="str">
        <f t="shared" si="221"/>
        <v>備前の禅宗</v>
      </c>
      <c r="C4317" t="str">
        <f>"ビゼン　ノ　ゼンシュウ"</f>
        <v>ビゼン　ノ　ゼンシュウ</v>
      </c>
      <c r="D4317" t="str">
        <f>"今田利輔"</f>
        <v>今田利輔</v>
      </c>
      <c r="E4317" t="str">
        <f>"イマダヨリスケ"</f>
        <v>イマダヨリスケ</v>
      </c>
      <c r="F4317" t="str">
        <f>"和気郡和気町"</f>
        <v>和気郡和気町</v>
      </c>
      <c r="G4317" t="str">
        <f>"不定期刊"</f>
        <v>不定期刊</v>
      </c>
      <c r="H4317" t="str">
        <f>"2002222280021"</f>
        <v>2002222280021</v>
      </c>
      <c r="I4317" t="str">
        <f>HYPERLINK("#", "https://opac.libnet.pref.okayama.jp/licsxp-opac/WOpacMsgNewListToTifTilDetailAction.do?tilcod=2002222280021")</f>
        <v>https://opac.libnet.pref.okayama.jp/licsxp-opac/WOpacMsgNewListToTifTilDetailAction.do?tilcod=2002222280021</v>
      </c>
    </row>
    <row r="4318" spans="1:9" x14ac:dyDescent="0.4">
      <c r="A4318" t="str">
        <f>"備前福岡史跡保存会会報"</f>
        <v>備前福岡史跡保存会会報</v>
      </c>
      <c r="B4318" s="1" t="str">
        <f t="shared" si="221"/>
        <v>備前福岡史跡保存会会報</v>
      </c>
      <c r="C4318" t="str">
        <f>"ビゼン　フクオカ　シセキ　ホゾンカイ　カイホウ"</f>
        <v>ビゼン　フクオカ　シセキ　ホゾンカイ　カイホウ</v>
      </c>
      <c r="D4318" t="str">
        <f>"備前福岡史跡保存会"</f>
        <v>備前福岡史跡保存会</v>
      </c>
      <c r="E4318" t="str">
        <f>"ビゼンフクオカシセキホゾンカイ"</f>
        <v>ビゼンフクオカシセキホゾンカイ</v>
      </c>
      <c r="F4318" t="str">
        <f>"瀬戸内"</f>
        <v>瀬戸内</v>
      </c>
      <c r="G4318" t="str">
        <f>"年刊"</f>
        <v>年刊</v>
      </c>
      <c r="H4318" t="str">
        <f>"2002222300935"</f>
        <v>2002222300935</v>
      </c>
      <c r="I4318" t="str">
        <f>HYPERLINK("#", "https://opac.libnet.pref.okayama.jp/licsxp-opac/WOpacMsgNewListToTifTilDetailAction.do?tilcod=2002222300935")</f>
        <v>https://opac.libnet.pref.okayama.jp/licsxp-opac/WOpacMsgNewListToTifTilDetailAction.do?tilcod=2002222300935</v>
      </c>
    </row>
    <row r="4319" spans="1:9" x14ac:dyDescent="0.4">
      <c r="A4319" t="str">
        <f>"備前･美作五十三次ふれあいだより"</f>
        <v>備前･美作五十三次ふれあいだより</v>
      </c>
      <c r="B4319" s="1" t="str">
        <f t="shared" si="221"/>
        <v>備前･美作五十三次ふれあいだより</v>
      </c>
      <c r="C4319" t="str">
        <f>"ビゼン ミマサカ ゴジュウサンツギ フレアイダヨリ"</f>
        <v>ビゼン ミマサカ ゴジュウサンツギ フレアイダヨリ</v>
      </c>
      <c r="D4319" t="str">
        <f>"国道53号グレードアップ委員会"</f>
        <v>国道53号グレードアップ委員会</v>
      </c>
      <c r="E4319" t="str">
        <f>"コクドウ ゴジュウサンゴウ グレードアップ イインカイ"</f>
        <v>コクドウ ゴジュウサンゴウ グレードアップ イインカイ</v>
      </c>
      <c r="F4319" t="str">
        <f>"津山"</f>
        <v>津山</v>
      </c>
      <c r="G4319" t="str">
        <f>"頻度不明"</f>
        <v>頻度不明</v>
      </c>
      <c r="H4319" t="str">
        <f>"2002222319308"</f>
        <v>2002222319308</v>
      </c>
      <c r="I4319" t="str">
        <f>HYPERLINK("#", "https://opac.libnet.pref.okayama.jp/licsxp-opac/WOpacMsgNewListToTifTilDetailAction.do?tilcod=2002222319308")</f>
        <v>https://opac.libnet.pref.okayama.jp/licsxp-opac/WOpacMsgNewListToTifTilDetailAction.do?tilcod=2002222319308</v>
      </c>
    </row>
    <row r="4320" spans="1:9" x14ac:dyDescent="0.4">
      <c r="A4320" t="str">
        <f>"備前緑陽高等学校学校案内"</f>
        <v>備前緑陽高等学校学校案内</v>
      </c>
      <c r="B4320" s="1" t="str">
        <f t="shared" si="221"/>
        <v>備前緑陽高等学校学校案内</v>
      </c>
      <c r="C4320" t="str">
        <f>"ヒゼン　リョクヨウ　コウトウ　ガッコウ　ガッコウ　アンナイ"</f>
        <v>ヒゼン　リョクヨウ　コウトウ　ガッコウ　ガッコウ　アンナイ</v>
      </c>
      <c r="D4320" t="str">
        <f>"備前緑陽高等学校"</f>
        <v>備前緑陽高等学校</v>
      </c>
      <c r="E4320" t="str">
        <f>"ビゼン リョクヨウ コウトウ ガッコウ"</f>
        <v>ビゼン リョクヨウ コウトウ ガッコウ</v>
      </c>
      <c r="F4320" t="str">
        <f t="shared" ref="F4320:F4326" si="222">"備前"</f>
        <v>備前</v>
      </c>
      <c r="G4320" t="str">
        <f>"年刊"</f>
        <v>年刊</v>
      </c>
      <c r="H4320" t="str">
        <f>"2002222301190"</f>
        <v>2002222301190</v>
      </c>
      <c r="I4320" t="str">
        <f>HYPERLINK("#", "https://opac.libnet.pref.okayama.jp/licsxp-opac/WOpacMsgNewListToTifTilDetailAction.do?tilcod=2002222301190")</f>
        <v>https://opac.libnet.pref.okayama.jp/licsxp-opac/WOpacMsgNewListToTifTilDetailAction.do?tilcod=2002222301190</v>
      </c>
    </row>
    <row r="4321" spans="1:9" x14ac:dyDescent="0.4">
      <c r="A4321" t="str">
        <f>"備前緑陽高等学校学校要覧"</f>
        <v>備前緑陽高等学校学校要覧</v>
      </c>
      <c r="B4321" s="1" t="str">
        <f t="shared" si="221"/>
        <v>備前緑陽高等学校学校要覧</v>
      </c>
      <c r="C4321" t="str">
        <f>"ヒゼン　リョクヨウ　コウトウ　ガッコウ　ガッコウ　ヨウラン"</f>
        <v>ヒゼン　リョクヨウ　コウトウ　ガッコウ　ガッコウ　ヨウラン</v>
      </c>
      <c r="D4321" t="str">
        <f>"備前緑陽高等学校"</f>
        <v>備前緑陽高等学校</v>
      </c>
      <c r="E4321" t="str">
        <f>"ビゼン リョクヨウ コウトウ ガッコウ"</f>
        <v>ビゼン リョクヨウ コウトウ ガッコウ</v>
      </c>
      <c r="F4321" t="str">
        <f t="shared" si="222"/>
        <v>備前</v>
      </c>
      <c r="G4321" t="str">
        <f>"年刊"</f>
        <v>年刊</v>
      </c>
      <c r="H4321" t="str">
        <f>"2002222300531"</f>
        <v>2002222300531</v>
      </c>
      <c r="I4321" t="str">
        <f>HYPERLINK("#", "https://opac.libnet.pref.okayama.jp/licsxp-opac/WOpacMsgNewListToTifTilDetailAction.do?tilcod=2002222300531")</f>
        <v>https://opac.libnet.pref.okayama.jp/licsxp-opac/WOpacMsgNewListToTifTilDetailAction.do?tilcod=2002222300531</v>
      </c>
    </row>
    <row r="4322" spans="1:9" x14ac:dyDescent="0.4">
      <c r="A4322" t="str">
        <f>"〔備前緑陽高等学校〕緑陽；備前緑陽新聞"</f>
        <v>〔備前緑陽高等学校〕緑陽；備前緑陽新聞</v>
      </c>
      <c r="B4322" s="1" t="str">
        <f t="shared" si="221"/>
        <v>〔備前緑陽高等学校〕緑陽；備前緑陽新聞</v>
      </c>
      <c r="C4322" t="str">
        <f>"ビゼン　リョクヨウ　コウトウ　ガッコウ＊リョクヨウ＊ビゼン　リョクヨウ　シンブン"</f>
        <v>ビゼン　リョクヨウ　コウトウ　ガッコウ＊リョクヨウ＊ビゼン　リョクヨウ　シンブン</v>
      </c>
      <c r="D4322" t="str">
        <f>"備前緑陽高等学校"</f>
        <v>備前緑陽高等学校</v>
      </c>
      <c r="E4322" t="str">
        <f>"ビゼン リョクヨウ コウトウ ガッコウ"</f>
        <v>ビゼン リョクヨウ コウトウ ガッコウ</v>
      </c>
      <c r="F4322" t="str">
        <f t="shared" si="222"/>
        <v>備前</v>
      </c>
      <c r="G4322" t="str">
        <f>"年３回刊"</f>
        <v>年３回刊</v>
      </c>
      <c r="H4322" t="str">
        <f>"2002222301849"</f>
        <v>2002222301849</v>
      </c>
      <c r="I4322" t="str">
        <f>HYPERLINK("#", "https://opac.libnet.pref.okayama.jp/licsxp-opac/WOpacMsgNewListToTifTilDetailAction.do?tilcod=2002222301849")</f>
        <v>https://opac.libnet.pref.okayama.jp/licsxp-opac/WOpacMsgNewListToTifTilDetailAction.do?tilcod=2002222301849</v>
      </c>
    </row>
    <row r="4323" spans="1:9" x14ac:dyDescent="0.4">
      <c r="A4323" t="str">
        <f>"備前市市民センター　今月の催し物"</f>
        <v>備前市市民センター　今月の催し物</v>
      </c>
      <c r="B4323" s="1" t="str">
        <f t="shared" si="221"/>
        <v>備前市市民センター　今月の催し物</v>
      </c>
      <c r="C4323" t="str">
        <f>"ビゼンシ　シミン　センター　コンゲツ　ノ　モヨオシモノ"</f>
        <v>ビゼンシ　シミン　センター　コンゲツ　ノ　モヨオシモノ</v>
      </c>
      <c r="D4323" t="str">
        <f>"備前市市民センター"</f>
        <v>備前市市民センター</v>
      </c>
      <c r="E4323" t="str">
        <f>"ビゼンシシミンセンター"</f>
        <v>ビゼンシシミンセンター</v>
      </c>
      <c r="F4323" t="str">
        <f t="shared" si="222"/>
        <v>備前</v>
      </c>
      <c r="G4323" t="str">
        <f>"頻度不明"</f>
        <v>頻度不明</v>
      </c>
      <c r="H4323" t="str">
        <f>"2002222281504"</f>
        <v>2002222281504</v>
      </c>
      <c r="I4323" t="str">
        <f>HYPERLINK("#", "https://opac.libnet.pref.okayama.jp/licsxp-opac/WOpacMsgNewListToTifTilDetailAction.do?tilcod=2002222281504")</f>
        <v>https://opac.libnet.pref.okayama.jp/licsxp-opac/WOpacMsgNewListToTifTilDetailAction.do?tilcod=2002222281504</v>
      </c>
    </row>
    <row r="4324" spans="1:9" x14ac:dyDescent="0.4">
      <c r="A4324" t="str">
        <f>"備前市・日生町・吉永町合併協議会だより"</f>
        <v>備前市・日生町・吉永町合併協議会だより</v>
      </c>
      <c r="B4324" s="1" t="str">
        <f t="shared" si="221"/>
        <v>備前市・日生町・吉永町合併協議会だより</v>
      </c>
      <c r="C4324" t="str">
        <f>"ビゼンシ　ヒナセチョウ　ヨシナガチョウ　ガッペイ　キョウギカイ　ダヨリ"</f>
        <v>ビゼンシ　ヒナセチョウ　ヨシナガチョウ　ガッペイ　キョウギカイ　ダヨリ</v>
      </c>
      <c r="D4324" t="str">
        <f>"備前市・日生町・吉永町合併協議会"</f>
        <v>備前市・日生町・吉永町合併協議会</v>
      </c>
      <c r="E4324" t="str">
        <f>"ビゼンシヒナセチョウヨシナガチョウガッペイキョウギカイ"</f>
        <v>ビゼンシヒナセチョウヨシナガチョウガッペイキョウギカイ</v>
      </c>
      <c r="F4324" t="str">
        <f t="shared" si="222"/>
        <v>備前</v>
      </c>
      <c r="G4324" t="str">
        <f>"月刊"</f>
        <v>月刊</v>
      </c>
      <c r="H4324" t="str">
        <f>"2002222281534"</f>
        <v>2002222281534</v>
      </c>
      <c r="I4324" t="str">
        <f>HYPERLINK("#", "https://opac.libnet.pref.okayama.jp/licsxp-opac/WOpacMsgNewListToTifTilDetailAction.do?tilcod=2002222281534")</f>
        <v>https://opac.libnet.pref.okayama.jp/licsxp-opac/WOpacMsgNewListToTifTilDetailAction.do?tilcod=2002222281534</v>
      </c>
    </row>
    <row r="4325" spans="1:9" x14ac:dyDescent="0.4">
      <c r="A4325" t="str">
        <f>"[備前市立片上高等学校] 学校案内"</f>
        <v>[備前市立片上高等学校] 学校案内</v>
      </c>
      <c r="B4325" s="1" t="str">
        <f t="shared" si="221"/>
        <v>[備前市立片上高等学校] 学校案内</v>
      </c>
      <c r="C4325" t="str">
        <f>"ビゼンシリツ　カタカミ　コウトウ　ガッコウ　ガッコウ　アンナイ"</f>
        <v>ビゼンシリツ　カタカミ　コウトウ　ガッコウ　ガッコウ　アンナイ</v>
      </c>
      <c r="D4325" t="str">
        <f>"備前市立片上高等学校"</f>
        <v>備前市立片上高等学校</v>
      </c>
      <c r="E4325" t="str">
        <f>"ビゼンシリツ カタカミ コウトウ ガッコウ"</f>
        <v>ビゼンシリツ カタカミ コウトウ ガッコウ</v>
      </c>
      <c r="F4325" t="str">
        <f t="shared" si="222"/>
        <v>備前</v>
      </c>
      <c r="G4325" t="str">
        <f>"年刊"</f>
        <v>年刊</v>
      </c>
      <c r="H4325" t="str">
        <f>"2002222301201"</f>
        <v>2002222301201</v>
      </c>
      <c r="I4325" t="str">
        <f>HYPERLINK("#", "https://opac.libnet.pref.okayama.jp/licsxp-opac/WOpacMsgNewListToTifTilDetailAction.do?tilcod=2002222301201")</f>
        <v>https://opac.libnet.pref.okayama.jp/licsxp-opac/WOpacMsgNewListToTifTilDetailAction.do?tilcod=2002222301201</v>
      </c>
    </row>
    <row r="4326" spans="1:9" x14ac:dyDescent="0.4">
      <c r="A4326" t="str">
        <f>"[備前市立片上高等学校] 学校要覧"</f>
        <v>[備前市立片上高等学校] 学校要覧</v>
      </c>
      <c r="B4326" s="1" t="str">
        <f t="shared" si="221"/>
        <v>[備前市立片上高等学校] 学校要覧</v>
      </c>
      <c r="C4326" t="str">
        <f>"ビゼンシリツ　カタカミ　コウトウ　ガッコウ　ガッコウ　ヨウラン"</f>
        <v>ビゼンシリツ　カタカミ　コウトウ　ガッコウ　ガッコウ　ヨウラン</v>
      </c>
      <c r="D4326" t="str">
        <f>"備前市立片上高等学校"</f>
        <v>備前市立片上高等学校</v>
      </c>
      <c r="E4326" t="str">
        <f>"ビゼンシリツ カタカミ コウトウ ガッコウ"</f>
        <v>ビゼンシリツ カタカミ コウトウ ガッコウ</v>
      </c>
      <c r="F4326" t="str">
        <f t="shared" si="222"/>
        <v>備前</v>
      </c>
      <c r="G4326" t="str">
        <f>"年刊"</f>
        <v>年刊</v>
      </c>
      <c r="H4326" t="str">
        <f>"2002222300564"</f>
        <v>2002222300564</v>
      </c>
      <c r="I4326" t="str">
        <f>HYPERLINK("#", "https://opac.libnet.pref.okayama.jp/licsxp-opac/WOpacMsgNewListToTifTilDetailAction.do?tilcod=2002222300564")</f>
        <v>https://opac.libnet.pref.okayama.jp/licsxp-opac/WOpacMsgNewListToTifTilDetailAction.do?tilcod=2002222300564</v>
      </c>
    </row>
    <row r="4327" spans="1:9" x14ac:dyDescent="0.4">
      <c r="A4327" t="str">
        <f>"備前刀"</f>
        <v>備前刀</v>
      </c>
      <c r="B4327" s="1" t="str">
        <f t="shared" si="221"/>
        <v>備前刀</v>
      </c>
      <c r="C4327" t="str">
        <f>"ビゼントウ"</f>
        <v>ビゼントウ</v>
      </c>
      <c r="D4327" t="str">
        <f>"文献書房"</f>
        <v>文献書房</v>
      </c>
      <c r="E4327" t="str">
        <f>"ブンケン ショボウ"</f>
        <v>ブンケン ショボウ</v>
      </c>
      <c r="F4327" t="str">
        <f>""</f>
        <v/>
      </c>
      <c r="G4327" t="str">
        <f>"頻度不明"</f>
        <v>頻度不明</v>
      </c>
      <c r="H4327" t="str">
        <f>"2002222289333"</f>
        <v>2002222289333</v>
      </c>
      <c r="I4327" t="str">
        <f>HYPERLINK("#", "https://opac.libnet.pref.okayama.jp/licsxp-opac/WOpacMsgNewListToTifTilDetailAction.do?tilcod=2002222289333")</f>
        <v>https://opac.libnet.pref.okayama.jp/licsxp-opac/WOpacMsgNewListToTifTilDetailAction.do?tilcod=2002222289333</v>
      </c>
    </row>
    <row r="4328" spans="1:9" x14ac:dyDescent="0.4">
      <c r="A4328" t="str">
        <f>"備前刀研究"</f>
        <v>備前刀研究</v>
      </c>
      <c r="B4328" s="1" t="str">
        <f t="shared" si="221"/>
        <v>備前刀研究</v>
      </c>
      <c r="C4328" t="str">
        <f>"ビゼントウ　ケンキュウ"</f>
        <v>ビゼントウ　ケンキュウ</v>
      </c>
      <c r="D4328" t="str">
        <f>"備前刀学会"</f>
        <v>備前刀学会</v>
      </c>
      <c r="E4328" t="str">
        <f>"ビゼントウガッカイ"</f>
        <v>ビゼントウガッカイ</v>
      </c>
      <c r="F4328" t="str">
        <f>""</f>
        <v/>
      </c>
      <c r="G4328" t="str">
        <f>"頻度不明"</f>
        <v>頻度不明</v>
      </c>
      <c r="H4328" t="str">
        <f>"2002222289343"</f>
        <v>2002222289343</v>
      </c>
      <c r="I4328" t="str">
        <f>HYPERLINK("#", "https://opac.libnet.pref.okayama.jp/licsxp-opac/WOpacMsgNewListToTifTilDetailAction.do?tilcod=2002222289343")</f>
        <v>https://opac.libnet.pref.okayama.jp/licsxp-opac/WOpacMsgNewListToTifTilDetailAction.do?tilcod=2002222289343</v>
      </c>
    </row>
    <row r="4329" spans="1:9" x14ac:dyDescent="0.4">
      <c r="A4329" t="str">
        <f>"備前焼"</f>
        <v>備前焼</v>
      </c>
      <c r="B4329" s="1" t="str">
        <f t="shared" si="221"/>
        <v>備前焼</v>
      </c>
      <c r="C4329" t="str">
        <f>"ビゼンヤキ"</f>
        <v>ビゼンヤキ</v>
      </c>
      <c r="D4329" t="str">
        <f>"備前焼宣揚会"</f>
        <v>備前焼宣揚会</v>
      </c>
      <c r="E4329" t="str">
        <f>"ビゼンヤキセンヨウカイ"</f>
        <v>ビゼンヤキセンヨウカイ</v>
      </c>
      <c r="F4329" t="str">
        <f>""</f>
        <v/>
      </c>
      <c r="G4329" t="str">
        <f>"頻度不明"</f>
        <v>頻度不明</v>
      </c>
      <c r="H4329" t="str">
        <f>"2002222289363"</f>
        <v>2002222289363</v>
      </c>
      <c r="I4329" t="str">
        <f>HYPERLINK("#", "https://opac.libnet.pref.okayama.jp/licsxp-opac/WOpacMsgNewListToTifTilDetailAction.do?tilcod=2002222289363")</f>
        <v>https://opac.libnet.pref.okayama.jp/licsxp-opac/WOpacMsgNewListToTifTilDetailAction.do?tilcod=2002222289363</v>
      </c>
    </row>
    <row r="4330" spans="1:9" x14ac:dyDescent="0.4">
      <c r="A4330" t="str">
        <f>"備前焼"</f>
        <v>備前焼</v>
      </c>
      <c r="B4330" s="1" t="str">
        <f t="shared" si="221"/>
        <v>備前焼</v>
      </c>
      <c r="C4330" t="str">
        <f>"ビゼンヤキ"</f>
        <v>ビゼンヤキ</v>
      </c>
      <c r="D4330" t="str">
        <f>"文献書房"</f>
        <v>文献書房</v>
      </c>
      <c r="E4330" t="str">
        <f>"ブンケン ショボウ"</f>
        <v>ブンケン ショボウ</v>
      </c>
      <c r="F4330" t="str">
        <f>""</f>
        <v/>
      </c>
      <c r="G4330" t="str">
        <f>"頻度不明"</f>
        <v>頻度不明</v>
      </c>
      <c r="H4330" t="str">
        <f>"2002222289353"</f>
        <v>2002222289353</v>
      </c>
      <c r="I4330" t="str">
        <f>HYPERLINK("#", "https://opac.libnet.pref.okayama.jp/licsxp-opac/WOpacMsgNewListToTifTilDetailAction.do?tilcod=2002222289353")</f>
        <v>https://opac.libnet.pref.okayama.jp/licsxp-opac/WOpacMsgNewListToTifTilDetailAction.do?tilcod=2002222289353</v>
      </c>
    </row>
    <row r="4331" spans="1:9" x14ac:dyDescent="0.4">
      <c r="A4331" t="str">
        <f>"ひだまり；吉備公民館だより"</f>
        <v>ひだまり；吉備公民館だより</v>
      </c>
      <c r="B4331" s="1" t="str">
        <f t="shared" si="221"/>
        <v>ひだまり；吉備公民館だより</v>
      </c>
      <c r="C4331" t="str">
        <f>"ヒダマリ＊キビ コウミンカン ダヨリ"</f>
        <v>ヒダマリ＊キビ コウミンカン ダヨリ</v>
      </c>
      <c r="D4331" t="str">
        <f>"岡山市立吉備公民館"</f>
        <v>岡山市立吉備公民館</v>
      </c>
      <c r="E4331" t="str">
        <f>"オカヤマシリツ キビ コウミンカン"</f>
        <v>オカヤマシリツ キビ コウミンカン</v>
      </c>
      <c r="F4331" t="str">
        <f>"岡山"</f>
        <v>岡山</v>
      </c>
      <c r="G4331" t="str">
        <f>"隔月刊"</f>
        <v>隔月刊</v>
      </c>
      <c r="H4331" t="str">
        <f>"2002222341374"</f>
        <v>2002222341374</v>
      </c>
      <c r="I4331" t="str">
        <f>HYPERLINK("#", "https://opac.libnet.pref.okayama.jp/licsxp-opac/WOpacMsgNewListToTifTilDetailAction.do?tilcod=2002222341374")</f>
        <v>https://opac.libnet.pref.okayama.jp/licsxp-opac/WOpacMsgNewListToTifTilDetailAction.do?tilcod=2002222341374</v>
      </c>
    </row>
    <row r="4332" spans="1:9" x14ac:dyDescent="0.4">
      <c r="A4332" t="str">
        <f>"備中神楽だより"</f>
        <v>備中神楽だより</v>
      </c>
      <c r="B4332" s="1" t="str">
        <f t="shared" si="221"/>
        <v>備中神楽だより</v>
      </c>
      <c r="C4332" t="str">
        <f>"ビチュウ　カグラ　ダヨリ"</f>
        <v>ビチュウ　カグラ　ダヨリ</v>
      </c>
      <c r="D4332" t="str">
        <f>"成羽備中神楽振興会"</f>
        <v>成羽備中神楽振興会</v>
      </c>
      <c r="E4332" t="str">
        <f>"ナリワビチュウカグラシンコウカイ"</f>
        <v>ナリワビチュウカグラシンコウカイ</v>
      </c>
      <c r="F4332" t="str">
        <f>"高梁"</f>
        <v>高梁</v>
      </c>
      <c r="G4332" t="str">
        <f>"年２回刊"</f>
        <v>年２回刊</v>
      </c>
      <c r="H4332" t="str">
        <f>"2002222302331"</f>
        <v>2002222302331</v>
      </c>
      <c r="I4332" t="str">
        <f>HYPERLINK("#", "https://opac.libnet.pref.okayama.jp/licsxp-opac/WOpacMsgNewListToTifTilDetailAction.do?tilcod=2002222302331")</f>
        <v>https://opac.libnet.pref.okayama.jp/licsxp-opac/WOpacMsgNewListToTifTilDetailAction.do?tilcod=2002222302331</v>
      </c>
    </row>
    <row r="4333" spans="1:9" x14ac:dyDescent="0.4">
      <c r="A4333" t="str">
        <f>"筆戦誌"</f>
        <v>筆戦誌</v>
      </c>
      <c r="B4333" s="1" t="str">
        <f t="shared" si="221"/>
        <v>筆戦誌</v>
      </c>
      <c r="C4333" t="str">
        <f>"ヒッセンシ"</f>
        <v>ヒッセンシ</v>
      </c>
      <c r="D4333" t="str">
        <f>"雄神筆戦会"</f>
        <v>雄神筆戦会</v>
      </c>
      <c r="E4333" t="str">
        <f>"オガミヒッセンカイ"</f>
        <v>オガミヒッセンカイ</v>
      </c>
      <c r="F4333" t="str">
        <f>""</f>
        <v/>
      </c>
      <c r="G4333" t="str">
        <f>"頻度不明"</f>
        <v>頻度不明</v>
      </c>
      <c r="H4333" t="str">
        <f>"2002222289373"</f>
        <v>2002222289373</v>
      </c>
      <c r="I4333" t="str">
        <f>HYPERLINK("#", "https://opac.libnet.pref.okayama.jp/licsxp-opac/WOpacMsgNewListToTifTilDetailAction.do?tilcod=2002222289373")</f>
        <v>https://opac.libnet.pref.okayama.jp/licsxp-opac/WOpacMsgNewListToTifTilDetailAction.do?tilcod=2002222289373</v>
      </c>
    </row>
    <row r="4334" spans="1:9" x14ac:dyDescent="0.4">
      <c r="A4334" t="str">
        <f>"備中神楽"</f>
        <v>備中神楽</v>
      </c>
      <c r="B4334" s="1" t="str">
        <f t="shared" si="221"/>
        <v>備中神楽</v>
      </c>
      <c r="C4334" t="str">
        <f>"ビッチュウ　カグラ"</f>
        <v>ビッチュウ　カグラ</v>
      </c>
      <c r="D4334" t="str">
        <f>"備中神楽振興会"</f>
        <v>備中神楽振興会</v>
      </c>
      <c r="E4334" t="str">
        <f>"ビッチュウカグラシンコウカイ"</f>
        <v>ビッチュウカグラシンコウカイ</v>
      </c>
      <c r="F4334" t="str">
        <f>""</f>
        <v/>
      </c>
      <c r="G4334" t="str">
        <f>"頻度不明"</f>
        <v>頻度不明</v>
      </c>
      <c r="H4334" t="str">
        <f>"2002222289383"</f>
        <v>2002222289383</v>
      </c>
      <c r="I4334" t="str">
        <f>HYPERLINK("#", "https://opac.libnet.pref.okayama.jp/licsxp-opac/WOpacMsgNewListToTifTilDetailAction.do?tilcod=2002222289383")</f>
        <v>https://opac.libnet.pref.okayama.jp/licsxp-opac/WOpacMsgNewListToTifTilDetailAction.do?tilcod=2002222289383</v>
      </c>
    </row>
    <row r="4335" spans="1:9" x14ac:dyDescent="0.4">
      <c r="A4335" t="str">
        <f>"備中植物研究"</f>
        <v>備中植物研究</v>
      </c>
      <c r="B4335" s="1" t="str">
        <f t="shared" si="221"/>
        <v>備中植物研究</v>
      </c>
      <c r="C4335" t="str">
        <f>"ビッチュウ　ショクブツ　ケンキュウ"</f>
        <v>ビッチュウ　ショクブツ　ケンキュウ</v>
      </c>
      <c r="D4335" t="str">
        <f>"備中植物研究会"</f>
        <v>備中植物研究会</v>
      </c>
      <c r="E4335" t="str">
        <f>"ビッチュウショクブツケンキュウカイ"</f>
        <v>ビッチュウショクブツケンキュウカイ</v>
      </c>
      <c r="F4335" t="str">
        <f>"高梁町（上房郡）"</f>
        <v>高梁町（上房郡）</v>
      </c>
      <c r="G4335" t="str">
        <f>"頻度不明"</f>
        <v>頻度不明</v>
      </c>
      <c r="H4335" t="str">
        <f>"2002222287993"</f>
        <v>2002222287993</v>
      </c>
      <c r="I4335" t="str">
        <f>HYPERLINK("#", "https://opac.libnet.pref.okayama.jp/licsxp-opac/WOpacMsgNewListToTifTilDetailAction.do?tilcod=2002222287993")</f>
        <v>https://opac.libnet.pref.okayama.jp/licsxp-opac/WOpacMsgNewListToTifTilDetailAction.do?tilcod=2002222287993</v>
      </c>
    </row>
    <row r="4336" spans="1:9" x14ac:dyDescent="0.4">
      <c r="A4336" t="str">
        <f>"備中新報"</f>
        <v>備中新報</v>
      </c>
      <c r="B4336" s="1" t="str">
        <f t="shared" si="221"/>
        <v>備中新報</v>
      </c>
      <c r="C4336" t="str">
        <f>"ビッチュウ　シンポウ"</f>
        <v>ビッチュウ　シンポウ</v>
      </c>
      <c r="D4336" t="str">
        <f>"備中新報社"</f>
        <v>備中新報社</v>
      </c>
      <c r="E4336" t="str">
        <f>"ビッチュウシンポウシャ"</f>
        <v>ビッチュウシンポウシャ</v>
      </c>
      <c r="F4336" t="str">
        <f>"笠岡町（小田郡）"</f>
        <v>笠岡町（小田郡）</v>
      </c>
      <c r="G4336" t="str">
        <f>"月２回刊"</f>
        <v>月２回刊</v>
      </c>
      <c r="H4336" t="str">
        <f>"2002222300961"</f>
        <v>2002222300961</v>
      </c>
      <c r="I4336" t="str">
        <f>HYPERLINK("#", "https://opac.libnet.pref.okayama.jp/licsxp-opac/WOpacMsgNewListToTifTilDetailAction.do?tilcod=2002222300961")</f>
        <v>https://opac.libnet.pref.okayama.jp/licsxp-opac/WOpacMsgNewListToTifTilDetailAction.do?tilcod=2002222300961</v>
      </c>
    </row>
    <row r="4337" spans="1:9" x14ac:dyDescent="0.4">
      <c r="A4337" t="str">
        <f>"備中町報"</f>
        <v>備中町報</v>
      </c>
      <c r="B4337" s="1" t="str">
        <f t="shared" si="221"/>
        <v>備中町報</v>
      </c>
      <c r="C4337" t="str">
        <f>"ビッチュウ　チョウホウ"</f>
        <v>ビッチュウ　チョウホウ</v>
      </c>
      <c r="D4337" t="str">
        <f>"備中町"</f>
        <v>備中町</v>
      </c>
      <c r="E4337" t="str">
        <f>"ビッチュウチョウ"</f>
        <v>ビッチュウチョウ</v>
      </c>
      <c r="F4337" t="str">
        <f>"備中町（川上郡）"</f>
        <v>備中町（川上郡）</v>
      </c>
      <c r="G4337" t="str">
        <f>"月刊"</f>
        <v>月刊</v>
      </c>
      <c r="H4337" t="str">
        <f>"2002222301713"</f>
        <v>2002222301713</v>
      </c>
      <c r="I4337" t="str">
        <f>HYPERLINK("#", "https://opac.libnet.pref.okayama.jp/licsxp-opac/WOpacMsgNewListToTifTilDetailAction.do?tilcod=2002222301713")</f>
        <v>https://opac.libnet.pref.okayama.jp/licsxp-opac/WOpacMsgNewListToTifTilDetailAction.do?tilcod=2002222301713</v>
      </c>
    </row>
    <row r="4338" spans="1:9" x14ac:dyDescent="0.4">
      <c r="A4338" t="str">
        <f>"備中の植物"</f>
        <v>備中の植物</v>
      </c>
      <c r="B4338" s="1" t="str">
        <f t="shared" si="221"/>
        <v>備中の植物</v>
      </c>
      <c r="C4338" t="str">
        <f>"ビッチュウ　ノ　ショクブツ"</f>
        <v>ビッチュウ　ノ　ショクブツ</v>
      </c>
      <c r="D4338" t="str">
        <f>"吉野植物研究所"</f>
        <v>吉野植物研究所</v>
      </c>
      <c r="E4338" t="str">
        <f>"ヨシノショクブツケンキュウジョ"</f>
        <v>ヨシノショクブツケンキュウジョ</v>
      </c>
      <c r="F4338" t="str">
        <f>""</f>
        <v/>
      </c>
      <c r="G4338" t="str">
        <f>"頻度不明"</f>
        <v>頻度不明</v>
      </c>
      <c r="H4338" t="str">
        <f>"2002222289393"</f>
        <v>2002222289393</v>
      </c>
      <c r="I4338" t="str">
        <f>HYPERLINK("#", "https://opac.libnet.pref.okayama.jp/licsxp-opac/WOpacMsgNewListToTifTilDetailAction.do?tilcod=2002222289393")</f>
        <v>https://opac.libnet.pref.okayama.jp/licsxp-opac/WOpacMsgNewListToTifTilDetailAction.do?tilcod=2002222289393</v>
      </c>
    </row>
    <row r="4339" spans="1:9" x14ac:dyDescent="0.4">
      <c r="A4339" t="str">
        <f>"備中文学"</f>
        <v>備中文学</v>
      </c>
      <c r="B4339" s="1" t="str">
        <f t="shared" si="221"/>
        <v>備中文学</v>
      </c>
      <c r="C4339" t="str">
        <f>"ビッチュウ　ブンガク"</f>
        <v>ビッチュウ　ブンガク</v>
      </c>
      <c r="D4339" t="str">
        <f>"玉島ペンクラブ"</f>
        <v>玉島ペンクラブ</v>
      </c>
      <c r="E4339" t="str">
        <f>"タマシマペンクラブ"</f>
        <v>タマシマペンクラブ</v>
      </c>
      <c r="F4339" t="str">
        <f>""</f>
        <v/>
      </c>
      <c r="G4339" t="str">
        <f>"頻度不明"</f>
        <v>頻度不明</v>
      </c>
      <c r="H4339" t="str">
        <f>"2002222289403"</f>
        <v>2002222289403</v>
      </c>
      <c r="I4339" t="str">
        <f>HYPERLINK("#", "https://opac.libnet.pref.okayama.jp/licsxp-opac/WOpacMsgNewListToTifTilDetailAction.do?tilcod=2002222289403")</f>
        <v>https://opac.libnet.pref.okayama.jp/licsxp-opac/WOpacMsgNewListToTifTilDetailAction.do?tilcod=2002222289403</v>
      </c>
    </row>
    <row r="4340" spans="1:9" x14ac:dyDescent="0.4">
      <c r="A4340" t="str">
        <f>"備中会会報"</f>
        <v>備中会会報</v>
      </c>
      <c r="B4340" s="1" t="str">
        <f t="shared" si="221"/>
        <v>備中会会報</v>
      </c>
      <c r="C4340" t="str">
        <f>"ビッチュウカイ カイホウ"</f>
        <v>ビッチュウカイ カイホウ</v>
      </c>
      <c r="D4340" t="str">
        <f>"備中会本部"</f>
        <v>備中会本部</v>
      </c>
      <c r="E4340" t="str">
        <f>"ビッチュウカイホンブ"</f>
        <v>ビッチュウカイホンブ</v>
      </c>
      <c r="F4340" t="str">
        <f>"東京都"</f>
        <v>東京都</v>
      </c>
      <c r="G4340" t="str">
        <f>"頻度不明"</f>
        <v>頻度不明</v>
      </c>
      <c r="H4340" t="str">
        <f>"2002222285261"</f>
        <v>2002222285261</v>
      </c>
      <c r="I4340" t="str">
        <f>HYPERLINK("#", "https://opac.libnet.pref.okayama.jp/licsxp-opac/WOpacMsgNewListToTifTilDetailAction.do?tilcod=2002222285261")</f>
        <v>https://opac.libnet.pref.okayama.jp/licsxp-opac/WOpacMsgNewListToTifTilDetailAction.do?tilcod=2002222285261</v>
      </c>
    </row>
    <row r="4341" spans="1:9" x14ac:dyDescent="0.4">
      <c r="A4341" t="str">
        <f>"備中町福祉だより"</f>
        <v>備中町福祉だより</v>
      </c>
      <c r="B4341" s="1" t="str">
        <f t="shared" si="221"/>
        <v>備中町福祉だより</v>
      </c>
      <c r="C4341" t="str">
        <f>"ビッチュウチョウ　フクシ　ダヨリ"</f>
        <v>ビッチュウチョウ　フクシ　ダヨリ</v>
      </c>
      <c r="D4341" t="str">
        <f>"備中社会福祉協議会"</f>
        <v>備中社会福祉協議会</v>
      </c>
      <c r="E4341" t="str">
        <f>"ビッチュウチョウシャカイフクシキョウギカイ"</f>
        <v>ビッチュウチョウシャカイフクシキョウギカイ</v>
      </c>
      <c r="F4341" t="str">
        <f>"川上郡備中町"</f>
        <v>川上郡備中町</v>
      </c>
      <c r="G4341" t="str">
        <f>"頻度不明"</f>
        <v>頻度不明</v>
      </c>
      <c r="H4341" t="str">
        <f>"2002222281241"</f>
        <v>2002222281241</v>
      </c>
      <c r="I4341" t="str">
        <f>HYPERLINK("#", "https://opac.libnet.pref.okayama.jp/licsxp-opac/WOpacMsgNewListToTifTilDetailAction.do?tilcod=2002222281241")</f>
        <v>https://opac.libnet.pref.okayama.jp/licsxp-opac/WOpacMsgNewListToTifTilDetailAction.do?tilcod=2002222281241</v>
      </c>
    </row>
    <row r="4342" spans="1:9" x14ac:dyDescent="0.4">
      <c r="A4342" t="str">
        <f>"ヒトガタ通信"</f>
        <v>ヒトガタ通信</v>
      </c>
      <c r="B4342" s="1" t="str">
        <f t="shared" si="221"/>
        <v>ヒトガタ通信</v>
      </c>
      <c r="C4342" t="str">
        <f>"ヒトガタ ツウシン"</f>
        <v>ヒトガタ ツウシン</v>
      </c>
      <c r="D4342" t="str">
        <f>"とらまる人形劇研究所"</f>
        <v>とらまる人形劇研究所</v>
      </c>
      <c r="E4342" t="str">
        <f>"トラマル ニンギョウゲキ ケンキュウジョ"</f>
        <v>トラマル ニンギョウゲキ ケンキュウジョ</v>
      </c>
      <c r="F4342" t="str">
        <f>"倉敷"</f>
        <v>倉敷</v>
      </c>
      <c r="G4342" t="str">
        <f>"年刊"</f>
        <v>年刊</v>
      </c>
      <c r="H4342" t="str">
        <f>"2002222318326"</f>
        <v>2002222318326</v>
      </c>
      <c r="I4342" t="str">
        <f>HYPERLINK("#", "https://opac.libnet.pref.okayama.jp/licsxp-opac/WOpacMsgNewListToTifTilDetailAction.do?tilcod=2002222318326")</f>
        <v>https://opac.libnet.pref.okayama.jp/licsxp-opac/WOpacMsgNewListToTifTilDetailAction.do?tilcod=2002222318326</v>
      </c>
    </row>
    <row r="4343" spans="1:9" x14ac:dyDescent="0.4">
      <c r="A4343" t="str">
        <f>"備南"</f>
        <v>備南</v>
      </c>
      <c r="B4343" s="1" t="str">
        <f t="shared" si="221"/>
        <v>備南</v>
      </c>
      <c r="C4343" t="str">
        <f>"ビナン"</f>
        <v>ビナン</v>
      </c>
      <c r="D4343" t="str">
        <f>"備南俳句連盟本部"</f>
        <v>備南俳句連盟本部</v>
      </c>
      <c r="E4343" t="str">
        <f>"ビナンハイクレンメイホンブ"</f>
        <v>ビナンハイクレンメイホンブ</v>
      </c>
      <c r="F4343" t="str">
        <f>""</f>
        <v/>
      </c>
      <c r="G4343" t="str">
        <f>"頻度不明"</f>
        <v>頻度不明</v>
      </c>
      <c r="H4343" t="str">
        <f>"2002222289413"</f>
        <v>2002222289413</v>
      </c>
      <c r="I4343" t="str">
        <f>HYPERLINK("#", "https://opac.libnet.pref.okayama.jp/licsxp-opac/WOpacMsgNewListToTifTilDetailAction.do?tilcod=2002222289413")</f>
        <v>https://opac.libnet.pref.okayama.jp/licsxp-opac/WOpacMsgNewListToTifTilDetailAction.do?tilcod=2002222289413</v>
      </c>
    </row>
    <row r="4344" spans="1:9" x14ac:dyDescent="0.4">
      <c r="A4344" t="str">
        <f>"備南朝日新聞"</f>
        <v>備南朝日新聞</v>
      </c>
      <c r="B4344" s="1" t="str">
        <f t="shared" si="221"/>
        <v>備南朝日新聞</v>
      </c>
      <c r="C4344" t="str">
        <f>"ビナン　アサヒ　シンブン"</f>
        <v>ビナン　アサヒ　シンブン</v>
      </c>
      <c r="D4344" t="str">
        <f>"備南朝日新聞社"</f>
        <v>備南朝日新聞社</v>
      </c>
      <c r="E4344" t="str">
        <f>"ビナンアサヒシンブンシャ"</f>
        <v>ビナンアサヒシンブンシャ</v>
      </c>
      <c r="F4344" t="str">
        <f>"玉島"</f>
        <v>玉島</v>
      </c>
      <c r="G4344" t="str">
        <f>"週刊"</f>
        <v>週刊</v>
      </c>
      <c r="H4344" t="str">
        <f>"2002222300962"</f>
        <v>2002222300962</v>
      </c>
      <c r="I4344" t="str">
        <f>HYPERLINK("#", "https://opac.libnet.pref.okayama.jp/licsxp-opac/WOpacMsgNewListToTifTilDetailAction.do?tilcod=2002222300962")</f>
        <v>https://opac.libnet.pref.okayama.jp/licsxp-opac/WOpacMsgNewListToTifTilDetailAction.do?tilcod=2002222300962</v>
      </c>
    </row>
    <row r="4345" spans="1:9" x14ac:dyDescent="0.4">
      <c r="A4345" t="str">
        <f>"備南新報"</f>
        <v>備南新報</v>
      </c>
      <c r="B4345" s="1" t="str">
        <f t="shared" si="221"/>
        <v>備南新報</v>
      </c>
      <c r="C4345" t="str">
        <f>"ビナン　シンポウ"</f>
        <v>ビナン　シンポウ</v>
      </c>
      <c r="D4345" t="str">
        <f>"備南新報社"</f>
        <v>備南新報社</v>
      </c>
      <c r="E4345" t="str">
        <f>"ビナンシンポウシャ"</f>
        <v>ビナンシンポウシャ</v>
      </c>
      <c r="F4345" t="str">
        <f>"笠岡"</f>
        <v>笠岡</v>
      </c>
      <c r="G4345" t="str">
        <f>"旬刊"</f>
        <v>旬刊</v>
      </c>
      <c r="H4345" t="str">
        <f>"2002222300963"</f>
        <v>2002222300963</v>
      </c>
      <c r="I4345" t="str">
        <f>HYPERLINK("#", "https://opac.libnet.pref.okayama.jp/licsxp-opac/WOpacMsgNewListToTifTilDetailAction.do?tilcod=2002222300963")</f>
        <v>https://opac.libnet.pref.okayama.jp/licsxp-opac/WOpacMsgNewListToTifTilDetailAction.do?tilcod=2002222300963</v>
      </c>
    </row>
    <row r="4346" spans="1:9" x14ac:dyDescent="0.4">
      <c r="A4346" t="str">
        <f>"備南民報"</f>
        <v>備南民報</v>
      </c>
      <c r="B4346" s="1" t="str">
        <f t="shared" si="221"/>
        <v>備南民報</v>
      </c>
      <c r="C4346" t="str">
        <f>"ビナン ミンポウ"</f>
        <v>ビナン ミンポウ</v>
      </c>
      <c r="D4346" t="str">
        <f>"備南民報社"</f>
        <v>備南民報社</v>
      </c>
      <c r="E4346" t="str">
        <f>"ビナン ミンポウシャ"</f>
        <v>ビナン ミンポウシャ</v>
      </c>
      <c r="F4346" t="str">
        <f>"笠岡町（小田郡）"</f>
        <v>笠岡町（小田郡）</v>
      </c>
      <c r="G4346" t="str">
        <f>"月２回刊"</f>
        <v>月２回刊</v>
      </c>
      <c r="H4346" t="str">
        <f>"2002222327826"</f>
        <v>2002222327826</v>
      </c>
      <c r="I4346" t="str">
        <f>HYPERLINK("#", "https://opac.libnet.pref.okayama.jp/licsxp-opac/WOpacMsgNewListToTifTilDetailAction.do?tilcod=2002222327826")</f>
        <v>https://opac.libnet.pref.okayama.jp/licsxp-opac/WOpacMsgNewListToTifTilDetailAction.do?tilcod=2002222327826</v>
      </c>
    </row>
    <row r="4347" spans="1:9" x14ac:dyDescent="0.4">
      <c r="A4347" t="str">
        <f>"ぴのきお"</f>
        <v>ぴのきお</v>
      </c>
      <c r="B4347" s="1" t="str">
        <f t="shared" si="221"/>
        <v>ぴのきお</v>
      </c>
      <c r="C4347" t="str">
        <f>"ピノキオ"</f>
        <v>ピノキオ</v>
      </c>
      <c r="D4347" t="str">
        <f>"童話の会「ぴのきお」"</f>
        <v>童話の会「ぴのきお」</v>
      </c>
      <c r="E4347" t="str">
        <f>"ドウワノカイピノキオ"</f>
        <v>ドウワノカイピノキオ</v>
      </c>
      <c r="F4347" t="str">
        <f>""</f>
        <v/>
      </c>
      <c r="G4347" t="str">
        <f t="shared" ref="G4347:G4352" si="223">"頻度不明"</f>
        <v>頻度不明</v>
      </c>
      <c r="H4347" t="str">
        <f>"2002222289423"</f>
        <v>2002222289423</v>
      </c>
      <c r="I4347" t="str">
        <f>HYPERLINK("#", "https://opac.libnet.pref.okayama.jp/licsxp-opac/WOpacMsgNewListToTifTilDetailAction.do?tilcod=2002222289423")</f>
        <v>https://opac.libnet.pref.okayama.jp/licsxp-opac/WOpacMsgNewListToTifTilDetailAction.do?tilcod=2002222289423</v>
      </c>
    </row>
    <row r="4348" spans="1:9" x14ac:dyDescent="0.4">
      <c r="A4348" t="str">
        <f>"日の丸新聞"</f>
        <v>日の丸新聞</v>
      </c>
      <c r="B4348" s="1" t="str">
        <f t="shared" si="221"/>
        <v>日の丸新聞</v>
      </c>
      <c r="C4348" t="str">
        <f>"ヒノマル　シンブン"</f>
        <v>ヒノマル　シンブン</v>
      </c>
      <c r="D4348" t="str">
        <f>"国旗掲揚普及運動連盟"</f>
        <v>国旗掲揚普及運動連盟</v>
      </c>
      <c r="E4348" t="str">
        <f>"コッキケイヨウフキュウウンドウレンメイ"</f>
        <v>コッキケイヨウフキュウウンドウレンメイ</v>
      </c>
      <c r="F4348" t="str">
        <f>"岡山"</f>
        <v>岡山</v>
      </c>
      <c r="G4348" t="str">
        <f t="shared" si="223"/>
        <v>頻度不明</v>
      </c>
      <c r="H4348" t="str">
        <f>"2002222300964"</f>
        <v>2002222300964</v>
      </c>
      <c r="I4348" t="str">
        <f>HYPERLINK("#", "https://opac.libnet.pref.okayama.jp/licsxp-opac/WOpacMsgNewListToTifTilDetailAction.do?tilcod=2002222300964")</f>
        <v>https://opac.libnet.pref.okayama.jp/licsxp-opac/WOpacMsgNewListToTifTilDetailAction.do?tilcod=2002222300964</v>
      </c>
    </row>
    <row r="4349" spans="1:9" x14ac:dyDescent="0.4">
      <c r="A4349" t="str">
        <f>"ＶＩＶＡ　ＯＫＡＹＡＭＡ　Ｒｉｃｈｕ；ビバ理中"</f>
        <v>ＶＩＶＡ　ＯＫＡＹＡＭＡ　Ｒｉｃｈｕ；ビバ理中</v>
      </c>
      <c r="B4349" s="1" t="str">
        <f t="shared" si="221"/>
        <v>ＶＩＶＡ　ＯＫＡＹＡＭＡ　Ｒｉｃｈｕ；ビバ理中</v>
      </c>
      <c r="C4349" t="str">
        <f>"ビバ　オカヤマ　リチュウ＊ビバ　リチュウ"</f>
        <v>ビバ　オカヤマ　リチュウ＊ビバ　リチュウ</v>
      </c>
      <c r="D4349" t="str">
        <f>"岡山理科大学附属中学校"</f>
        <v>岡山理科大学附属中学校</v>
      </c>
      <c r="E4349" t="str">
        <f>""</f>
        <v/>
      </c>
      <c r="F4349" t="str">
        <f>"岡山"</f>
        <v>岡山</v>
      </c>
      <c r="G4349" t="str">
        <f t="shared" si="223"/>
        <v>頻度不明</v>
      </c>
      <c r="H4349" t="str">
        <f>"2002222302451"</f>
        <v>2002222302451</v>
      </c>
      <c r="I4349" t="str">
        <f>HYPERLINK("#", "https://opac.libnet.pref.okayama.jp/licsxp-opac/WOpacMsgNewListToTifTilDetailAction.do?tilcod=2002222302451")</f>
        <v>https://opac.libnet.pref.okayama.jp/licsxp-opac/WOpacMsgNewListToTifTilDetailAction.do?tilcod=2002222302451</v>
      </c>
    </row>
    <row r="4350" spans="1:9" x14ac:dyDescent="0.4">
      <c r="A4350" t="str">
        <f>"非非"</f>
        <v>非非</v>
      </c>
      <c r="B4350" s="1" t="str">
        <f t="shared" si="221"/>
        <v>非非</v>
      </c>
      <c r="C4350" t="str">
        <f>"ヒヒ"</f>
        <v>ヒヒ</v>
      </c>
      <c r="D4350" t="str">
        <f>"非非の会"</f>
        <v>非非の会</v>
      </c>
      <c r="E4350" t="str">
        <f>"ヒヒノカイ"</f>
        <v>ヒヒノカイ</v>
      </c>
      <c r="F4350" t="str">
        <f>""</f>
        <v/>
      </c>
      <c r="G4350" t="str">
        <f t="shared" si="223"/>
        <v>頻度不明</v>
      </c>
      <c r="H4350" t="str">
        <f>"2002222289433"</f>
        <v>2002222289433</v>
      </c>
      <c r="I4350" t="str">
        <f>HYPERLINK("#", "https://opac.libnet.pref.okayama.jp/licsxp-opac/WOpacMsgNewListToTifTilDetailAction.do?tilcod=2002222289433")</f>
        <v>https://opac.libnet.pref.okayama.jp/licsxp-opac/WOpacMsgNewListToTifTilDetailAction.do?tilcod=2002222289433</v>
      </c>
    </row>
    <row r="4351" spans="1:9" x14ac:dyDescent="0.4">
      <c r="A4351" t="str">
        <f>"被服会報"</f>
        <v>被服会報</v>
      </c>
      <c r="B4351" s="1" t="str">
        <f t="shared" si="221"/>
        <v>被服会報</v>
      </c>
      <c r="C4351" t="str">
        <f>"ヒフク カイホウ"</f>
        <v>ヒフク カイホウ</v>
      </c>
      <c r="D4351" t="str">
        <f>"岡山県被服工業組合"</f>
        <v>岡山県被服工業組合</v>
      </c>
      <c r="E4351" t="str">
        <f>"オカヤマケン ヒフク コウギョウ クミアイ"</f>
        <v>オカヤマケン ヒフク コウギョウ クミアイ</v>
      </c>
      <c r="F4351" t="str">
        <f>"倉敷"</f>
        <v>倉敷</v>
      </c>
      <c r="G4351" t="str">
        <f t="shared" si="223"/>
        <v>頻度不明</v>
      </c>
      <c r="H4351" t="str">
        <f>"2002222336648"</f>
        <v>2002222336648</v>
      </c>
      <c r="I4351" t="str">
        <f>HYPERLINK("#", "https://opac.libnet.pref.okayama.jp/licsxp-opac/WOpacMsgNewListToTifTilDetailAction.do?tilcod=2002222336648")</f>
        <v>https://opac.libnet.pref.okayama.jp/licsxp-opac/WOpacMsgNewListToTifTilDetailAction.do?tilcod=2002222336648</v>
      </c>
    </row>
    <row r="4352" spans="1:9" x14ac:dyDescent="0.4">
      <c r="A4352" t="str">
        <f>"VIVRE(ビブレ)"</f>
        <v>VIVRE(ビブレ)</v>
      </c>
      <c r="B4352" s="1" t="str">
        <f t="shared" si="221"/>
        <v>VIVRE(ビブレ)</v>
      </c>
      <c r="C4352" t="str">
        <f>"ビブレ"</f>
        <v>ビブレ</v>
      </c>
      <c r="D4352" t="str">
        <f>"備前市埋蔵文化財管理センター"</f>
        <v>備前市埋蔵文化財管理センター</v>
      </c>
      <c r="E4352" t="str">
        <f>"ビゼンシ マイゾウ ブンカザイ カンリ センター"</f>
        <v>ビゼンシ マイゾウ ブンカザイ カンリ センター</v>
      </c>
      <c r="F4352" t="str">
        <f>"備前"</f>
        <v>備前</v>
      </c>
      <c r="G4352" t="str">
        <f t="shared" si="223"/>
        <v>頻度不明</v>
      </c>
      <c r="H4352" t="str">
        <f>"2002222330366"</f>
        <v>2002222330366</v>
      </c>
      <c r="I4352" t="str">
        <f>HYPERLINK("#", "https://opac.libnet.pref.okayama.jp/licsxp-opac/WOpacMsgNewListToTifTilDetailAction.do?tilcod=2002222330366")</f>
        <v>https://opac.libnet.pref.okayama.jp/licsxp-opac/WOpacMsgNewListToTifTilDetailAction.do?tilcod=2002222330366</v>
      </c>
    </row>
    <row r="4353" spans="1:9" x14ac:dyDescent="0.4">
      <c r="A4353" t="str">
        <f>"備北アサヒ新聞"</f>
        <v>備北アサヒ新聞</v>
      </c>
      <c r="B4353" s="1" t="str">
        <f t="shared" si="221"/>
        <v>備北アサヒ新聞</v>
      </c>
      <c r="C4353" t="str">
        <f>"ビホク　アサヒ　シンブン"</f>
        <v>ビホク　アサヒ　シンブン</v>
      </c>
      <c r="D4353" t="str">
        <f>"備北アサヒ新聞社"</f>
        <v>備北アサヒ新聞社</v>
      </c>
      <c r="E4353" t="str">
        <f>"ビホクアサヒシンブンシャ"</f>
        <v>ビホクアサヒシンブンシャ</v>
      </c>
      <c r="F4353" t="str">
        <f>"高梁"</f>
        <v>高梁</v>
      </c>
      <c r="G4353" t="str">
        <f>"月刊"</f>
        <v>月刊</v>
      </c>
      <c r="H4353" t="str">
        <f>"2002222300965"</f>
        <v>2002222300965</v>
      </c>
      <c r="I4353" t="str">
        <f>HYPERLINK("#", "https://opac.libnet.pref.okayama.jp/licsxp-opac/WOpacMsgNewListToTifTilDetailAction.do?tilcod=2002222300965")</f>
        <v>https://opac.libnet.pref.okayama.jp/licsxp-opac/WOpacMsgNewListToTifTilDetailAction.do?tilcod=2002222300965</v>
      </c>
    </row>
    <row r="4354" spans="1:9" x14ac:dyDescent="0.4">
      <c r="A4354" t="str">
        <f>"備北新聞"</f>
        <v>備北新聞</v>
      </c>
      <c r="B4354" s="1" t="str">
        <f t="shared" si="221"/>
        <v>備北新聞</v>
      </c>
      <c r="C4354" t="str">
        <f>"ビホク　シンブン"</f>
        <v>ビホク　シンブン</v>
      </c>
      <c r="D4354" t="str">
        <f>"備北新聞社"</f>
        <v>備北新聞社</v>
      </c>
      <c r="E4354" t="str">
        <f>"ビホクシンブンシャ"</f>
        <v>ビホクシンブンシャ</v>
      </c>
      <c r="F4354" t="str">
        <f>"新見"</f>
        <v>新見</v>
      </c>
      <c r="G4354" t="str">
        <f>"旬刊"</f>
        <v>旬刊</v>
      </c>
      <c r="H4354" t="str">
        <f>"2002222300894"</f>
        <v>2002222300894</v>
      </c>
      <c r="I4354" t="str">
        <f>HYPERLINK("#", "https://opac.libnet.pref.okayama.jp/licsxp-opac/WOpacMsgNewListToTifTilDetailAction.do?tilcod=2002222300894")</f>
        <v>https://opac.libnet.pref.okayama.jp/licsxp-opac/WOpacMsgNewListToTifTilDetailAction.do?tilcod=2002222300894</v>
      </c>
    </row>
    <row r="4355" spans="1:9" x14ac:dyDescent="0.4">
      <c r="A4355" t="str">
        <f>"備北文学"</f>
        <v>備北文学</v>
      </c>
      <c r="B4355" s="1" t="str">
        <f t="shared" si="221"/>
        <v>備北文学</v>
      </c>
      <c r="C4355" t="str">
        <f>"ビホク　ブンガク"</f>
        <v>ビホク　ブンガク</v>
      </c>
      <c r="D4355" t="str">
        <f>"備北文学会"</f>
        <v>備北文学会</v>
      </c>
      <c r="E4355" t="str">
        <f>"ビホクブンガクカイ"</f>
        <v>ビホクブンガクカイ</v>
      </c>
      <c r="F4355" t="str">
        <f>"新見"</f>
        <v>新見</v>
      </c>
      <c r="G4355" t="str">
        <f>"年２回刊"</f>
        <v>年２回刊</v>
      </c>
      <c r="H4355" t="str">
        <f>"2002222291621"</f>
        <v>2002222291621</v>
      </c>
      <c r="I4355" t="str">
        <f>HYPERLINK("#", "https://opac.libnet.pref.okayama.jp/licsxp-opac/WOpacMsgNewListToTifTilDetailAction.do?tilcod=2002222291621")</f>
        <v>https://opac.libnet.pref.okayama.jp/licsxp-opac/WOpacMsgNewListToTifTilDetailAction.do?tilcod=2002222291621</v>
      </c>
    </row>
    <row r="4356" spans="1:9" x14ac:dyDescent="0.4">
      <c r="A4356" t="str">
        <f>"備北；所報"</f>
        <v>備北；所報</v>
      </c>
      <c r="B4356" s="1" t="str">
        <f t="shared" ref="B4356:B4419" si="224">HYPERLINK("#", A4356)</f>
        <v>備北；所報</v>
      </c>
      <c r="C4356" t="str">
        <f>"ビホク＊ショホウ"</f>
        <v>ビホク＊ショホウ</v>
      </c>
      <c r="D4356" t="str">
        <f>"岡山県備北青年の家"</f>
        <v>岡山県備北青年の家</v>
      </c>
      <c r="E4356" t="str">
        <f>"オカヤマケンビホクセイネンノイエ"</f>
        <v>オカヤマケンビホクセイネンノイエ</v>
      </c>
      <c r="F4356" t="str">
        <f>"新見"</f>
        <v>新見</v>
      </c>
      <c r="G4356" t="str">
        <f>"頻度不明"</f>
        <v>頻度不明</v>
      </c>
      <c r="H4356" t="str">
        <f>"2002222280874"</f>
        <v>2002222280874</v>
      </c>
      <c r="I4356" t="str">
        <f>HYPERLINK("#", "https://opac.libnet.pref.okayama.jp/licsxp-opac/WOpacMsgNewListToTifTilDetailAction.do?tilcod=2002222280874")</f>
        <v>https://opac.libnet.pref.okayama.jp/licsxp-opac/WOpacMsgNewListToTifTilDetailAction.do?tilcod=2002222280874</v>
      </c>
    </row>
    <row r="4357" spans="1:9" x14ac:dyDescent="0.4">
      <c r="A4357" t="str">
        <f>"ひまらや杉"</f>
        <v>ひまらや杉</v>
      </c>
      <c r="B4357" s="1" t="str">
        <f t="shared" si="224"/>
        <v>ひまらや杉</v>
      </c>
      <c r="C4357" t="str">
        <f>"ヒマラヤスギ"</f>
        <v>ヒマラヤスギ</v>
      </c>
      <c r="D4357" t="str">
        <f>"新見北高等学校"</f>
        <v>新見北高等学校</v>
      </c>
      <c r="E4357" t="str">
        <f>"ニイミキタコウトウガッコウ"</f>
        <v>ニイミキタコウトウガッコウ</v>
      </c>
      <c r="F4357" t="str">
        <f>"新見"</f>
        <v>新見</v>
      </c>
      <c r="G4357" t="str">
        <f>"年刊"</f>
        <v>年刊</v>
      </c>
      <c r="H4357" t="str">
        <f>"2002222282861"</f>
        <v>2002222282861</v>
      </c>
      <c r="I4357" t="str">
        <f>HYPERLINK("#", "https://opac.libnet.pref.okayama.jp/licsxp-opac/WOpacMsgNewListToTifTilDetailAction.do?tilcod=2002222282861")</f>
        <v>https://opac.libnet.pref.okayama.jp/licsxp-opac/WOpacMsgNewListToTifTilDetailAction.do?tilcod=2002222282861</v>
      </c>
    </row>
    <row r="4358" spans="1:9" x14ac:dyDescent="0.4">
      <c r="A4358" t="str">
        <f>"ひまわり"</f>
        <v>ひまわり</v>
      </c>
      <c r="B4358" s="1" t="str">
        <f t="shared" si="224"/>
        <v>ひまわり</v>
      </c>
      <c r="C4358" t="str">
        <f>"ヒマワリ"</f>
        <v>ヒマワリ</v>
      </c>
      <c r="D4358" t="str">
        <f>"ひまわりの会後援会"</f>
        <v>ひまわりの会後援会</v>
      </c>
      <c r="E4358" t="str">
        <f>"ヒマワリノカイコウエンカイ"</f>
        <v>ヒマワリノカイコウエンカイ</v>
      </c>
      <c r="F4358" t="str">
        <f>"倉敷"</f>
        <v>倉敷</v>
      </c>
      <c r="G4358" t="str">
        <f>"頻度不明"</f>
        <v>頻度不明</v>
      </c>
      <c r="H4358" t="str">
        <f>"2002222300966"</f>
        <v>2002222300966</v>
      </c>
      <c r="I4358" t="str">
        <f>HYPERLINK("#", "https://opac.libnet.pref.okayama.jp/licsxp-opac/WOpacMsgNewListToTifTilDetailAction.do?tilcod=2002222300966")</f>
        <v>https://opac.libnet.pref.okayama.jp/licsxp-opac/WOpacMsgNewListToTifTilDetailAction.do?tilcod=2002222300966</v>
      </c>
    </row>
    <row r="4359" spans="1:9" x14ac:dyDescent="0.4">
      <c r="A4359" t="str">
        <f>"ひまわり通信"</f>
        <v>ひまわり通信</v>
      </c>
      <c r="B4359" s="1" t="str">
        <f t="shared" si="224"/>
        <v>ひまわり通信</v>
      </c>
      <c r="C4359" t="str">
        <f>"ヒマワリ　ツウシン"</f>
        <v>ヒマワリ　ツウシン</v>
      </c>
      <c r="D4359" t="str">
        <f>"岡山県法律扶助協会"</f>
        <v>岡山県法律扶助協会</v>
      </c>
      <c r="E4359" t="str">
        <f>"オカヤマケンホウリツフジョキョウカイ"</f>
        <v>オカヤマケンホウリツフジョキョウカイ</v>
      </c>
      <c r="F4359" t="str">
        <f>""</f>
        <v/>
      </c>
      <c r="G4359" t="str">
        <f>"頻度不明"</f>
        <v>頻度不明</v>
      </c>
      <c r="H4359" t="str">
        <f>"2002222289443"</f>
        <v>2002222289443</v>
      </c>
      <c r="I4359" t="str">
        <f>HYPERLINK("#", "https://opac.libnet.pref.okayama.jp/licsxp-opac/WOpacMsgNewListToTifTilDetailAction.do?tilcod=2002222289443")</f>
        <v>https://opac.libnet.pref.okayama.jp/licsxp-opac/WOpacMsgNewListToTifTilDetailAction.do?tilcod=2002222289443</v>
      </c>
    </row>
    <row r="4360" spans="1:9" x14ac:dyDescent="0.4">
      <c r="A4360" t="str">
        <f>"ひまわり通信"</f>
        <v>ひまわり通信</v>
      </c>
      <c r="B4360" s="1" t="str">
        <f t="shared" si="224"/>
        <v>ひまわり通信</v>
      </c>
      <c r="C4360" t="str">
        <f>"ヒマワリ　ツウシン"</f>
        <v>ヒマワリ　ツウシン</v>
      </c>
      <c r="D4360" t="str">
        <f>"ひまわり通信かばくん"</f>
        <v>ひまわり通信かばくん</v>
      </c>
      <c r="E4360" t="str">
        <f>"ヒマワリツウシンカバクン"</f>
        <v>ヒマワリツウシンカバクン</v>
      </c>
      <c r="F4360" t="str">
        <f>"備前"</f>
        <v>備前</v>
      </c>
      <c r="G4360" t="str">
        <f>"その他"</f>
        <v>その他</v>
      </c>
      <c r="H4360" t="str">
        <f>"2002222300298"</f>
        <v>2002222300298</v>
      </c>
      <c r="I4360" t="str">
        <f>HYPERLINK("#", "https://opac.libnet.pref.okayama.jp/licsxp-opac/WOpacMsgNewListToTifTilDetailAction.do?tilcod=2002222300298")</f>
        <v>https://opac.libnet.pref.okayama.jp/licsxp-opac/WOpacMsgNewListToTifTilDetailAction.do?tilcod=2002222300298</v>
      </c>
    </row>
    <row r="4361" spans="1:9" x14ac:dyDescent="0.4">
      <c r="A4361" t="str">
        <f>"ひまわり；岡山県女性農業士連絡協議会情報誌"</f>
        <v>ひまわり；岡山県女性農業士連絡協議会情報誌</v>
      </c>
      <c r="B4361" s="1" t="str">
        <f t="shared" si="224"/>
        <v>ひまわり；岡山県女性農業士連絡協議会情報誌</v>
      </c>
      <c r="C4361" t="str">
        <f>"ヒマワリ＊オカヤマケン　ジョセイ　ノウギョウ　シ　レンラク　キョウギカイ　ジョウホウ　シ"</f>
        <v>ヒマワリ＊オカヤマケン　ジョセイ　ノウギョウ　シ　レンラク　キョウギカイ　ジョウホウ　シ</v>
      </c>
      <c r="D4361" t="str">
        <f>"岡山県女性農業士連絡協議会"</f>
        <v>岡山県女性農業士連絡協議会</v>
      </c>
      <c r="E4361" t="str">
        <f>"オカヤマケンジョセイノウギョウシレンラクキョウギカイ"</f>
        <v>オカヤマケンジョセイノウギョウシレンラクキョウギカイ</v>
      </c>
      <c r="F4361" t="str">
        <f>"岡山"</f>
        <v>岡山</v>
      </c>
      <c r="G4361" t="str">
        <f t="shared" ref="G4361:G4367" si="225">"頻度不明"</f>
        <v>頻度不明</v>
      </c>
      <c r="H4361" t="str">
        <f>"2002222281364"</f>
        <v>2002222281364</v>
      </c>
      <c r="I4361" t="str">
        <f>HYPERLINK("#", "https://opac.libnet.pref.okayama.jp/licsxp-opac/WOpacMsgNewListToTifTilDetailAction.do?tilcod=2002222281364")</f>
        <v>https://opac.libnet.pref.okayama.jp/licsxp-opac/WOpacMsgNewListToTifTilDetailAction.do?tilcod=2002222281364</v>
      </c>
    </row>
    <row r="4362" spans="1:9" x14ac:dyDescent="0.4">
      <c r="A4362" t="str">
        <f>"百姓一揆"</f>
        <v>百姓一揆</v>
      </c>
      <c r="B4362" s="1" t="str">
        <f t="shared" si="224"/>
        <v>百姓一揆</v>
      </c>
      <c r="C4362" t="str">
        <f>"ヒャクショウ イッキ "</f>
        <v xml:space="preserve">ヒャクショウ イッキ </v>
      </c>
      <c r="D4362" t="str">
        <f>"作州農民問題研究所"</f>
        <v>作州農民問題研究所</v>
      </c>
      <c r="E4362" t="str">
        <f>"サクシュウ　ノウミン　モンダイ　ケンキュウジョ"</f>
        <v>サクシュウ　ノウミン　モンダイ　ケンキュウジョ</v>
      </c>
      <c r="F4362" t="str">
        <f>"津山"</f>
        <v>津山</v>
      </c>
      <c r="G4362" t="str">
        <f t="shared" si="225"/>
        <v>頻度不明</v>
      </c>
      <c r="H4362" t="str">
        <f>"2002222324589"</f>
        <v>2002222324589</v>
      </c>
      <c r="I4362" t="str">
        <f>HYPERLINK("#", "https://opac.libnet.pref.okayama.jp/licsxp-opac/WOpacMsgNewListToTifTilDetailAction.do?tilcod=2002222324589")</f>
        <v>https://opac.libnet.pref.okayama.jp/licsxp-opac/WOpacMsgNewListToTifTilDetailAction.do?tilcod=2002222324589</v>
      </c>
    </row>
    <row r="4363" spans="1:9" x14ac:dyDescent="0.4">
      <c r="A4363" t="str">
        <f>"百鬼園倶楽部会報"</f>
        <v>百鬼園倶楽部会報</v>
      </c>
      <c r="B4363" s="1" t="str">
        <f t="shared" si="224"/>
        <v>百鬼園倶楽部会報</v>
      </c>
      <c r="C4363" t="str">
        <f>"ヒャッキアン　クラブ　カイホウ"</f>
        <v>ヒャッキアン　クラブ　カイホウ</v>
      </c>
      <c r="D4363" t="str">
        <f>"百鬼園倶楽部"</f>
        <v>百鬼園倶楽部</v>
      </c>
      <c r="E4363" t="str">
        <f>"ヒャッキアンクラブ"</f>
        <v>ヒャッキアンクラブ</v>
      </c>
      <c r="F4363" t="str">
        <f>"岡山"</f>
        <v>岡山</v>
      </c>
      <c r="G4363" t="str">
        <f t="shared" si="225"/>
        <v>頻度不明</v>
      </c>
      <c r="H4363" t="str">
        <f>"2002222281414"</f>
        <v>2002222281414</v>
      </c>
      <c r="I4363" t="str">
        <f>HYPERLINK("#", "https://opac.libnet.pref.okayama.jp/licsxp-opac/WOpacMsgNewListToTifTilDetailAction.do?tilcod=2002222281414")</f>
        <v>https://opac.libnet.pref.okayama.jp/licsxp-opac/WOpacMsgNewListToTifTilDetailAction.do?tilcod=2002222281414</v>
      </c>
    </row>
    <row r="4364" spans="1:9" x14ac:dyDescent="0.4">
      <c r="A4364" t="str">
        <f>"百間川を自然公園に"</f>
        <v>百間川を自然公園に</v>
      </c>
      <c r="B4364" s="1" t="str">
        <f t="shared" si="224"/>
        <v>百間川を自然公園に</v>
      </c>
      <c r="C4364" t="str">
        <f>"ヒャッケンガワ オ シゼン コウエン ニ"</f>
        <v>ヒャッケンガワ オ シゼン コウエン ニ</v>
      </c>
      <c r="D4364" t="str">
        <f>"岡山の自然を守る会"</f>
        <v>岡山の自然を守る会</v>
      </c>
      <c r="E4364" t="str">
        <f>"オカヤマ ノ シゼン オ マモル カイ"</f>
        <v>オカヤマ ノ シゼン オ マモル カイ</v>
      </c>
      <c r="F4364" t="str">
        <f>"岡山"</f>
        <v>岡山</v>
      </c>
      <c r="G4364" t="str">
        <f t="shared" si="225"/>
        <v>頻度不明</v>
      </c>
      <c r="H4364" t="str">
        <f>"2002222331008"</f>
        <v>2002222331008</v>
      </c>
      <c r="I4364" t="str">
        <f>HYPERLINK("#", "https://opac.libnet.pref.okayama.jp/licsxp-opac/WOpacMsgNewListToTifTilDetailAction.do?tilcod=2002222331008")</f>
        <v>https://opac.libnet.pref.okayama.jp/licsxp-opac/WOpacMsgNewListToTifTilDetailAction.do?tilcod=2002222331008</v>
      </c>
    </row>
    <row r="4365" spans="1:9" x14ac:dyDescent="0.4">
      <c r="A4365" t="str">
        <f>"百間川から"</f>
        <v>百間川から</v>
      </c>
      <c r="B4365" s="1" t="str">
        <f t="shared" si="224"/>
        <v>百間川から</v>
      </c>
      <c r="C4365" t="str">
        <f>"ヒャッケンガワ　カラ"</f>
        <v>ヒャッケンガワ　カラ</v>
      </c>
      <c r="D4365" t="str">
        <f>"「百間川から」の会事務局"</f>
        <v>「百間川から」の会事務局</v>
      </c>
      <c r="E4365" t="str">
        <f>"ヒャッケンガワカラノカイジムキョク"</f>
        <v>ヒャッケンガワカラノカイジムキョク</v>
      </c>
      <c r="F4365" t="str">
        <f>""</f>
        <v/>
      </c>
      <c r="G4365" t="str">
        <f t="shared" si="225"/>
        <v>頻度不明</v>
      </c>
      <c r="H4365" t="str">
        <f>"2002222289453"</f>
        <v>2002222289453</v>
      </c>
      <c r="I4365" t="str">
        <f>HYPERLINK("#", "https://opac.libnet.pref.okayama.jp/licsxp-opac/WOpacMsgNewListToTifTilDetailAction.do?tilcod=2002222289453")</f>
        <v>https://opac.libnet.pref.okayama.jp/licsxp-opac/WOpacMsgNewListToTifTilDetailAction.do?tilcod=2002222289453</v>
      </c>
    </row>
    <row r="4366" spans="1:9" x14ac:dyDescent="0.4">
      <c r="A4366" t="str">
        <f>"ＨＵＢＯ（ヒューブ）"</f>
        <v>ＨＵＢＯ（ヒューブ）</v>
      </c>
      <c r="B4366" s="1" t="str">
        <f t="shared" si="224"/>
        <v>ＨＵＢＯ（ヒューブ）</v>
      </c>
      <c r="C4366" t="str">
        <f>"ヒューブ"</f>
        <v>ヒューブ</v>
      </c>
      <c r="D4366" t="str">
        <f>"アス"</f>
        <v>アス</v>
      </c>
      <c r="E4366" t="str">
        <f>"アス"</f>
        <v>アス</v>
      </c>
      <c r="F4366" t="str">
        <f>""</f>
        <v/>
      </c>
      <c r="G4366" t="str">
        <f t="shared" si="225"/>
        <v>頻度不明</v>
      </c>
      <c r="H4366" t="str">
        <f>"2002222289463"</f>
        <v>2002222289463</v>
      </c>
      <c r="I4366" t="str">
        <f>HYPERLINK("#", "https://opac.libnet.pref.okayama.jp/licsxp-opac/WOpacMsgNewListToTifTilDetailAction.do?tilcod=2002222289463")</f>
        <v>https://opac.libnet.pref.okayama.jp/licsxp-opac/WOpacMsgNewListToTifTilDetailAction.do?tilcod=2002222289463</v>
      </c>
    </row>
    <row r="4367" spans="1:9" x14ac:dyDescent="0.4">
      <c r="A4367" t="str">
        <f>"備陽速報"</f>
        <v>備陽速報</v>
      </c>
      <c r="B4367" s="1" t="str">
        <f t="shared" si="224"/>
        <v>備陽速報</v>
      </c>
      <c r="C4367" t="str">
        <f>"ビヨウ ソクホウ"</f>
        <v>ビヨウ ソクホウ</v>
      </c>
      <c r="D4367" t="str">
        <f>"安東貿易・美術刀剣部"</f>
        <v>安東貿易・美術刀剣部</v>
      </c>
      <c r="E4367" t="str">
        <f>"アンドウ ボウエキ ビジュツ トウケンブ"</f>
        <v>アンドウ ボウエキ ビジュツ トウケンブ</v>
      </c>
      <c r="F4367" t="str">
        <f>"岡山"</f>
        <v>岡山</v>
      </c>
      <c r="G4367" t="str">
        <f t="shared" si="225"/>
        <v>頻度不明</v>
      </c>
      <c r="H4367" t="str">
        <f>"2002222328446"</f>
        <v>2002222328446</v>
      </c>
      <c r="I4367" t="str">
        <f>HYPERLINK("#", "https://opac.libnet.pref.okayama.jp/licsxp-opac/WOpacMsgNewListToTifTilDetailAction.do?tilcod=2002222328446")</f>
        <v>https://opac.libnet.pref.okayama.jp/licsxp-opac/WOpacMsgNewListToTifTilDetailAction.do?tilcod=2002222328446</v>
      </c>
    </row>
    <row r="4368" spans="1:9" x14ac:dyDescent="0.4">
      <c r="A4368" t="str">
        <f>"病院ＮＯＷ"</f>
        <v>病院ＮＯＷ</v>
      </c>
      <c r="B4368" s="1" t="str">
        <f t="shared" si="224"/>
        <v>病院ＮＯＷ</v>
      </c>
      <c r="C4368" t="str">
        <f>"ビョウイン　ナウ"</f>
        <v>ビョウイン　ナウ</v>
      </c>
      <c r="D4368" t="str">
        <f>"心臓病センター榊原病院"</f>
        <v>心臓病センター榊原病院</v>
      </c>
      <c r="E4368" t="str">
        <f>"シンゾウビョウ センター サカキバラ ビョウイン"</f>
        <v>シンゾウビョウ センター サカキバラ ビョウイン</v>
      </c>
      <c r="F4368" t="str">
        <f>"岡山"</f>
        <v>岡山</v>
      </c>
      <c r="G4368" t="str">
        <f>"季刊"</f>
        <v>季刊</v>
      </c>
      <c r="H4368" t="str">
        <f>"2002222300167"</f>
        <v>2002222300167</v>
      </c>
      <c r="I4368" t="str">
        <f>HYPERLINK("#", "https://opac.libnet.pref.okayama.jp/licsxp-opac/WOpacMsgNewListToTifTilDetailAction.do?tilcod=2002222300167")</f>
        <v>https://opac.libnet.pref.okayama.jp/licsxp-opac/WOpacMsgNewListToTifTilDetailAction.do?tilcod=2002222300167</v>
      </c>
    </row>
    <row r="4369" spans="1:9" x14ac:dyDescent="0.4">
      <c r="A4369" t="str">
        <f>"表現文化だより"</f>
        <v>表現文化だより</v>
      </c>
      <c r="B4369" s="1" t="str">
        <f t="shared" si="224"/>
        <v>表現文化だより</v>
      </c>
      <c r="C4369" t="str">
        <f>"ヒョウゲン ブンカ ダヨリ"</f>
        <v>ヒョウゲン ブンカ ダヨリ</v>
      </c>
      <c r="D4369" t="str">
        <f>"就実大学人文科学部表現文化学科"</f>
        <v>就実大学人文科学部表現文化学科</v>
      </c>
      <c r="E4369" t="str">
        <f>"シュウジツ ダイガク ジンブン カガクブ ヒョウゲン ブンカ ガッカ"</f>
        <v>シュウジツ ダイガク ジンブン カガクブ ヒョウゲン ブンカ ガッカ</v>
      </c>
      <c r="F4369" t="str">
        <f>"岡山"</f>
        <v>岡山</v>
      </c>
      <c r="G4369" t="str">
        <f>"年２回刊"</f>
        <v>年２回刊</v>
      </c>
      <c r="H4369" t="str">
        <f>"2002222330310"</f>
        <v>2002222330310</v>
      </c>
      <c r="I4369" t="str">
        <f>HYPERLINK("#", "https://opac.libnet.pref.okayama.jp/licsxp-opac/WOpacMsgNewListToTifTilDetailAction.do?tilcod=2002222330310")</f>
        <v>https://opac.libnet.pref.okayama.jp/licsxp-opac/WOpacMsgNewListToTifTilDetailAction.do?tilcod=2002222330310</v>
      </c>
    </row>
    <row r="4370" spans="1:9" x14ac:dyDescent="0.4">
      <c r="A4370" t="str">
        <f>"表現者グループＱからの通信"</f>
        <v>表現者グループＱからの通信</v>
      </c>
      <c r="B4370" s="1" t="str">
        <f t="shared" si="224"/>
        <v>表現者グループＱからの通信</v>
      </c>
      <c r="C4370" t="str">
        <f>"ヒョウゲンシャ　グループ　キュー　カラ　ノ　ツウシン"</f>
        <v>ヒョウゲンシャ　グループ　キュー　カラ　ノ　ツウシン</v>
      </c>
      <c r="D4370" t="str">
        <f>"グループＱ"</f>
        <v>グループＱ</v>
      </c>
      <c r="E4370" t="str">
        <f>"グループキュー"</f>
        <v>グループキュー</v>
      </c>
      <c r="F4370" t="str">
        <f>""</f>
        <v/>
      </c>
      <c r="G4370" t="str">
        <f>"頻度不明"</f>
        <v>頻度不明</v>
      </c>
      <c r="H4370" t="str">
        <f>"2002222289473"</f>
        <v>2002222289473</v>
      </c>
      <c r="I4370" t="str">
        <f>HYPERLINK("#", "https://opac.libnet.pref.okayama.jp/licsxp-opac/WOpacMsgNewListToTifTilDetailAction.do?tilcod=2002222289473")</f>
        <v>https://opac.libnet.pref.okayama.jp/licsxp-opac/WOpacMsgNewListToTifTilDetailAction.do?tilcod=2002222289473</v>
      </c>
    </row>
    <row r="4371" spans="1:9" x14ac:dyDescent="0.4">
      <c r="A4371" t="str">
        <f>"瓢箪（ひょうたん）"</f>
        <v>瓢箪（ひょうたん）</v>
      </c>
      <c r="B4371" s="1" t="str">
        <f t="shared" si="224"/>
        <v>瓢箪（ひょうたん）</v>
      </c>
      <c r="C4371" t="str">
        <f>"ヒョウタン"</f>
        <v>ヒョウタン</v>
      </c>
      <c r="D4371" t="str">
        <f>"文学集団"</f>
        <v>文学集団</v>
      </c>
      <c r="E4371" t="str">
        <f>"ブンガクシュウダン"</f>
        <v>ブンガクシュウダン</v>
      </c>
      <c r="F4371" t="str">
        <f>""</f>
        <v/>
      </c>
      <c r="G4371" t="str">
        <f>"頻度不明"</f>
        <v>頻度不明</v>
      </c>
      <c r="H4371" t="str">
        <f>"2002222289483"</f>
        <v>2002222289483</v>
      </c>
      <c r="I4371" t="str">
        <f>HYPERLINK("#", "https://opac.libnet.pref.okayama.jp/licsxp-opac/WOpacMsgNewListToTifTilDetailAction.do?tilcod=2002222289483")</f>
        <v>https://opac.libnet.pref.okayama.jp/licsxp-opac/WOpacMsgNewListToTifTilDetailAction.do?tilcod=2002222289483</v>
      </c>
    </row>
    <row r="4372" spans="1:9" x14ac:dyDescent="0.4">
      <c r="A4372" t="str">
        <f>"評論倉敷"</f>
        <v>評論倉敷</v>
      </c>
      <c r="B4372" s="1" t="str">
        <f t="shared" si="224"/>
        <v>評論倉敷</v>
      </c>
      <c r="C4372" t="str">
        <f>"ヒョウロン　クラシキ"</f>
        <v>ヒョウロン　クラシキ</v>
      </c>
      <c r="D4372" t="str">
        <f>"戸川白華"</f>
        <v>戸川白華</v>
      </c>
      <c r="E4372" t="str">
        <f>"トガワビャッカ"</f>
        <v>トガワビャッカ</v>
      </c>
      <c r="F4372" t="str">
        <f>"倉敷"</f>
        <v>倉敷</v>
      </c>
      <c r="G4372" t="str">
        <f>"旬刊"</f>
        <v>旬刊</v>
      </c>
      <c r="H4372" t="str">
        <f>"2002222301001"</f>
        <v>2002222301001</v>
      </c>
      <c r="I4372" t="str">
        <f>HYPERLINK("#", "https://opac.libnet.pref.okayama.jp/licsxp-opac/WOpacMsgNewListToTifTilDetailAction.do?tilcod=2002222301001")</f>
        <v>https://opac.libnet.pref.okayama.jp/licsxp-opac/WOpacMsgNewListToTifTilDetailAction.do?tilcod=2002222301001</v>
      </c>
    </row>
    <row r="4373" spans="1:9" x14ac:dyDescent="0.4">
      <c r="A4373" t="str">
        <f>"平井コミュニティだより"</f>
        <v>平井コミュニティだより</v>
      </c>
      <c r="B4373" s="1" t="str">
        <f t="shared" si="224"/>
        <v>平井コミュニティだより</v>
      </c>
      <c r="C4373" t="str">
        <f>"ヒライ　コミュニティ　ダヨリ"</f>
        <v>ヒライ　コミュニティ　ダヨリ</v>
      </c>
      <c r="D4373" t="str">
        <f>"平井学区コミュニティ協議会"</f>
        <v>平井学区コミュニティ協議会</v>
      </c>
      <c r="E4373" t="str">
        <f>"ヒライガックコミュニティキョウギカイ"</f>
        <v>ヒライガックコミュニティキョウギカイ</v>
      </c>
      <c r="F4373" t="str">
        <f>""</f>
        <v/>
      </c>
      <c r="G4373" t="str">
        <f>"頻度不明"</f>
        <v>頻度不明</v>
      </c>
      <c r="H4373" t="str">
        <f>"2002222289493"</f>
        <v>2002222289493</v>
      </c>
      <c r="I4373" t="str">
        <f>HYPERLINK("#", "https://opac.libnet.pref.okayama.jp/licsxp-opac/WOpacMsgNewListToTifTilDetailAction.do?tilcod=2002222289493")</f>
        <v>https://opac.libnet.pref.okayama.jp/licsxp-opac/WOpacMsgNewListToTifTilDetailAction.do?tilcod=2002222289493</v>
      </c>
    </row>
    <row r="4374" spans="1:9" x14ac:dyDescent="0.4">
      <c r="A4374" t="str">
        <f>"[平田洋裁女学校]よそおい"</f>
        <v>[平田洋裁女学校]よそおい</v>
      </c>
      <c r="B4374" s="1" t="str">
        <f t="shared" si="224"/>
        <v>[平田洋裁女学校]よそおい</v>
      </c>
      <c r="C4374" t="str">
        <f>"ヒラタ ヨウサイ ジョガッコウ ヨソオイ"</f>
        <v>ヒラタ ヨウサイ ジョガッコウ ヨソオイ</v>
      </c>
      <c r="D4374" t="str">
        <f>"平田洋裁女学校編集部　"</f>
        <v>平田洋裁女学校編集部　</v>
      </c>
      <c r="E4374" t="str">
        <f>"ヒラタ ヨウサイ ジョガッコウ ヘンシュウブ"</f>
        <v>ヒラタ ヨウサイ ジョガッコウ ヘンシュウブ</v>
      </c>
      <c r="F4374" t="str">
        <f>"岡山"</f>
        <v>岡山</v>
      </c>
      <c r="G4374" t="str">
        <f>"頻度不明"</f>
        <v>頻度不明</v>
      </c>
      <c r="H4374" t="str">
        <f>"2002222336927"</f>
        <v>2002222336927</v>
      </c>
      <c r="I4374" t="str">
        <f>HYPERLINK("#", "https://opac.libnet.pref.okayama.jp/licsxp-opac/WOpacMsgNewListToTifTilDetailAction.do?tilcod=2002222336927")</f>
        <v>https://opac.libnet.pref.okayama.jp/licsxp-opac/WOpacMsgNewListToTifTilDetailAction.do?tilcod=2002222336927</v>
      </c>
    </row>
    <row r="4375" spans="1:9" x14ac:dyDescent="0.4">
      <c r="A4375" t="str">
        <f>"〔蒜山郷土博物館〕博物館だより"</f>
        <v>〔蒜山郷土博物館〕博物館だより</v>
      </c>
      <c r="B4375" s="1" t="str">
        <f t="shared" si="224"/>
        <v>〔蒜山郷土博物館〕博物館だより</v>
      </c>
      <c r="C4375" t="str">
        <f>"ヒルゼン　キョウド　ハクブツカン　ハクブツカン　ダヨリ"</f>
        <v>ヒルゼン　キョウド　ハクブツカン　ハクブツカン　ダヨリ</v>
      </c>
      <c r="D4375" t="str">
        <f>"蒜山郷土博物館"</f>
        <v>蒜山郷土博物館</v>
      </c>
      <c r="E4375" t="str">
        <f>"ヒルゼンキョウドハクブツカン"</f>
        <v>ヒルゼンキョウドハクブツカン</v>
      </c>
      <c r="F4375" t="str">
        <f>""</f>
        <v/>
      </c>
      <c r="G4375" t="str">
        <f>"頻度不明"</f>
        <v>頻度不明</v>
      </c>
      <c r="H4375" t="str">
        <f>"2002222289053"</f>
        <v>2002222289053</v>
      </c>
      <c r="I4375" t="str">
        <f>HYPERLINK("#", "https://opac.libnet.pref.okayama.jp/licsxp-opac/WOpacMsgNewListToTifTilDetailAction.do?tilcod=2002222289053")</f>
        <v>https://opac.libnet.pref.okayama.jp/licsxp-opac/WOpacMsgNewListToTifTilDetailAction.do?tilcod=2002222289053</v>
      </c>
    </row>
    <row r="4376" spans="1:9" x14ac:dyDescent="0.4">
      <c r="A4376" t="str">
        <f>"蒜山高等学校学校案内"</f>
        <v>蒜山高等学校学校案内</v>
      </c>
      <c r="B4376" s="1" t="str">
        <f t="shared" si="224"/>
        <v>蒜山高等学校学校案内</v>
      </c>
      <c r="C4376" t="str">
        <f>"ヒルゼン　コウトウ　ガッコウ　ガッコウ　アンナイ"</f>
        <v>ヒルゼン　コウトウ　ガッコウ　ガッコウ　アンナイ</v>
      </c>
      <c r="D4376" t="str">
        <f>"蒜山高等学校"</f>
        <v>蒜山高等学校</v>
      </c>
      <c r="E4376" t="str">
        <f>"ヒルゼンコウトウガッコウ"</f>
        <v>ヒルゼンコウトウガッコウ</v>
      </c>
      <c r="F4376" t="str">
        <f>"真庭"</f>
        <v>真庭</v>
      </c>
      <c r="G4376" t="str">
        <f>"年刊"</f>
        <v>年刊</v>
      </c>
      <c r="H4376" t="str">
        <f>"2002222301287"</f>
        <v>2002222301287</v>
      </c>
      <c r="I4376" t="str">
        <f>HYPERLINK("#", "https://opac.libnet.pref.okayama.jp/licsxp-opac/WOpacMsgNewListToTifTilDetailAction.do?tilcod=2002222301287")</f>
        <v>https://opac.libnet.pref.okayama.jp/licsxp-opac/WOpacMsgNewListToTifTilDetailAction.do?tilcod=2002222301287</v>
      </c>
    </row>
    <row r="4377" spans="1:9" x14ac:dyDescent="0.4">
      <c r="A4377" t="str">
        <f>"蒜山高等学校学校要覧"</f>
        <v>蒜山高等学校学校要覧</v>
      </c>
      <c r="B4377" s="1" t="str">
        <f t="shared" si="224"/>
        <v>蒜山高等学校学校要覧</v>
      </c>
      <c r="C4377" t="str">
        <f>"ヒルゼン　コウトウ　ガッコウ　ガッコウ　ヨウラン"</f>
        <v>ヒルゼン　コウトウ　ガッコウ　ガッコウ　ヨウラン</v>
      </c>
      <c r="D4377" t="str">
        <f>"蒜山高等学校"</f>
        <v>蒜山高等学校</v>
      </c>
      <c r="E4377" t="str">
        <f>"ヒルゼンコウトウガッコウ"</f>
        <v>ヒルゼンコウトウガッコウ</v>
      </c>
      <c r="F4377" t="str">
        <f>"八束村（真庭郡）"</f>
        <v>八束村（真庭郡）</v>
      </c>
      <c r="G4377" t="str">
        <f>"年刊"</f>
        <v>年刊</v>
      </c>
      <c r="H4377" t="str">
        <f>"2002222300545"</f>
        <v>2002222300545</v>
      </c>
      <c r="I4377" t="str">
        <f>HYPERLINK("#", "https://opac.libnet.pref.okayama.jp/licsxp-opac/WOpacMsgNewListToTifTilDetailAction.do?tilcod=2002222300545")</f>
        <v>https://opac.libnet.pref.okayama.jp/licsxp-opac/WOpacMsgNewListToTifTilDetailAction.do?tilcod=2002222300545</v>
      </c>
    </row>
    <row r="4378" spans="1:9" x14ac:dyDescent="0.4">
      <c r="A4378" t="str">
        <f>"〔蒜山高等学校〕学校誌ひるぜん"</f>
        <v>〔蒜山高等学校〕学校誌ひるぜん</v>
      </c>
      <c r="B4378" s="1" t="str">
        <f t="shared" si="224"/>
        <v>〔蒜山高等学校〕学校誌ひるぜん</v>
      </c>
      <c r="C4378" t="str">
        <f>"ヒルゼン　コウトウ　ガッコウ＊ガッコウ　シヒルゼン"</f>
        <v>ヒルゼン　コウトウ　ガッコウ＊ガッコウ　シヒルゼン</v>
      </c>
      <c r="D4378" t="str">
        <f>"蒜山高等学校"</f>
        <v>蒜山高等学校</v>
      </c>
      <c r="E4378" t="str">
        <f>"ヒルゼンコウトウガッコウ"</f>
        <v>ヒルゼンコウトウガッコウ</v>
      </c>
      <c r="F4378" t="str">
        <f>"八束村（真庭郡）"</f>
        <v>八束村（真庭郡）</v>
      </c>
      <c r="G4378" t="str">
        <f>"年刊"</f>
        <v>年刊</v>
      </c>
      <c r="H4378" t="str">
        <f>"2002222301462"</f>
        <v>2002222301462</v>
      </c>
      <c r="I4378" t="str">
        <f>HYPERLINK("#", "https://opac.libnet.pref.okayama.jp/licsxp-opac/WOpacMsgNewListToTifTilDetailAction.do?tilcod=2002222301462")</f>
        <v>https://opac.libnet.pref.okayama.jp/licsxp-opac/WOpacMsgNewListToTifTilDetailAction.do?tilcod=2002222301462</v>
      </c>
    </row>
    <row r="4379" spans="1:9" x14ac:dyDescent="0.4">
      <c r="A4379" t="str">
        <f>"〔蒜山高等学校〕蒜高タイムズ"</f>
        <v>〔蒜山高等学校〕蒜高タイムズ</v>
      </c>
      <c r="B4379" s="1" t="str">
        <f t="shared" si="224"/>
        <v>〔蒜山高等学校〕蒜高タイムズ</v>
      </c>
      <c r="C4379" t="str">
        <f>"ヒルゼンコウトウガッコウ＊ヒルコウタイムズ"</f>
        <v>ヒルゼンコウトウガッコウ＊ヒルコウタイムズ</v>
      </c>
      <c r="D4379" t="str">
        <f>"蒜山高等学校渉外係"</f>
        <v>蒜山高等学校渉外係</v>
      </c>
      <c r="E4379" t="str">
        <f>"ヒルゼンコウトウガッコウショウガイガカリ"</f>
        <v>ヒルゼンコウトウガッコウショウガイガカリ</v>
      </c>
      <c r="F4379" t="str">
        <f>"真庭"</f>
        <v>真庭</v>
      </c>
      <c r="G4379" t="str">
        <f>"月刊"</f>
        <v>月刊</v>
      </c>
      <c r="H4379" t="str">
        <f>"2002222301840"</f>
        <v>2002222301840</v>
      </c>
      <c r="I4379" t="str">
        <f>HYPERLINK("#", "https://opac.libnet.pref.okayama.jp/licsxp-opac/WOpacMsgNewListToTifTilDetailAction.do?tilcod=2002222301840")</f>
        <v>https://opac.libnet.pref.okayama.jp/licsxp-opac/WOpacMsgNewListToTifTilDetailAction.do?tilcod=2002222301840</v>
      </c>
    </row>
    <row r="4380" spans="1:9" x14ac:dyDescent="0.4">
      <c r="A4380" t="str">
        <f>"ひろがり；献血だより"</f>
        <v>ひろがり；献血だより</v>
      </c>
      <c r="B4380" s="1" t="str">
        <f t="shared" si="224"/>
        <v>ひろがり；献血だより</v>
      </c>
      <c r="C4380" t="str">
        <f>"ヒロガリ＊ケンケツ　ダヨリ"</f>
        <v>ヒロガリ＊ケンケツ　ダヨリ</v>
      </c>
      <c r="D4380" t="str">
        <f>"岡山県赤十字血液センター"</f>
        <v>岡山県赤十字血液センター</v>
      </c>
      <c r="E4380" t="str">
        <f>"オカヤマケン セキジュウジ ケツエキ センター"</f>
        <v>オカヤマケン セキジュウジ ケツエキ センター</v>
      </c>
      <c r="F4380" t="str">
        <f>"岡山"</f>
        <v>岡山</v>
      </c>
      <c r="G4380" t="str">
        <f>"頻度不明"</f>
        <v>頻度不明</v>
      </c>
      <c r="H4380" t="str">
        <f>"2002222302390"</f>
        <v>2002222302390</v>
      </c>
      <c r="I4380" t="str">
        <f>HYPERLINK("#", "https://opac.libnet.pref.okayama.jp/licsxp-opac/WOpacMsgNewListToTifTilDetailAction.do?tilcod=2002222302390")</f>
        <v>https://opac.libnet.pref.okayama.jp/licsxp-opac/WOpacMsgNewListToTifTilDetailAction.do?tilcod=2002222302390</v>
      </c>
    </row>
    <row r="4381" spans="1:9" x14ac:dyDescent="0.4">
      <c r="A4381" t="str">
        <f>"高原（ひろの）"</f>
        <v>高原（ひろの）</v>
      </c>
      <c r="B4381" s="1" t="str">
        <f t="shared" si="224"/>
        <v>高原（ひろの）</v>
      </c>
      <c r="C4381" t="str">
        <f>"ヒロノ"</f>
        <v>ヒロノ</v>
      </c>
      <c r="D4381" t="str">
        <f>"岡山県立日本高原高等学校"</f>
        <v>岡山県立日本高原高等学校</v>
      </c>
      <c r="E4381" t="str">
        <f>"オカヤマケンリツニホンコウゲンコウトウガッコウ"</f>
        <v>オカヤマケンリツニホンコウゲンコウトウガッコウ</v>
      </c>
      <c r="F4381" t="str">
        <f>""</f>
        <v/>
      </c>
      <c r="G4381" t="str">
        <f>"頻度不明"</f>
        <v>頻度不明</v>
      </c>
      <c r="H4381" t="str">
        <f>"2002222280004"</f>
        <v>2002222280004</v>
      </c>
      <c r="I4381" t="str">
        <f>HYPERLINK("#", "https://opac.libnet.pref.okayama.jp/licsxp-opac/WOpacMsgNewListToTifTilDetailAction.do?tilcod=2002222280004")</f>
        <v>https://opac.libnet.pref.okayama.jp/licsxp-opac/WOpacMsgNewListToTifTilDetailAction.do?tilcod=2002222280004</v>
      </c>
    </row>
    <row r="4382" spans="1:9" x14ac:dyDescent="0.4">
      <c r="A4382" t="str">
        <f>"ひろめ"</f>
        <v>ひろめ</v>
      </c>
      <c r="B4382" s="1" t="str">
        <f t="shared" si="224"/>
        <v>ひろめ</v>
      </c>
      <c r="C4382" t="str">
        <f>"ヒロメ"</f>
        <v>ヒロメ</v>
      </c>
      <c r="D4382" t="str">
        <f>"ひ路め発行部"</f>
        <v>ひ路め発行部</v>
      </c>
      <c r="E4382" t="str">
        <f>"ヒロメ ハッコウブ"</f>
        <v>ヒロメ ハッコウブ</v>
      </c>
      <c r="F4382" t="str">
        <f>"岡山"</f>
        <v>岡山</v>
      </c>
      <c r="G4382" t="str">
        <f>"月刊"</f>
        <v>月刊</v>
      </c>
      <c r="H4382" t="str">
        <f>"2002222337095"</f>
        <v>2002222337095</v>
      </c>
      <c r="I4382" t="str">
        <f>HYPERLINK("#", "https://opac.libnet.pref.okayama.jp/licsxp-opac/WOpacMsgNewListToTifTilDetailAction.do?tilcod=2002222337095")</f>
        <v>https://opac.libnet.pref.okayama.jp/licsxp-opac/WOpacMsgNewListToTifTilDetailAction.do?tilcod=2002222337095</v>
      </c>
    </row>
    <row r="4383" spans="1:9" x14ac:dyDescent="0.4">
      <c r="A4383" t="str">
        <f>"瓶"</f>
        <v>瓶</v>
      </c>
      <c r="B4383" s="1" t="str">
        <f t="shared" si="224"/>
        <v>瓶</v>
      </c>
      <c r="C4383" t="str">
        <f>"ビン"</f>
        <v>ビン</v>
      </c>
      <c r="D4383" t="str">
        <f>"瓶の会"</f>
        <v>瓶の会</v>
      </c>
      <c r="E4383" t="str">
        <f>"ビンノカイ"</f>
        <v>ビンノカイ</v>
      </c>
      <c r="F4383" t="str">
        <f>""</f>
        <v/>
      </c>
      <c r="G4383" t="str">
        <f>"頻度不明"</f>
        <v>頻度不明</v>
      </c>
      <c r="H4383" t="str">
        <f>"2002222280014"</f>
        <v>2002222280014</v>
      </c>
      <c r="I4383" t="str">
        <f>HYPERLINK("#", "https://opac.libnet.pref.okayama.jp/licsxp-opac/WOpacMsgNewListToTifTilDetailAction.do?tilcod=2002222280014")</f>
        <v>https://opac.libnet.pref.okayama.jp/licsxp-opac/WOpacMsgNewListToTifTilDetailAction.do?tilcod=2002222280014</v>
      </c>
    </row>
    <row r="4384" spans="1:9" x14ac:dyDescent="0.4">
      <c r="A4384" t="str">
        <f>"備後春秋"</f>
        <v>備後春秋</v>
      </c>
      <c r="B4384" s="1" t="str">
        <f t="shared" si="224"/>
        <v>備後春秋</v>
      </c>
      <c r="C4384" t="str">
        <f>"ビンゴ　シュンジュウ"</f>
        <v>ビンゴ　シュンジュウ</v>
      </c>
      <c r="D4384" t="str">
        <f>"備後春秋編集部"</f>
        <v>備後春秋編集部</v>
      </c>
      <c r="E4384" t="str">
        <f>"ビンゴシュンジュウヘンシュウブ"</f>
        <v>ビンゴシュンジュウヘンシュウブ</v>
      </c>
      <c r="F4384" t="str">
        <f>""</f>
        <v/>
      </c>
      <c r="G4384" t="str">
        <f>"頻度不明"</f>
        <v>頻度不明</v>
      </c>
      <c r="H4384" t="str">
        <f>"2002222280024"</f>
        <v>2002222280024</v>
      </c>
      <c r="I4384" t="str">
        <f>HYPERLINK("#", "https://opac.libnet.pref.okayama.jp/licsxp-opac/WOpacMsgNewListToTifTilDetailAction.do?tilcod=2002222280024")</f>
        <v>https://opac.libnet.pref.okayama.jp/licsxp-opac/WOpacMsgNewListToTifTilDetailAction.do?tilcod=2002222280024</v>
      </c>
    </row>
    <row r="4385" spans="1:9" x14ac:dyDescent="0.4">
      <c r="A4385" t="str">
        <f>"備後での家づくり"</f>
        <v>備後での家づくり</v>
      </c>
      <c r="B4385" s="1" t="str">
        <f t="shared" si="224"/>
        <v>備後での家づくり</v>
      </c>
      <c r="C4385" t="str">
        <f>"ビンゴ　デノ　イエ　ヅクリ"</f>
        <v>ビンゴ　デノ　イエ　ヅクリ</v>
      </c>
      <c r="D4385" t="str">
        <f>"ＫＧ情報"</f>
        <v>ＫＧ情報</v>
      </c>
      <c r="E4385" t="str">
        <f>"ケージージョウホウ"</f>
        <v>ケージージョウホウ</v>
      </c>
      <c r="F4385" t="str">
        <f>"福山"</f>
        <v>福山</v>
      </c>
      <c r="G4385" t="str">
        <f>"頻度不明"</f>
        <v>頻度不明</v>
      </c>
      <c r="H4385" t="str">
        <f>"2002222328906"</f>
        <v>2002222328906</v>
      </c>
      <c r="I4385" t="str">
        <f>HYPERLINK("#", "https://opac.libnet.pref.okayama.jp/licsxp-opac/WOpacMsgNewListToTifTilDetailAction.do?tilcod=2002222328906")</f>
        <v>https://opac.libnet.pref.okayama.jp/licsxp-opac/WOpacMsgNewListToTifTilDetailAction.do?tilcod=2002222328906</v>
      </c>
    </row>
    <row r="4386" spans="1:9" x14ac:dyDescent="0.4">
      <c r="A4386" t="str">
        <f>"備後美術"</f>
        <v>備後美術</v>
      </c>
      <c r="B4386" s="1" t="str">
        <f t="shared" si="224"/>
        <v>備後美術</v>
      </c>
      <c r="C4386" t="str">
        <f>"ビンゴ　ビジュツ"</f>
        <v>ビンゴ　ビジュツ</v>
      </c>
      <c r="D4386" t="str">
        <f>"アート印刷"</f>
        <v>アート印刷</v>
      </c>
      <c r="E4386" t="str">
        <f>"アートインサツ"</f>
        <v>アートインサツ</v>
      </c>
      <c r="F4386" t="str">
        <f>"福山"</f>
        <v>福山</v>
      </c>
      <c r="G4386" t="str">
        <f>"不定期刊"</f>
        <v>不定期刊</v>
      </c>
      <c r="H4386" t="str">
        <f>"2002222300349"</f>
        <v>2002222300349</v>
      </c>
      <c r="I4386" t="str">
        <f>HYPERLINK("#", "https://opac.libnet.pref.okayama.jp/licsxp-opac/WOpacMsgNewListToTifTilDetailAction.do?tilcod=2002222300349")</f>
        <v>https://opac.libnet.pref.okayama.jp/licsxp-opac/WOpacMsgNewListToTifTilDetailAction.do?tilcod=2002222300349</v>
      </c>
    </row>
    <row r="4387" spans="1:9" x14ac:dyDescent="0.4">
      <c r="A4387" t="str">
        <f>"ファースト・ブレーン"</f>
        <v>ファースト・ブレーン</v>
      </c>
      <c r="B4387" s="1" t="str">
        <f t="shared" si="224"/>
        <v>ファースト・ブレーン</v>
      </c>
      <c r="C4387" t="str">
        <f>"ファースト　ブレーン"</f>
        <v>ファースト　ブレーン</v>
      </c>
      <c r="D4387" t="str">
        <f>"ファースト・ブレーン"</f>
        <v>ファースト・ブレーン</v>
      </c>
      <c r="E4387" t="str">
        <f>"ファーストブレーン"</f>
        <v>ファーストブレーン</v>
      </c>
      <c r="F4387" t="str">
        <f>""</f>
        <v/>
      </c>
      <c r="G4387" t="str">
        <f>"頻度不明"</f>
        <v>頻度不明</v>
      </c>
      <c r="H4387" t="str">
        <f>"2002222280034"</f>
        <v>2002222280034</v>
      </c>
      <c r="I4387" t="str">
        <f>HYPERLINK("#", "https://opac.libnet.pref.okayama.jp/licsxp-opac/WOpacMsgNewListToTifTilDetailAction.do?tilcod=2002222280034")</f>
        <v>https://opac.libnet.pref.okayama.jp/licsxp-opac/WOpacMsgNewListToTifTilDetailAction.do?tilcod=2002222280034</v>
      </c>
    </row>
    <row r="4388" spans="1:9" x14ac:dyDescent="0.4">
      <c r="A4388" t="str">
        <f>"FIRE119"</f>
        <v>FIRE119</v>
      </c>
      <c r="B4388" s="1" t="str">
        <f t="shared" si="224"/>
        <v>FIRE119</v>
      </c>
      <c r="C4388" t="str">
        <f>"ファイヤー イチイチキュウ"</f>
        <v>ファイヤー イチイチキュウ</v>
      </c>
      <c r="D4388" t="str">
        <f>"津山圏域消防組合"</f>
        <v>津山圏域消防組合</v>
      </c>
      <c r="E4388" t="str">
        <f>"ツヤマケンイキ ショウボウ クミアイ"</f>
        <v>ツヤマケンイキ ショウボウ クミアイ</v>
      </c>
      <c r="F4388" t="str">
        <f>"津山"</f>
        <v>津山</v>
      </c>
      <c r="G4388" t="str">
        <f>"年刊"</f>
        <v>年刊</v>
      </c>
      <c r="H4388" t="str">
        <f>"2002222335206"</f>
        <v>2002222335206</v>
      </c>
      <c r="I4388" t="str">
        <f>HYPERLINK("#", "https://opac.libnet.pref.okayama.jp/licsxp-opac/WOpacMsgNewListToTifTilDetailAction.do?tilcod=2002222335206")</f>
        <v>https://opac.libnet.pref.okayama.jp/licsxp-opac/WOpacMsgNewListToTifTilDetailAction.do?tilcod=2002222335206</v>
      </c>
    </row>
    <row r="4389" spans="1:9" x14ac:dyDescent="0.4">
      <c r="A4389" t="str">
        <f>"ふぁみりんく"</f>
        <v>ふぁみりんく</v>
      </c>
      <c r="B4389" s="1" t="str">
        <f t="shared" si="224"/>
        <v>ふぁみりんく</v>
      </c>
      <c r="C4389" t="str">
        <f>"ファミリンク"</f>
        <v>ファミリンク</v>
      </c>
      <c r="D4389" t="str">
        <f>"赤磐子どもNPOセンター"</f>
        <v>赤磐子どもNPOセンター</v>
      </c>
      <c r="E4389" t="str">
        <f>"アカイワ コドモ エヌピーオー センター"</f>
        <v>アカイワ コドモ エヌピーオー センター</v>
      </c>
      <c r="F4389" t="str">
        <f>"赤磐市"</f>
        <v>赤磐市</v>
      </c>
      <c r="G4389" t="str">
        <f>"隔月刊"</f>
        <v>隔月刊</v>
      </c>
      <c r="H4389" t="str">
        <f>"2002222302153"</f>
        <v>2002222302153</v>
      </c>
      <c r="I4389" t="str">
        <f>HYPERLINK("#", "https://opac.libnet.pref.okayama.jp/licsxp-opac/WOpacMsgNewListToTifTilDetailAction.do?tilcod=2002222302153")</f>
        <v>https://opac.libnet.pref.okayama.jp/licsxp-opac/WOpacMsgNewListToTifTilDetailAction.do?tilcod=2002222302153</v>
      </c>
    </row>
    <row r="4390" spans="1:9" x14ac:dyDescent="0.4">
      <c r="A4390" t="str">
        <f>"ＦｕｎＦｕｎ（ファンファン）"</f>
        <v>ＦｕｎＦｕｎ（ファンファン）</v>
      </c>
      <c r="B4390" s="1" t="str">
        <f t="shared" si="224"/>
        <v>ＦｕｎＦｕｎ（ファンファン）</v>
      </c>
      <c r="C4390" t="str">
        <f>"ファン　ファン"</f>
        <v>ファン　ファン</v>
      </c>
      <c r="D4390" t="str">
        <f>"メディアスタイル"</f>
        <v>メディアスタイル</v>
      </c>
      <c r="E4390" t="str">
        <f>"メディア　スタイル"</f>
        <v>メディア　スタイル</v>
      </c>
      <c r="F4390" t="str">
        <f>"岡山"</f>
        <v>岡山</v>
      </c>
      <c r="G4390" t="str">
        <f>"月刊"</f>
        <v>月刊</v>
      </c>
      <c r="H4390" t="str">
        <f>"2002222302278"</f>
        <v>2002222302278</v>
      </c>
      <c r="I4390" t="str">
        <f>HYPERLINK("#", "https://opac.libnet.pref.okayama.jp/licsxp-opac/WOpacMsgNewListToTifTilDetailAction.do?tilcod=2002222302278")</f>
        <v>https://opac.libnet.pref.okayama.jp/licsxp-opac/WOpacMsgNewListToTifTilDetailAction.do?tilcod=2002222302278</v>
      </c>
    </row>
    <row r="4391" spans="1:9" x14ac:dyDescent="0.4">
      <c r="A4391" t="str">
        <f>"Ｆｕｎｄａ　Ｃｌｕｂ　Ｏｋａｙａｍａ（ファンダクラブ岡山）；岡山のお母さんが創る、岡山のお母さんのための子育て応援マガジン"</f>
        <v>Ｆｕｎｄａ　Ｃｌｕｂ　Ｏｋａｙａｍａ（ファンダクラブ岡山）；岡山のお母さんが創る、岡山のお母さんのための子育て応援マガジン</v>
      </c>
      <c r="B4391" s="1" t="str">
        <f t="shared" si="224"/>
        <v>Ｆｕｎｄａ　Ｃｌｕｂ　Ｏｋａｙａｍａ（ファンダクラブ岡山）；岡山のお母さんが創る、岡山のお母さんのための子育て応援マガジン</v>
      </c>
      <c r="C4391" t="str">
        <f>"ファンダ　クラブ　オカヤマ＊オカヤマ　ノ　オカアサン　ガ　ツクル　オカヤマ　ノ　オカアサン　ノ　タメ　ノ　コソダテ　オウエン　マガジン"</f>
        <v>ファンダ　クラブ　オカヤマ＊オカヤマ　ノ　オカアサン　ガ　ツクル　オカヤマ　ノ　オカアサン　ノ　タメ　ノ　コソダテ　オウエン　マガジン</v>
      </c>
      <c r="D4391" t="str">
        <f>"ＦｕｎｄａＣｌｕｂ岡山編集室"</f>
        <v>ＦｕｎｄａＣｌｕｂ岡山編集室</v>
      </c>
      <c r="E4391" t="str">
        <f>"ファンダクラブオカヤマヘンシュウシツ"</f>
        <v>ファンダクラブオカヤマヘンシュウシツ</v>
      </c>
      <c r="F4391" t="str">
        <f>"岡山"</f>
        <v>岡山</v>
      </c>
      <c r="G4391" t="str">
        <f>"隔月刊"</f>
        <v>隔月刊</v>
      </c>
      <c r="H4391" t="str">
        <f>"2002222285541"</f>
        <v>2002222285541</v>
      </c>
      <c r="I4391" t="str">
        <f>HYPERLINK("#", "https://opac.libnet.pref.okayama.jp/licsxp-opac/WOpacMsgNewListToTifTilDetailAction.do?tilcod=2002222285541")</f>
        <v>https://opac.libnet.pref.okayama.jp/licsxp-opac/WOpacMsgNewListToTifTilDetailAction.do?tilcod=2002222285541</v>
      </c>
    </row>
    <row r="4392" spans="1:9" x14ac:dyDescent="0.4">
      <c r="A4392" t="str">
        <f>"Funda club;岡山の子育てファミリー&amp;ママのライフスタイル応援!"</f>
        <v>Funda club;岡山の子育てファミリー&amp;ママのライフスタイル応援!</v>
      </c>
      <c r="B4392" s="1" t="str">
        <f t="shared" si="224"/>
        <v>Funda club;岡山の子育てファミリー&amp;ママのライフスタイル応援!</v>
      </c>
      <c r="C4392" t="str">
        <f>"ファンダ クラブ＊オカヤマ ノ コソダテ ファミリー ママ ノ ライフスタイル オウエン"</f>
        <v>ファンダ クラブ＊オカヤマ ノ コソダテ ファミリー ママ ノ ライフスタイル オウエン</v>
      </c>
      <c r="D4392" t="str">
        <f>"ファンダクラブ編集室"</f>
        <v>ファンダクラブ編集室</v>
      </c>
      <c r="E4392" t="str">
        <f>"ファンダクラブヘンシュウシツ"</f>
        <v>ファンダクラブヘンシュウシツ</v>
      </c>
      <c r="F4392" t="str">
        <f>"岡山"</f>
        <v>岡山</v>
      </c>
      <c r="G4392" t="str">
        <f>"季刊"</f>
        <v>季刊</v>
      </c>
      <c r="H4392" t="str">
        <f>"2002222301477"</f>
        <v>2002222301477</v>
      </c>
      <c r="I4392" t="str">
        <f>HYPERLINK("#", "https://opac.libnet.pref.okayama.jp/licsxp-opac/WOpacMsgNewListToTifTilDetailAction.do?tilcod=2002222301477")</f>
        <v>https://opac.libnet.pref.okayama.jp/licsxp-opac/WOpacMsgNewListToTifTilDetailAction.do?tilcod=2002222301477</v>
      </c>
    </row>
    <row r="4393" spans="1:9" x14ac:dyDescent="0.4">
      <c r="A4393" t="str">
        <f>"ＦｕｎＦＡＮＦｕｎ岡山版（ファンファンファン岡山版）"</f>
        <v>ＦｕｎＦＡＮＦｕｎ岡山版（ファンファンファン岡山版）</v>
      </c>
      <c r="B4393" s="1" t="str">
        <f t="shared" si="224"/>
        <v>ＦｕｎＦＡＮＦｕｎ岡山版（ファンファンファン岡山版）</v>
      </c>
      <c r="C4393" t="str">
        <f>"ファンファンファン　オカヤマバン"</f>
        <v>ファンファンファン　オカヤマバン</v>
      </c>
      <c r="D4393" t="str">
        <f>"ＦｕｎＦＡＮＦｕｎ岡山版編集室"</f>
        <v>ＦｕｎＦＡＮＦｕｎ岡山版編集室</v>
      </c>
      <c r="E4393" t="str">
        <f>"ファンファンファンオカヤマバンヘンシュウシツ"</f>
        <v>ファンファンファンオカヤマバンヘンシュウシツ</v>
      </c>
      <c r="F4393" t="str">
        <f>"岡山"</f>
        <v>岡山</v>
      </c>
      <c r="G4393" t="str">
        <f>"隔月刊"</f>
        <v>隔月刊</v>
      </c>
      <c r="H4393" t="str">
        <f>"2002222285441"</f>
        <v>2002222285441</v>
      </c>
      <c r="I4393" t="str">
        <f>HYPERLINK("#", "https://opac.libnet.pref.okayama.jp/licsxp-opac/WOpacMsgNewListToTifTilDetailAction.do?tilcod=2002222285441")</f>
        <v>https://opac.libnet.pref.okayama.jp/licsxp-opac/WOpacMsgNewListToTifTilDetailAction.do?tilcod=2002222285441</v>
      </c>
    </row>
    <row r="4394" spans="1:9" x14ac:dyDescent="0.4">
      <c r="A4394" t="str">
        <f>"ＦｉＴｓ（フィッツ）"</f>
        <v>ＦｉＴｓ（フィッツ）</v>
      </c>
      <c r="B4394" s="1" t="str">
        <f t="shared" si="224"/>
        <v>ＦｉＴｓ（フィッツ）</v>
      </c>
      <c r="C4394" t="str">
        <f>"フィッツ"</f>
        <v>フィッツ</v>
      </c>
      <c r="D4394" t="str">
        <f>"ＫＧ情報"</f>
        <v>ＫＧ情報</v>
      </c>
      <c r="E4394" t="str">
        <f>"ケージージョウホウ"</f>
        <v>ケージージョウホウ</v>
      </c>
      <c r="F4394" t="str">
        <f>"岡山"</f>
        <v>岡山</v>
      </c>
      <c r="G4394" t="str">
        <f>"隔月刊"</f>
        <v>隔月刊</v>
      </c>
      <c r="H4394" t="str">
        <f>"2002222302210"</f>
        <v>2002222302210</v>
      </c>
      <c r="I4394" t="str">
        <f>HYPERLINK("#", "https://opac.libnet.pref.okayama.jp/licsxp-opac/WOpacMsgNewListToTifTilDetailAction.do?tilcod=2002222302210")</f>
        <v>https://opac.libnet.pref.okayama.jp/licsxp-opac/WOpacMsgNewListToTifTilDetailAction.do?tilcod=2002222302210</v>
      </c>
    </row>
    <row r="4395" spans="1:9" x14ac:dyDescent="0.4">
      <c r="A4395" t="str">
        <f>"プー横丁"</f>
        <v>プー横丁</v>
      </c>
      <c r="B4395" s="1" t="str">
        <f t="shared" si="224"/>
        <v>プー横丁</v>
      </c>
      <c r="C4395" t="str">
        <f>"プー　ヨコチョウ"</f>
        <v>プー　ヨコチョウ</v>
      </c>
      <c r="D4395" t="str">
        <f>"児童文学を楽しむ会"</f>
        <v>児童文学を楽しむ会</v>
      </c>
      <c r="E4395" t="str">
        <f>"ジドウブンガクオタノシムカイ"</f>
        <v>ジドウブンガクオタノシムカイ</v>
      </c>
      <c r="F4395" t="str">
        <f>"倉敷"</f>
        <v>倉敷</v>
      </c>
      <c r="G4395" t="str">
        <f>"頻度不明"</f>
        <v>頻度不明</v>
      </c>
      <c r="H4395" t="str">
        <f>"2002222282191"</f>
        <v>2002222282191</v>
      </c>
      <c r="I4395" t="str">
        <f>HYPERLINK("#", "https://opac.libnet.pref.okayama.jp/licsxp-opac/WOpacMsgNewListToTifTilDetailAction.do?tilcod=2002222282191")</f>
        <v>https://opac.libnet.pref.okayama.jp/licsxp-opac/WOpacMsgNewListToTifTilDetailAction.do?tilcod=2002222282191</v>
      </c>
    </row>
    <row r="4396" spans="1:9" x14ac:dyDescent="0.4">
      <c r="A4396" t="str">
        <f>"風交新誌(複製)"</f>
        <v>風交新誌(複製)</v>
      </c>
      <c r="B4396" s="1" t="str">
        <f t="shared" si="224"/>
        <v>風交新誌(複製)</v>
      </c>
      <c r="C4396" t="str">
        <f>"フウコウ　シンシ"</f>
        <v>フウコウ　シンシ</v>
      </c>
      <c r="D4396" t="str">
        <f>"風交吟会本部"</f>
        <v>風交吟会本部</v>
      </c>
      <c r="E4396" t="str">
        <f>"フウコウギンカイホンブ"</f>
        <v>フウコウギンカイホンブ</v>
      </c>
      <c r="F4396" t="str">
        <f>""</f>
        <v/>
      </c>
      <c r="G4396" t="str">
        <f>"頻度不明"</f>
        <v>頻度不明</v>
      </c>
      <c r="H4396" t="str">
        <f>"2002222280044"</f>
        <v>2002222280044</v>
      </c>
      <c r="I4396" t="str">
        <f>HYPERLINK("#", "https://opac.libnet.pref.okayama.jp/licsxp-opac/WOpacMsgNewListToTifTilDetailAction.do?tilcod=2002222280044")</f>
        <v>https://opac.libnet.pref.okayama.jp/licsxp-opac/WOpacMsgNewListToTifTilDetailAction.do?tilcod=2002222280044</v>
      </c>
    </row>
    <row r="4397" spans="1:9" x14ac:dyDescent="0.4">
      <c r="A4397" t="str">
        <f>"Who'S Who Monthly(月刊 フゥズ・フゥ・マンスリー)"</f>
        <v>Who'S Who Monthly(月刊 フゥズ・フゥ・マンスリー)</v>
      </c>
      <c r="B4397" s="1" t="str">
        <f t="shared" si="224"/>
        <v>Who'S Who Monthly(月刊 フゥズ・フゥ・マンスリー)</v>
      </c>
      <c r="C4397" t="str">
        <f>"フーズ フー マンスリー ゲッカン フゥズ フゥ マンスリー"</f>
        <v>フーズ フー マンスリー ゲッカン フゥズ フゥ マンスリー</v>
      </c>
      <c r="D4397" t="str">
        <f>"リサーチ協同・アイピー協会・事務局"</f>
        <v>リサーチ協同・アイピー協会・事務局</v>
      </c>
      <c r="E4397" t="str">
        <f>"リサーチキョウドウアイピーキョウカイジムキョク"</f>
        <v>リサーチキョウドウアイピーキョウカイジムキョク</v>
      </c>
      <c r="F4397" t="str">
        <f>"岡山"</f>
        <v>岡山</v>
      </c>
      <c r="G4397" t="str">
        <f>"月刊"</f>
        <v>月刊</v>
      </c>
      <c r="H4397" t="str">
        <f>"2002222280811"</f>
        <v>2002222280811</v>
      </c>
      <c r="I4397" t="str">
        <f>HYPERLINK("#", "https://opac.libnet.pref.okayama.jp/licsxp-opac/WOpacMsgNewListToTifTilDetailAction.do?tilcod=2002222280811")</f>
        <v>https://opac.libnet.pref.okayama.jp/licsxp-opac/WOpacMsgNewListToTifTilDetailAction.do?tilcod=2002222280811</v>
      </c>
    </row>
    <row r="4398" spans="1:9" x14ac:dyDescent="0.4">
      <c r="A4398" t="str">
        <f>"風土"</f>
        <v>風土</v>
      </c>
      <c r="B4398" s="1" t="str">
        <f t="shared" si="224"/>
        <v>風土</v>
      </c>
      <c r="C4398" t="str">
        <f>"フウド"</f>
        <v>フウド</v>
      </c>
      <c r="D4398" t="str">
        <f>"風土社"</f>
        <v>風土社</v>
      </c>
      <c r="E4398" t="str">
        <f>"フウドシャ"</f>
        <v>フウドシャ</v>
      </c>
      <c r="F4398" t="str">
        <f>""</f>
        <v/>
      </c>
      <c r="G4398" t="str">
        <f>"頻度不明"</f>
        <v>頻度不明</v>
      </c>
      <c r="H4398" t="str">
        <f>"2002222280054"</f>
        <v>2002222280054</v>
      </c>
      <c r="I4398" t="str">
        <f>HYPERLINK("#", "https://opac.libnet.pref.okayama.jp/licsxp-opac/WOpacMsgNewListToTifTilDetailAction.do?tilcod=2002222280054")</f>
        <v>https://opac.libnet.pref.okayama.jp/licsxp-opac/WOpacMsgNewListToTifTilDetailAction.do?tilcod=2002222280054</v>
      </c>
    </row>
    <row r="4399" spans="1:9" x14ac:dyDescent="0.4">
      <c r="A4399" t="str">
        <f>"風紋"</f>
        <v>風紋</v>
      </c>
      <c r="B4399" s="1" t="str">
        <f t="shared" si="224"/>
        <v>風紋</v>
      </c>
      <c r="C4399" t="str">
        <f>"フウモン"</f>
        <v>フウモン</v>
      </c>
      <c r="D4399" t="str">
        <f>"風紋俳句会"</f>
        <v>風紋俳句会</v>
      </c>
      <c r="E4399" t="str">
        <f>"フウモンハイクカイ"</f>
        <v>フウモンハイクカイ</v>
      </c>
      <c r="F4399" t="str">
        <f>""</f>
        <v/>
      </c>
      <c r="G4399" t="str">
        <f>"頻度不明"</f>
        <v>頻度不明</v>
      </c>
      <c r="H4399" t="str">
        <f>"2002222280064"</f>
        <v>2002222280064</v>
      </c>
      <c r="I4399" t="str">
        <f>HYPERLINK("#", "https://opac.libnet.pref.okayama.jp/licsxp-opac/WOpacMsgNewListToTifTilDetailAction.do?tilcod=2002222280064")</f>
        <v>https://opac.libnet.pref.okayama.jp/licsxp-opac/WOpacMsgNewListToTifTilDetailAction.do?tilcod=2002222280064</v>
      </c>
    </row>
    <row r="4400" spans="1:9" x14ac:dyDescent="0.4">
      <c r="A4400" t="str">
        <f>"風紋"</f>
        <v>風紋</v>
      </c>
      <c r="B4400" s="1" t="str">
        <f t="shared" si="224"/>
        <v>風紋</v>
      </c>
      <c r="C4400" t="str">
        <f>"フウモン"</f>
        <v>フウモン</v>
      </c>
      <c r="D4400" t="str">
        <f>"倉敷婦人文学の集い"</f>
        <v>倉敷婦人文学の集い</v>
      </c>
      <c r="E4400" t="str">
        <f>"クラシキ フジン ブンガク ノ ツドイ"</f>
        <v>クラシキ フジン ブンガク ノ ツドイ</v>
      </c>
      <c r="F4400" t="str">
        <f>""</f>
        <v/>
      </c>
      <c r="G4400" t="str">
        <f>"頻度不明"</f>
        <v>頻度不明</v>
      </c>
      <c r="H4400" t="str">
        <f>"2002222280074"</f>
        <v>2002222280074</v>
      </c>
      <c r="I4400" t="str">
        <f>HYPERLINK("#", "https://opac.libnet.pref.okayama.jp/licsxp-opac/WOpacMsgNewListToTifTilDetailAction.do?tilcod=2002222280074")</f>
        <v>https://opac.libnet.pref.okayama.jp/licsxp-opac/WOpacMsgNewListToTifTilDetailAction.do?tilcod=2002222280074</v>
      </c>
    </row>
    <row r="4401" spans="1:9" x14ac:dyDescent="0.4">
      <c r="A4401" t="str">
        <f>"フェアレーンニュース"</f>
        <v>フェアレーンニュース</v>
      </c>
      <c r="B4401" s="1" t="str">
        <f t="shared" si="224"/>
        <v>フェアレーンニュース</v>
      </c>
      <c r="C4401" t="str">
        <f>"フェアレーン　ニュース"</f>
        <v>フェアレーン　ニュース</v>
      </c>
      <c r="D4401" t="str">
        <f>"岡山フェアレーン"</f>
        <v>岡山フェアレーン</v>
      </c>
      <c r="E4401" t="str">
        <f>"オカヤマフェアレーン"</f>
        <v>オカヤマフェアレーン</v>
      </c>
      <c r="F4401" t="str">
        <f>"岡山"</f>
        <v>岡山</v>
      </c>
      <c r="G4401" t="str">
        <f>"不定期刊"</f>
        <v>不定期刊</v>
      </c>
      <c r="H4401" t="str">
        <f>"2002222282853"</f>
        <v>2002222282853</v>
      </c>
      <c r="I4401" t="str">
        <f>HYPERLINK("#", "https://opac.libnet.pref.okayama.jp/licsxp-opac/WOpacMsgNewListToTifTilDetailAction.do?tilcod=2002222282853")</f>
        <v>https://opac.libnet.pref.okayama.jp/licsxp-opac/WOpacMsgNewListToTifTilDetailAction.do?tilcod=2002222282853</v>
      </c>
    </row>
    <row r="4402" spans="1:9" x14ac:dyDescent="0.4">
      <c r="A4402" t="str">
        <f>"不易"</f>
        <v>不易</v>
      </c>
      <c r="B4402" s="1" t="str">
        <f t="shared" si="224"/>
        <v>不易</v>
      </c>
      <c r="C4402" t="str">
        <f>"フエキ"</f>
        <v>フエキ</v>
      </c>
      <c r="D4402" t="str">
        <f>"福武教育文化振興財団"</f>
        <v>福武教育文化振興財団</v>
      </c>
      <c r="E4402" t="str">
        <f>"フクタケ キョウイク ブンカ シンコウ ザイダン"</f>
        <v>フクタケ キョウイク ブンカ シンコウ ザイダン</v>
      </c>
      <c r="F4402" t="str">
        <f>"岡山"</f>
        <v>岡山</v>
      </c>
      <c r="G4402" t="str">
        <f>"年３回刊"</f>
        <v>年３回刊</v>
      </c>
      <c r="H4402" t="str">
        <f>"2002222283021"</f>
        <v>2002222283021</v>
      </c>
      <c r="I4402" t="str">
        <f>HYPERLINK("#", "https://opac.libnet.pref.okayama.jp/licsxp-opac/WOpacMsgNewListToTifTilDetailAction.do?tilcod=2002222283021")</f>
        <v>https://opac.libnet.pref.okayama.jp/licsxp-opac/WOpacMsgNewListToTifTilDetailAction.do?tilcod=2002222283021</v>
      </c>
    </row>
    <row r="4403" spans="1:9" x14ac:dyDescent="0.4">
      <c r="A4403" t="str">
        <f>"フェラート"</f>
        <v>フェラート</v>
      </c>
      <c r="B4403" s="1" t="str">
        <f t="shared" si="224"/>
        <v>フェラート</v>
      </c>
      <c r="C4403" t="str">
        <f>"フェラート"</f>
        <v>フェラート</v>
      </c>
      <c r="D4403" t="str">
        <f>"岡山大学文芸部"</f>
        <v>岡山大学文芸部</v>
      </c>
      <c r="E4403" t="str">
        <f>"オカヤマダイガクブンゲイブ"</f>
        <v>オカヤマダイガクブンゲイブ</v>
      </c>
      <c r="F4403" t="str">
        <f>""</f>
        <v/>
      </c>
      <c r="G4403" t="str">
        <f>"頻度不明"</f>
        <v>頻度不明</v>
      </c>
      <c r="H4403" t="str">
        <f>"2002222282893"</f>
        <v>2002222282893</v>
      </c>
      <c r="I4403" t="str">
        <f>HYPERLINK("#", "https://opac.libnet.pref.okayama.jp/licsxp-opac/WOpacMsgNewListToTifTilDetailAction.do?tilcod=2002222282893")</f>
        <v>https://opac.libnet.pref.okayama.jp/licsxp-opac/WOpacMsgNewListToTifTilDetailAction.do?tilcod=2002222282893</v>
      </c>
    </row>
    <row r="4404" spans="1:9" x14ac:dyDescent="0.4">
      <c r="A4404" t="str">
        <f>"FOR BOOK LOVERS"</f>
        <v>FOR BOOK LOVERS</v>
      </c>
      <c r="B4404" s="1" t="str">
        <f t="shared" si="224"/>
        <v>FOR BOOK LOVERS</v>
      </c>
      <c r="C4404" t="str">
        <f>"フォー ブック ラバーズ"</f>
        <v>フォー ブック ラバーズ</v>
      </c>
      <c r="D4404" t="str">
        <f>"451BOOKS"</f>
        <v>451BOOKS</v>
      </c>
      <c r="E4404" t="str">
        <f>"ヨンゴーイチ ブックス"</f>
        <v>ヨンゴーイチ ブックス</v>
      </c>
      <c r="F4404" t="str">
        <f>"玉野"</f>
        <v>玉野</v>
      </c>
      <c r="G4404" t="str">
        <f>"不定期刊"</f>
        <v>不定期刊</v>
      </c>
      <c r="H4404" t="str">
        <f>"2002222339810"</f>
        <v>2002222339810</v>
      </c>
      <c r="I4404" t="str">
        <f>HYPERLINK("#", "https://opac.libnet.pref.okayama.jp/licsxp-opac/WOpacMsgNewListToTifTilDetailAction.do?tilcod=2002222339810")</f>
        <v>https://opac.libnet.pref.okayama.jp/licsxp-opac/WOpacMsgNewListToTifTilDetailAction.do?tilcod=2002222339810</v>
      </c>
    </row>
    <row r="4405" spans="1:9" x14ac:dyDescent="0.4">
      <c r="A4405" t="str">
        <f>"Fortune"</f>
        <v>Fortune</v>
      </c>
      <c r="B4405" s="1" t="str">
        <f t="shared" si="224"/>
        <v>Fortune</v>
      </c>
      <c r="C4405" t="str">
        <f>"フォーチュン"</f>
        <v>フォーチュン</v>
      </c>
      <c r="D4405" t="str">
        <f>"朝日塾中等教育学校PTA"</f>
        <v>朝日塾中等教育学校PTA</v>
      </c>
      <c r="E4405" t="str">
        <f>"アサヒジュク チュウトウ キョウイク ガッコウ ピーティーエー"</f>
        <v>アサヒジュク チュウトウ キョウイク ガッコウ ピーティーエー</v>
      </c>
      <c r="F4405" t="str">
        <f>"岡山"</f>
        <v>岡山</v>
      </c>
      <c r="G4405" t="str">
        <f>"年刊"</f>
        <v>年刊</v>
      </c>
      <c r="H4405" t="str">
        <f>"2002222335967"</f>
        <v>2002222335967</v>
      </c>
      <c r="I4405" t="str">
        <f>HYPERLINK("#", "https://opac.libnet.pref.okayama.jp/licsxp-opac/WOpacMsgNewListToTifTilDetailAction.do?tilcod=2002222335967")</f>
        <v>https://opac.libnet.pref.okayama.jp/licsxp-opac/WOpacMsgNewListToTifTilDetailAction.do?tilcod=2002222335967</v>
      </c>
    </row>
    <row r="4406" spans="1:9" x14ac:dyDescent="0.4">
      <c r="A4406" t="str">
        <f>"普及おかやま"</f>
        <v>普及おかやま</v>
      </c>
      <c r="B4406" s="1" t="str">
        <f t="shared" si="224"/>
        <v>普及おかやま</v>
      </c>
      <c r="C4406" t="str">
        <f>"フキュウ　オカヤマ"</f>
        <v>フキュウ　オカヤマ</v>
      </c>
      <c r="D4406" t="str">
        <f>"岡山農業改良普及所"</f>
        <v>岡山農業改良普及所</v>
      </c>
      <c r="E4406" t="str">
        <f>"オカヤマ ノウギョウ カイリョウ フキュウジョ"</f>
        <v>オカヤマ ノウギョウ カイリョウ フキュウジョ</v>
      </c>
      <c r="F4406" t="str">
        <f>""</f>
        <v/>
      </c>
      <c r="G4406" t="str">
        <f>"頻度不明"</f>
        <v>頻度不明</v>
      </c>
      <c r="H4406" t="str">
        <f>"2002222280084"</f>
        <v>2002222280084</v>
      </c>
      <c r="I4406" t="str">
        <f>HYPERLINK("#", "https://opac.libnet.pref.okayama.jp/licsxp-opac/WOpacMsgNewListToTifTilDetailAction.do?tilcod=2002222280084")</f>
        <v>https://opac.libnet.pref.okayama.jp/licsxp-opac/WOpacMsgNewListToTifTilDetailAction.do?tilcod=2002222280084</v>
      </c>
    </row>
    <row r="4407" spans="1:9" x14ac:dyDescent="0.4">
      <c r="A4407" t="str">
        <f>"普及情報"</f>
        <v>普及情報</v>
      </c>
      <c r="B4407" s="1" t="str">
        <f t="shared" si="224"/>
        <v>普及情報</v>
      </c>
      <c r="C4407" t="str">
        <f>"フキュウ　ジョウホウ"</f>
        <v>フキュウ　ジョウホウ</v>
      </c>
      <c r="D4407" t="str">
        <f>"岡山県普及教育課"</f>
        <v>岡山県普及教育課</v>
      </c>
      <c r="E4407" t="str">
        <f>"オカヤマケンフキュウキョウイクカ"</f>
        <v>オカヤマケンフキュウキョウイクカ</v>
      </c>
      <c r="F4407" t="str">
        <f>""</f>
        <v/>
      </c>
      <c r="G4407" t="str">
        <f>"頻度不明"</f>
        <v>頻度不明</v>
      </c>
      <c r="H4407" t="str">
        <f>"2002222280094"</f>
        <v>2002222280094</v>
      </c>
      <c r="I4407" t="str">
        <f>HYPERLINK("#", "https://opac.libnet.pref.okayama.jp/licsxp-opac/WOpacMsgNewListToTifTilDetailAction.do?tilcod=2002222280094")</f>
        <v>https://opac.libnet.pref.okayama.jp/licsxp-opac/WOpacMsgNewListToTifTilDetailAction.do?tilcod=2002222280094</v>
      </c>
    </row>
    <row r="4408" spans="1:9" x14ac:dyDescent="0.4">
      <c r="A4408" t="str">
        <f>"福音かわら版"</f>
        <v>福音かわら版</v>
      </c>
      <c r="B4408" s="1" t="str">
        <f t="shared" si="224"/>
        <v>福音かわら版</v>
      </c>
      <c r="C4408" t="str">
        <f>"フクイン カワラ バン"</f>
        <v>フクイン カワラ バン</v>
      </c>
      <c r="D4408" t="str">
        <f>"みこゑ教会大野伝道所準備室"</f>
        <v>みこゑ教会大野伝道所準備室</v>
      </c>
      <c r="E4408" t="str">
        <f>"ミコエキョウカイオオノデンドウショジュンビシツ"</f>
        <v>ミコエキョウカイオオノデンドウショジュンビシツ</v>
      </c>
      <c r="F4408" t="str">
        <f>"岡山"</f>
        <v>岡山</v>
      </c>
      <c r="G4408" t="str">
        <f>"頻度不明"</f>
        <v>頻度不明</v>
      </c>
      <c r="H4408" t="str">
        <f>"2002222302041"</f>
        <v>2002222302041</v>
      </c>
      <c r="I4408" t="str">
        <f>HYPERLINK("#", "https://opac.libnet.pref.okayama.jp/licsxp-opac/WOpacMsgNewListToTifTilDetailAction.do?tilcod=2002222302041")</f>
        <v>https://opac.libnet.pref.okayama.jp/licsxp-opac/WOpacMsgNewListToTifTilDetailAction.do?tilcod=2002222302041</v>
      </c>
    </row>
    <row r="4409" spans="1:9" x14ac:dyDescent="0.4">
      <c r="A4409" t="str">
        <f>"福祉おかやま；岡山ソーシャルワーカー機関誌"</f>
        <v>福祉おかやま；岡山ソーシャルワーカー機関誌</v>
      </c>
      <c r="B4409" s="1" t="str">
        <f t="shared" si="224"/>
        <v>福祉おかやま；岡山ソーシャルワーカー機関誌</v>
      </c>
      <c r="C4409" t="str">
        <f>"フクシ　オカヤマ＊オカヤマ　ソーシャル　ワーカー　キカンシ"</f>
        <v>フクシ　オカヤマ＊オカヤマ　ソーシャル　ワーカー　キカンシ</v>
      </c>
      <c r="D4409" t="str">
        <f>"岡山ソーシャルワーカー協会"</f>
        <v>岡山ソーシャルワーカー協会</v>
      </c>
      <c r="E4409" t="str">
        <f>"オカヤマソーシャルワーカーキョウカイ"</f>
        <v>オカヤマソーシャルワーカーキョウカイ</v>
      </c>
      <c r="F4409" t="str">
        <f>"岡山"</f>
        <v>岡山</v>
      </c>
      <c r="G4409" t="str">
        <f>"不定期刊"</f>
        <v>不定期刊</v>
      </c>
      <c r="H4409" t="str">
        <f>"2002222282863"</f>
        <v>2002222282863</v>
      </c>
      <c r="I4409" t="str">
        <f>HYPERLINK("#", "https://opac.libnet.pref.okayama.jp/licsxp-opac/WOpacMsgNewListToTifTilDetailAction.do?tilcod=2002222282863")</f>
        <v>https://opac.libnet.pref.okayama.jp/licsxp-opac/WOpacMsgNewListToTifTilDetailAction.do?tilcod=2002222282863</v>
      </c>
    </row>
    <row r="4410" spans="1:9" x14ac:dyDescent="0.4">
      <c r="A4410" t="str">
        <f>"福祉求人情報；福祉のお仕事"</f>
        <v>福祉求人情報；福祉のお仕事</v>
      </c>
      <c r="B4410" s="1" t="str">
        <f t="shared" si="224"/>
        <v>福祉求人情報；福祉のお仕事</v>
      </c>
      <c r="C4410" t="str">
        <f>"フクシ キュウジン ジョウホウ＊フクシ ノ オシゴト"</f>
        <v>フクシ キュウジン ジョウホウ＊フクシ ノ オシゴト</v>
      </c>
      <c r="D4410" t="str">
        <f>"岡山県社会福祉協議会・福祉人材センター"</f>
        <v>岡山県社会福祉協議会・福祉人材センター</v>
      </c>
      <c r="E4410" t="str">
        <f>"オカヤマケン シャカイ フクシ キョウギカイ フクシ ジンザイ センター"</f>
        <v>オカヤマケン シャカイ フクシ キョウギカイ フクシ ジンザイ センター</v>
      </c>
      <c r="F4410" t="str">
        <f>"岡山"</f>
        <v>岡山</v>
      </c>
      <c r="G4410" t="str">
        <f>"月刊"</f>
        <v>月刊</v>
      </c>
      <c r="H4410" t="str">
        <f>"2002222324506"</f>
        <v>2002222324506</v>
      </c>
      <c r="I4410" t="str">
        <f>HYPERLINK("#", "https://opac.libnet.pref.okayama.jp/licsxp-opac/WOpacMsgNewListToTifTilDetailAction.do?tilcod=2002222324506")</f>
        <v>https://opac.libnet.pref.okayama.jp/licsxp-opac/WOpacMsgNewListToTifTilDetailAction.do?tilcod=2002222324506</v>
      </c>
    </row>
    <row r="4411" spans="1:9" x14ac:dyDescent="0.4">
      <c r="A4411" t="str">
        <f>"福祉センターだより"</f>
        <v>福祉センターだより</v>
      </c>
      <c r="B4411" s="1" t="str">
        <f t="shared" si="224"/>
        <v>福祉センターだより</v>
      </c>
      <c r="C4411" t="str">
        <f>"フクシ　センター　ダヨリ"</f>
        <v>フクシ　センター　ダヨリ</v>
      </c>
      <c r="D4411" t="str">
        <f>"岡山県立総合社会福祉センター"</f>
        <v>岡山県立総合社会福祉センター</v>
      </c>
      <c r="E4411" t="str">
        <f>"オカヤマケンリツソウゴウシャカイフクシセンター"</f>
        <v>オカヤマケンリツソウゴウシャカイフクシセンター</v>
      </c>
      <c r="F4411" t="str">
        <f>"岡山"</f>
        <v>岡山</v>
      </c>
      <c r="G4411" t="str">
        <f>"年刊"</f>
        <v>年刊</v>
      </c>
      <c r="H4411" t="str">
        <f>"2002222301970"</f>
        <v>2002222301970</v>
      </c>
      <c r="I4411" t="str">
        <f>HYPERLINK("#", "https://opac.libnet.pref.okayama.jp/licsxp-opac/WOpacMsgNewListToTifTilDetailAction.do?tilcod=2002222301970")</f>
        <v>https://opac.libnet.pref.okayama.jp/licsxp-opac/WOpacMsgNewListToTifTilDetailAction.do?tilcod=2002222301970</v>
      </c>
    </row>
    <row r="4412" spans="1:9" x14ac:dyDescent="0.4">
      <c r="A4412" t="str">
        <f>"福祉のひかり；社協だよりわけ"</f>
        <v>福祉のひかり；社協だよりわけ</v>
      </c>
      <c r="B4412" s="1" t="str">
        <f t="shared" si="224"/>
        <v>福祉のひかり；社協だよりわけ</v>
      </c>
      <c r="C4412" t="str">
        <f>"フクシ ノ ヒカリ＊シャキョウ ダヨリ ワケ"</f>
        <v>フクシ ノ ヒカリ＊シャキョウ ダヨリ ワケ</v>
      </c>
      <c r="D4412" t="str">
        <f>"和気町社会福祉協議会"</f>
        <v>和気町社会福祉協議会</v>
      </c>
      <c r="E4412" t="str">
        <f>"ワケチョウ シャカイ フクシ キョウギカイ"</f>
        <v>ワケチョウ シャカイ フクシ キョウギカイ</v>
      </c>
      <c r="F4412" t="str">
        <f>"和気町(和気郡)"</f>
        <v>和気町(和気郡)</v>
      </c>
      <c r="G4412" t="str">
        <f>"年３回刊"</f>
        <v>年３回刊</v>
      </c>
      <c r="H4412" t="str">
        <f>"2002222325289"</f>
        <v>2002222325289</v>
      </c>
      <c r="I4412" t="str">
        <f>HYPERLINK("#", "https://opac.libnet.pref.okayama.jp/licsxp-opac/WOpacMsgNewListToTifTilDetailAction.do?tilcod=2002222325289")</f>
        <v>https://opac.libnet.pref.okayama.jp/licsxp-opac/WOpacMsgNewListToTifTilDetailAction.do?tilcod=2002222325289</v>
      </c>
    </row>
    <row r="4413" spans="1:9" x14ac:dyDescent="0.4">
      <c r="A4413" t="str">
        <f>"福祉の街"</f>
        <v>福祉の街</v>
      </c>
      <c r="B4413" s="1" t="str">
        <f t="shared" si="224"/>
        <v>福祉の街</v>
      </c>
      <c r="C4413" t="str">
        <f>"フクシ　ノ　マチ"</f>
        <v>フクシ　ノ　マチ</v>
      </c>
      <c r="D4413" t="str">
        <f>"山陽町社会福祉協議会"</f>
        <v>山陽町社会福祉協議会</v>
      </c>
      <c r="E4413" t="str">
        <f>"サンヨウチョウシャカイフクシキョウギカイ"</f>
        <v>サンヨウチョウシャカイフクシキョウギカイ</v>
      </c>
      <c r="F4413" t="str">
        <f>"山陽町（赤磐郡）"</f>
        <v>山陽町（赤磐郡）</v>
      </c>
      <c r="G4413" t="str">
        <f>"月刊"</f>
        <v>月刊</v>
      </c>
      <c r="H4413" t="str">
        <f>"2002222282044"</f>
        <v>2002222282044</v>
      </c>
      <c r="I4413" t="str">
        <f>HYPERLINK("#", "https://opac.libnet.pref.okayama.jp/licsxp-opac/WOpacMsgNewListToTifTilDetailAction.do?tilcod=2002222282044")</f>
        <v>https://opac.libnet.pref.okayama.jp/licsxp-opac/WOpacMsgNewListToTifTilDetailAction.do?tilcod=2002222282044</v>
      </c>
    </row>
    <row r="4414" spans="1:9" x14ac:dyDescent="0.4">
      <c r="A4414" t="str">
        <f>"福祉の町やかげ"</f>
        <v>福祉の町やかげ</v>
      </c>
      <c r="B4414" s="1" t="str">
        <f t="shared" si="224"/>
        <v>福祉の町やかげ</v>
      </c>
      <c r="C4414" t="str">
        <f>"フクシ ノ マチ ヤカゲ"</f>
        <v>フクシ ノ マチ ヤカゲ</v>
      </c>
      <c r="D4414" t="str">
        <f>"矢掛町社会福祉協議会"</f>
        <v>矢掛町社会福祉協議会</v>
      </c>
      <c r="E4414" t="str">
        <f>"ヤカゲチョウ シャカイ フクシ キョウギカイ"</f>
        <v>ヤカゲチョウ シャカイ フクシ キョウギカイ</v>
      </c>
      <c r="F4414" t="str">
        <f>"矢掛町(小田郡)"</f>
        <v>矢掛町(小田郡)</v>
      </c>
      <c r="G4414" t="str">
        <f>"頻度不明"</f>
        <v>頻度不明</v>
      </c>
      <c r="H4414" t="str">
        <f>"2002222312366"</f>
        <v>2002222312366</v>
      </c>
      <c r="I4414" t="str">
        <f>HYPERLINK("#", "https://opac.libnet.pref.okayama.jp/licsxp-opac/WOpacMsgNewListToTifTilDetailAction.do?tilcod=2002222312366")</f>
        <v>https://opac.libnet.pref.okayama.jp/licsxp-opac/WOpacMsgNewListToTifTilDetailAction.do?tilcod=2002222312366</v>
      </c>
    </row>
    <row r="4415" spans="1:9" x14ac:dyDescent="0.4">
      <c r="A4415" t="str">
        <f>"福祉のみつ"</f>
        <v>福祉のみつ</v>
      </c>
      <c r="B4415" s="1" t="str">
        <f t="shared" si="224"/>
        <v>福祉のみつ</v>
      </c>
      <c r="C4415" t="str">
        <f>"フクシ　ノ　ミツ"</f>
        <v>フクシ　ノ　ミツ</v>
      </c>
      <c r="D4415" t="str">
        <f>"御津町社会福祉協議会"</f>
        <v>御津町社会福祉協議会</v>
      </c>
      <c r="E4415" t="str">
        <f>"ミツチヨウシヤカイフクシキヨウギカイ"</f>
        <v>ミツチヨウシヤカイフクシキヨウギカイ</v>
      </c>
      <c r="F4415" t="str">
        <f>"御津郡御津町"</f>
        <v>御津郡御津町</v>
      </c>
      <c r="G4415" t="str">
        <f>"その他"</f>
        <v>その他</v>
      </c>
      <c r="H4415" t="str">
        <f>"2002222293871"</f>
        <v>2002222293871</v>
      </c>
      <c r="I4415" t="str">
        <f>HYPERLINK("#", "https://opac.libnet.pref.okayama.jp/licsxp-opac/WOpacMsgNewListToTifTilDetailAction.do?tilcod=2002222293871")</f>
        <v>https://opac.libnet.pref.okayama.jp/licsxp-opac/WOpacMsgNewListToTifTilDetailAction.do?tilcod=2002222293871</v>
      </c>
    </row>
    <row r="4416" spans="1:9" x14ac:dyDescent="0.4">
      <c r="A4416" t="str">
        <f>"福祉よしなが"</f>
        <v>福祉よしなが</v>
      </c>
      <c r="B4416" s="1" t="str">
        <f t="shared" si="224"/>
        <v>福祉よしなが</v>
      </c>
      <c r="C4416" t="str">
        <f>"フクシ　ヨシナガ"</f>
        <v>フクシ　ヨシナガ</v>
      </c>
      <c r="D4416" t="str">
        <f>"吉永町社会福祉協議会"</f>
        <v>吉永町社会福祉協議会</v>
      </c>
      <c r="E4416" t="str">
        <f>"ヨシナガチョウシャカイフクシキョウギカイ"</f>
        <v>ヨシナガチョウシャカイフクシキョウギカイ</v>
      </c>
      <c r="F4416" t="str">
        <f>"和気郡吉永町"</f>
        <v>和気郡吉永町</v>
      </c>
      <c r="G4416" t="str">
        <f>"頻度不明"</f>
        <v>頻度不明</v>
      </c>
      <c r="H4416" t="str">
        <f>"2002222281331"</f>
        <v>2002222281331</v>
      </c>
      <c r="I4416" t="str">
        <f>HYPERLINK("#", "https://opac.libnet.pref.okayama.jp/licsxp-opac/WOpacMsgNewListToTifTilDetailAction.do?tilcod=2002222281331")</f>
        <v>https://opac.libnet.pref.okayama.jp/licsxp-opac/WOpacMsgNewListToTifTilDetailAction.do?tilcod=2002222281331</v>
      </c>
    </row>
    <row r="4417" spans="1:9" x14ac:dyDescent="0.4">
      <c r="A4417" t="str">
        <f>"福祉；福祉オンブズおかやま会報"</f>
        <v>福祉；福祉オンブズおかやま会報</v>
      </c>
      <c r="B4417" s="1" t="str">
        <f t="shared" si="224"/>
        <v>福祉；福祉オンブズおかやま会報</v>
      </c>
      <c r="C4417" t="str">
        <f>"フクシ＊フクシ　オンブズ　オカヤマ　カイホウ"</f>
        <v>フクシ＊フクシ　オンブズ　オカヤマ　カイホウ</v>
      </c>
      <c r="D4417" t="str">
        <f>"奥津亘"</f>
        <v>奥津亘</v>
      </c>
      <c r="E4417" t="str">
        <f>"オクツワタル　"</f>
        <v>オクツワタル　</v>
      </c>
      <c r="F4417" t="str">
        <f>"岡山"</f>
        <v>岡山</v>
      </c>
      <c r="G4417" t="str">
        <f>"頻度不明"</f>
        <v>頻度不明</v>
      </c>
      <c r="H4417" t="str">
        <f>"2002222281984"</f>
        <v>2002222281984</v>
      </c>
      <c r="I4417" t="str">
        <f>HYPERLINK("#", "https://opac.libnet.pref.okayama.jp/licsxp-opac/WOpacMsgNewListToTifTilDetailAction.do?tilcod=2002222281984")</f>
        <v>https://opac.libnet.pref.okayama.jp/licsxp-opac/WOpacMsgNewListToTifTilDetailAction.do?tilcod=2002222281984</v>
      </c>
    </row>
    <row r="4418" spans="1:9" x14ac:dyDescent="0.4">
      <c r="A4418" t="str">
        <f>"福祉だより"</f>
        <v>福祉だより</v>
      </c>
      <c r="B4418" s="1" t="str">
        <f t="shared" si="224"/>
        <v>福祉だより</v>
      </c>
      <c r="C4418" t="str">
        <f>"フクシダヨリ"</f>
        <v>フクシダヨリ</v>
      </c>
      <c r="D4418" t="str">
        <f>"日本原荘"</f>
        <v>日本原荘</v>
      </c>
      <c r="E4418" t="str">
        <f>"ニホンバラソウ"</f>
        <v>ニホンバラソウ</v>
      </c>
      <c r="F4418" t="str">
        <f>"津山"</f>
        <v>津山</v>
      </c>
      <c r="G4418" t="str">
        <f>"年３回刊"</f>
        <v>年３回刊</v>
      </c>
      <c r="H4418" t="str">
        <f>"2002222320554"</f>
        <v>2002222320554</v>
      </c>
      <c r="I4418" t="str">
        <f>HYPERLINK("#", "https://opac.libnet.pref.okayama.jp/licsxp-opac/WOpacMsgNewListToTifTilDetailAction.do?tilcod=2002222320554")</f>
        <v>https://opac.libnet.pref.okayama.jp/licsxp-opac/WOpacMsgNewListToTifTilDetailAction.do?tilcod=2002222320554</v>
      </c>
    </row>
    <row r="4419" spans="1:9" x14ac:dyDescent="0.4">
      <c r="A4419" t="str">
        <f>"福田公民館だより"</f>
        <v>福田公民館だより</v>
      </c>
      <c r="B4419" s="1" t="str">
        <f t="shared" si="224"/>
        <v>福田公民館だより</v>
      </c>
      <c r="C4419" t="str">
        <f>"フクダ コウミンカン ダヨリ"</f>
        <v>フクダ コウミンカン ダヨリ</v>
      </c>
      <c r="D4419" t="str">
        <f>"岡山市立福田公民館"</f>
        <v>岡山市立福田公民館</v>
      </c>
      <c r="E4419" t="str">
        <f>"オカヤマシリツ フクダ コウミンカン"</f>
        <v>オカヤマシリツ フクダ コウミンカン</v>
      </c>
      <c r="F4419" t="str">
        <f>"岡山"</f>
        <v>岡山</v>
      </c>
      <c r="G4419" t="str">
        <f>"隔月刊"</f>
        <v>隔月刊</v>
      </c>
      <c r="H4419" t="str">
        <f>"2002222341375"</f>
        <v>2002222341375</v>
      </c>
      <c r="I4419" t="str">
        <f>HYPERLINK("#", "https://opac.libnet.pref.okayama.jp/licsxp-opac/WOpacMsgNewListToTifTilDetailAction.do?tilcod=2002222341375")</f>
        <v>https://opac.libnet.pref.okayama.jp/licsxp-opac/WOpacMsgNewListToTifTilDetailAction.do?tilcod=2002222341375</v>
      </c>
    </row>
    <row r="4420" spans="1:9" x14ac:dyDescent="0.4">
      <c r="A4420" t="str">
        <f>"福田史談会会報"</f>
        <v>福田史談会会報</v>
      </c>
      <c r="B4420" s="1" t="str">
        <f t="shared" ref="B4420:B4483" si="226">HYPERLINK("#", A4420)</f>
        <v>福田史談会会報</v>
      </c>
      <c r="C4420" t="str">
        <f>"フクダ　シダンカイ　カイホウ"</f>
        <v>フクダ　シダンカイ　カイホウ</v>
      </c>
      <c r="D4420" t="str">
        <f>"倉敷・福田史談会"</f>
        <v>倉敷・福田史談会</v>
      </c>
      <c r="E4420" t="str">
        <f>"クラシキフクダシダンカイ"</f>
        <v>クラシキフクダシダンカイ</v>
      </c>
      <c r="F4420" t="str">
        <f>"倉敷"</f>
        <v>倉敷</v>
      </c>
      <c r="G4420" t="str">
        <f>"不定期刊"</f>
        <v>不定期刊</v>
      </c>
      <c r="H4420" t="str">
        <f>"2002222294021"</f>
        <v>2002222294021</v>
      </c>
      <c r="I4420" t="str">
        <f>HYPERLINK("#", "https://opac.libnet.pref.okayama.jp/licsxp-opac/WOpacMsgNewListToTifTilDetailAction.do?tilcod=2002222294021")</f>
        <v>https://opac.libnet.pref.okayama.jp/licsxp-opac/WOpacMsgNewListToTifTilDetailAction.do?tilcod=2002222294021</v>
      </c>
    </row>
    <row r="4421" spans="1:9" x14ac:dyDescent="0.4">
      <c r="A4421" t="str">
        <f>"福田史談会資料"</f>
        <v>福田史談会資料</v>
      </c>
      <c r="B4421" s="1" t="str">
        <f t="shared" si="226"/>
        <v>福田史談会資料</v>
      </c>
      <c r="C4421" t="str">
        <f>"フクダ シダンカイ シリョウ"</f>
        <v>フクダ シダンカイ シリョウ</v>
      </c>
      <c r="D4421" t="str">
        <f>"倉敷市福田史談会"</f>
        <v>倉敷市福田史談会</v>
      </c>
      <c r="E4421" t="str">
        <f>"クラシキシ フクダ シダンカイ"</f>
        <v>クラシキシ フクダ シダンカイ</v>
      </c>
      <c r="F4421" t="str">
        <f>""</f>
        <v/>
      </c>
      <c r="G4421" t="str">
        <f>"不定期刊"</f>
        <v>不定期刊</v>
      </c>
      <c r="H4421" t="str">
        <f>"2002222280804"</f>
        <v>2002222280804</v>
      </c>
      <c r="I4421" t="str">
        <f>HYPERLINK("#", "https://opac.libnet.pref.okayama.jp/licsxp-opac/WOpacMsgNewListToTifTilDetailAction.do?tilcod=2002222280804")</f>
        <v>https://opac.libnet.pref.okayama.jp/licsxp-opac/WOpacMsgNewListToTifTilDetailAction.do?tilcod=2002222280804</v>
      </c>
    </row>
    <row r="4422" spans="1:9" x14ac:dyDescent="0.4">
      <c r="A4422" t="str">
        <f>"福武教育振興財団年報"</f>
        <v>福武教育振興財団年報</v>
      </c>
      <c r="B4422" s="1" t="str">
        <f t="shared" si="226"/>
        <v>福武教育振興財団年報</v>
      </c>
      <c r="C4422" t="str">
        <f>"フクタケ　キョウイク　シンコウ　ザイダン　ネンポウ"</f>
        <v>フクタケ　キョウイク　シンコウ　ザイダン　ネンポウ</v>
      </c>
      <c r="D4422" t="str">
        <f>"福武教育振興財団"</f>
        <v>福武教育振興財団</v>
      </c>
      <c r="E4422" t="str">
        <f>"フクタケ キョウイク シンコウ ザイダン"</f>
        <v>フクタケ キョウイク シンコウ ザイダン</v>
      </c>
      <c r="F4422" t="str">
        <f>"岡山"</f>
        <v>岡山</v>
      </c>
      <c r="G4422" t="str">
        <f>"年刊"</f>
        <v>年刊</v>
      </c>
      <c r="H4422" t="str">
        <f>"2002222280691"</f>
        <v>2002222280691</v>
      </c>
      <c r="I4422" t="str">
        <f>HYPERLINK("#", "https://opac.libnet.pref.okayama.jp/licsxp-opac/WOpacMsgNewListToTifTilDetailAction.do?tilcod=2002222280691")</f>
        <v>https://opac.libnet.pref.okayama.jp/licsxp-opac/WOpacMsgNewListToTifTilDetailAction.do?tilcod=2002222280691</v>
      </c>
    </row>
    <row r="4423" spans="1:9" x14ac:dyDescent="0.4">
      <c r="A4423" t="str">
        <f>"福南中だより"</f>
        <v>福南中だより</v>
      </c>
      <c r="B4423" s="1" t="str">
        <f t="shared" si="226"/>
        <v>福南中だより</v>
      </c>
      <c r="C4423" t="str">
        <f>"フクナンチュウ ダヨリ"</f>
        <v>フクナンチュウ ダヨリ</v>
      </c>
      <c r="D4423" t="str">
        <f>"岡山市立福南中学校PTA"</f>
        <v>岡山市立福南中学校PTA</v>
      </c>
      <c r="E4423" t="str">
        <f>"オカヤマ シ リツ フクナン チュウガッコウ ピーティーエー"</f>
        <v>オカヤマ シ リツ フクナン チュウガッコウ ピーティーエー</v>
      </c>
      <c r="F4423" t="str">
        <f>"岡山"</f>
        <v>岡山</v>
      </c>
      <c r="G4423" t="str">
        <f>"頻度不明"</f>
        <v>頻度不明</v>
      </c>
      <c r="H4423" t="str">
        <f>"2002222338112"</f>
        <v>2002222338112</v>
      </c>
      <c r="I4423" t="str">
        <f>HYPERLINK("#", "https://opac.libnet.pref.okayama.jp/licsxp-opac/WOpacMsgNewListToTifTilDetailAction.do?tilcod=2002222338112")</f>
        <v>https://opac.libnet.pref.okayama.jp/licsxp-opac/WOpacMsgNewListToTifTilDetailAction.do?tilcod=2002222338112</v>
      </c>
    </row>
    <row r="4424" spans="1:9" x14ac:dyDescent="0.4">
      <c r="A4424" t="str">
        <f>"ふくふくおかやま"</f>
        <v>ふくふくおかやま</v>
      </c>
      <c r="B4424" s="1" t="str">
        <f t="shared" si="226"/>
        <v>ふくふくおかやま</v>
      </c>
      <c r="C4424" t="str">
        <f>"フクフク　オカヤマ"</f>
        <v>フクフク　オカヤマ</v>
      </c>
      <c r="D4424" t="str">
        <f>"株式会社４６舎"</f>
        <v>株式会社４６舎</v>
      </c>
      <c r="E4424" t="str">
        <f>"カブシキ　ガイシャ　ヨンロク　シャ"</f>
        <v>カブシキ　ガイシャ　ヨンロク　シャ</v>
      </c>
      <c r="F4424" t="str">
        <f>"岡山"</f>
        <v>岡山</v>
      </c>
      <c r="G4424" t="str">
        <f>"季刊"</f>
        <v>季刊</v>
      </c>
      <c r="H4424" t="str">
        <f>"2002222330246"</f>
        <v>2002222330246</v>
      </c>
      <c r="I4424" t="str">
        <f>HYPERLINK("#", "https://opac.libnet.pref.okayama.jp/licsxp-opac/WOpacMsgNewListToTifTilDetailAction.do?tilcod=2002222330246")</f>
        <v>https://opac.libnet.pref.okayama.jp/licsxp-opac/WOpacMsgNewListToTifTilDetailAction.do?tilcod=2002222330246</v>
      </c>
    </row>
    <row r="4425" spans="1:9" x14ac:dyDescent="0.4">
      <c r="A4425" t="str">
        <f>"福利おかやま"</f>
        <v>福利おかやま</v>
      </c>
      <c r="B4425" s="1" t="str">
        <f t="shared" si="226"/>
        <v>福利おかやま</v>
      </c>
      <c r="C4425" t="str">
        <f>"フクリ　オカヤマ"</f>
        <v>フクリ　オカヤマ</v>
      </c>
      <c r="D4425" t="str">
        <f>"岡山県教育庁福利課"</f>
        <v>岡山県教育庁福利課</v>
      </c>
      <c r="E4425" t="str">
        <f>"オカヤマケンキョウイクチョウフクリカ"</f>
        <v>オカヤマケンキョウイクチョウフクリカ</v>
      </c>
      <c r="F4425" t="str">
        <f>"岡山"</f>
        <v>岡山</v>
      </c>
      <c r="G4425" t="str">
        <f>"隔月刊"</f>
        <v>隔月刊</v>
      </c>
      <c r="H4425" t="str">
        <f>"2002222293221"</f>
        <v>2002222293221</v>
      </c>
      <c r="I4425" t="str">
        <f>HYPERLINK("#", "https://opac.libnet.pref.okayama.jp/licsxp-opac/WOpacMsgNewListToTifTilDetailAction.do?tilcod=2002222293221")</f>
        <v>https://opac.libnet.pref.okayama.jp/licsxp-opac/WOpacMsgNewListToTifTilDetailAction.do?tilcod=2002222293221</v>
      </c>
    </row>
    <row r="4426" spans="1:9" x14ac:dyDescent="0.4">
      <c r="A4426" t="str">
        <f>"〔福渡高等学校〕社研部古墳資料"</f>
        <v>〔福渡高等学校〕社研部古墳資料</v>
      </c>
      <c r="B4426" s="1" t="str">
        <f t="shared" si="226"/>
        <v>〔福渡高等学校〕社研部古墳資料</v>
      </c>
      <c r="C4426" t="str">
        <f>"フクワタリ　コウトウ　ガッコウ　シャケンブ　コフン　シリョウ"</f>
        <v>フクワタリ　コウトウ　ガッコウ　シャケンブ　コフン　シリョウ</v>
      </c>
      <c r="D4426" t="str">
        <f>"福渡高等学校社研部"</f>
        <v>福渡高等学校社研部</v>
      </c>
      <c r="E4426" t="str">
        <f>"フクワタリコウトウガコッウシャケンブ"</f>
        <v>フクワタリコウトウガコッウシャケンブ</v>
      </c>
      <c r="F4426" t="str">
        <f>"〔建部町（御津郡）〕"</f>
        <v>〔建部町（御津郡）〕</v>
      </c>
      <c r="G4426" t="str">
        <f>"頻度不明"</f>
        <v>頻度不明</v>
      </c>
      <c r="H4426" t="str">
        <f>"2002222301385"</f>
        <v>2002222301385</v>
      </c>
      <c r="I4426" t="str">
        <f>HYPERLINK("#", "https://opac.libnet.pref.okayama.jp/licsxp-opac/WOpacMsgNewListToTifTilDetailAction.do?tilcod=2002222301385")</f>
        <v>https://opac.libnet.pref.okayama.jp/licsxp-opac/WOpacMsgNewListToTifTilDetailAction.do?tilcod=2002222301385</v>
      </c>
    </row>
    <row r="4427" spans="1:9" x14ac:dyDescent="0.4">
      <c r="A4427" t="str">
        <f>"〔福渡高等学校〕若樹"</f>
        <v>〔福渡高等学校〕若樹</v>
      </c>
      <c r="B4427" s="1" t="str">
        <f t="shared" si="226"/>
        <v>〔福渡高等学校〕若樹</v>
      </c>
      <c r="C4427" t="str">
        <f>"フクワタリ　コウトウ　ガッコウ＊ワカギ"</f>
        <v>フクワタリ　コウトウ　ガッコウ＊ワカギ</v>
      </c>
      <c r="D4427" t="str">
        <f>"福渡高等学校文芸部"</f>
        <v>福渡高等学校文芸部</v>
      </c>
      <c r="E4427" t="str">
        <f>"フクワタリコウトウガッコウブンゲイブ"</f>
        <v>フクワタリコウトウガッコウブンゲイブ</v>
      </c>
      <c r="F4427" t="str">
        <f>"〔建部町（御津郡）〕"</f>
        <v>〔建部町（御津郡）〕</v>
      </c>
      <c r="G4427" t="str">
        <f>"頻度不明"</f>
        <v>頻度不明</v>
      </c>
      <c r="H4427" t="str">
        <f>"2002222301383"</f>
        <v>2002222301383</v>
      </c>
      <c r="I4427" t="str">
        <f>HYPERLINK("#", "https://opac.libnet.pref.okayama.jp/licsxp-opac/WOpacMsgNewListToTifTilDetailAction.do?tilcod=2002222301383")</f>
        <v>https://opac.libnet.pref.okayama.jp/licsxp-opac/WOpacMsgNewListToTifTilDetailAction.do?tilcod=2002222301383</v>
      </c>
    </row>
    <row r="4428" spans="1:9" x14ac:dyDescent="0.4">
      <c r="A4428" t="str">
        <f>"福渡高等学校学校案内"</f>
        <v>福渡高等学校学校案内</v>
      </c>
      <c r="B4428" s="1" t="str">
        <f t="shared" si="226"/>
        <v>福渡高等学校学校案内</v>
      </c>
      <c r="C4428" t="str">
        <f>"フクワタリ　コウトウガッコウ　ガッコウ　アンナイ"</f>
        <v>フクワタリ　コウトウガッコウ　ガッコウ　アンナイ</v>
      </c>
      <c r="D4428" t="str">
        <f>"福渡高等学校"</f>
        <v>福渡高等学校</v>
      </c>
      <c r="E4428" t="str">
        <f>"フクワタリ コウトウ ガッコウ"</f>
        <v>フクワタリ コウトウ ガッコウ</v>
      </c>
      <c r="F4428" t="str">
        <f>"建部町（御津郡）"</f>
        <v>建部町（御津郡）</v>
      </c>
      <c r="G4428" t="str">
        <f>"年刊"</f>
        <v>年刊</v>
      </c>
      <c r="H4428" t="str">
        <f>"2002222301185"</f>
        <v>2002222301185</v>
      </c>
      <c r="I4428" t="str">
        <f>HYPERLINK("#", "https://opac.libnet.pref.okayama.jp/licsxp-opac/WOpacMsgNewListToTifTilDetailAction.do?tilcod=2002222301185")</f>
        <v>https://opac.libnet.pref.okayama.jp/licsxp-opac/WOpacMsgNewListToTifTilDetailAction.do?tilcod=2002222301185</v>
      </c>
    </row>
    <row r="4429" spans="1:9" x14ac:dyDescent="0.4">
      <c r="A4429" t="str">
        <f>"福渡高等学校学校要覧"</f>
        <v>福渡高等学校学校要覧</v>
      </c>
      <c r="B4429" s="1" t="str">
        <f t="shared" si="226"/>
        <v>福渡高等学校学校要覧</v>
      </c>
      <c r="C4429" t="str">
        <f>"フクワタリ　コウトウガッコウ　ガッコウ　ヨウラン"</f>
        <v>フクワタリ　コウトウガッコウ　ガッコウ　ヨウラン</v>
      </c>
      <c r="D4429" t="str">
        <f>"福渡高等学校"</f>
        <v>福渡高等学校</v>
      </c>
      <c r="E4429" t="str">
        <f>"フクワタリ コウトウ ガッコウ"</f>
        <v>フクワタリ コウトウ ガッコウ</v>
      </c>
      <c r="F4429" t="str">
        <f>"建部町（御津郡）"</f>
        <v>建部町（御津郡）</v>
      </c>
      <c r="G4429" t="str">
        <f>"年刊"</f>
        <v>年刊</v>
      </c>
      <c r="H4429" t="str">
        <f>"2002222300722"</f>
        <v>2002222300722</v>
      </c>
      <c r="I4429" t="str">
        <f>HYPERLINK("#", "https://opac.libnet.pref.okayama.jp/licsxp-opac/WOpacMsgNewListToTifTilDetailAction.do?tilcod=2002222300722")</f>
        <v>https://opac.libnet.pref.okayama.jp/licsxp-opac/WOpacMsgNewListToTifTilDetailAction.do?tilcod=2002222300722</v>
      </c>
    </row>
    <row r="4430" spans="1:9" x14ac:dyDescent="0.4">
      <c r="A4430" t="str">
        <f>"福渡病院だより"</f>
        <v>福渡病院だより</v>
      </c>
      <c r="B4430" s="1" t="str">
        <f t="shared" si="226"/>
        <v>福渡病院だより</v>
      </c>
      <c r="C4430" t="str">
        <f>"フクワタリ ビョウイン ダヨリ"</f>
        <v>フクワタリ ビョウイン ダヨリ</v>
      </c>
      <c r="D4430" t="str">
        <f>"岡山市久米南町組合立国民健康保険福渡病院"</f>
        <v>岡山市久米南町組合立国民健康保険福渡病院</v>
      </c>
      <c r="E4430" t="str">
        <f>"オカヤマシ クメナンチョウ クミアイリツ コクミン ケンコウ ホケン フクワタリ ビョウイン"</f>
        <v>オカヤマシ クメナンチョウ クミアイリツ コクミン ケンコウ ホケン フクワタリ ビョウイン</v>
      </c>
      <c r="F4430" t="str">
        <f>"岡山"</f>
        <v>岡山</v>
      </c>
      <c r="G4430" t="str">
        <f>"不定期刊"</f>
        <v>不定期刊</v>
      </c>
      <c r="H4430" t="str">
        <f>"2002222318006"</f>
        <v>2002222318006</v>
      </c>
      <c r="I4430" t="str">
        <f>HYPERLINK("#", "https://opac.libnet.pref.okayama.jp/licsxp-opac/WOpacMsgNewListToTifTilDetailAction.do?tilcod=2002222318006")</f>
        <v>https://opac.libnet.pref.okayama.jp/licsxp-opac/WOpacMsgNewListToTifTilDetailAction.do?tilcod=2002222318006</v>
      </c>
    </row>
    <row r="4431" spans="1:9" x14ac:dyDescent="0.4">
      <c r="A4431" t="str">
        <f>"不二新報(複製)"</f>
        <v>不二新報(複製)</v>
      </c>
      <c r="B4431" s="1" t="str">
        <f t="shared" si="226"/>
        <v>不二新報(複製)</v>
      </c>
      <c r="C4431" t="str">
        <f>"フジ シンポウ＊フクセイ"</f>
        <v>フジ シンポウ＊フクセイ</v>
      </c>
      <c r="D4431" t="str">
        <f>"不二新報社"</f>
        <v>不二新報社</v>
      </c>
      <c r="E4431" t="str">
        <f>"フジ シンポウシャ"</f>
        <v>フジ シンポウシャ</v>
      </c>
      <c r="F4431" t="str">
        <f>""</f>
        <v/>
      </c>
      <c r="G4431" t="str">
        <f>"その他"</f>
        <v>その他</v>
      </c>
      <c r="H4431" t="str">
        <f>"2002222334789"</f>
        <v>2002222334789</v>
      </c>
      <c r="I4431" t="str">
        <f>HYPERLINK("#", "https://opac.libnet.pref.okayama.jp/licsxp-opac/WOpacMsgNewListToTifTilDetailAction.do?tilcod=2002222334789")</f>
        <v>https://opac.libnet.pref.okayama.jp/licsxp-opac/WOpacMsgNewListToTifTilDetailAction.do?tilcod=2002222334789</v>
      </c>
    </row>
    <row r="4432" spans="1:9" x14ac:dyDescent="0.4">
      <c r="A4432" t="str">
        <f>"不受不施教学研究発表会"</f>
        <v>不受不施教学研究発表会</v>
      </c>
      <c r="B4432" s="1" t="str">
        <f t="shared" si="226"/>
        <v>不受不施教学研究発表会</v>
      </c>
      <c r="C4432" t="str">
        <f>"フジュ フセ キョウガク ケンキュウ ハッピョウカイ"</f>
        <v>フジュ フセ キョウガク ケンキュウ ハッピョウカイ</v>
      </c>
      <c r="D4432" t="str">
        <f>"不受不施派研究所"</f>
        <v>不受不施派研究所</v>
      </c>
      <c r="E4432" t="str">
        <f>"フジュ フセハ ケンキュウジョ"</f>
        <v>フジュ フセハ ケンキュウジョ</v>
      </c>
      <c r="F4432" t="str">
        <f>"岡山"</f>
        <v>岡山</v>
      </c>
      <c r="G4432" t="str">
        <f>"年刊"</f>
        <v>年刊</v>
      </c>
      <c r="H4432" t="str">
        <f>"2002222337471"</f>
        <v>2002222337471</v>
      </c>
      <c r="I4432" t="str">
        <f>HYPERLINK("#", "https://opac.libnet.pref.okayama.jp/licsxp-opac/WOpacMsgNewListToTifTilDetailAction.do?tilcod=2002222337471")</f>
        <v>https://opac.libnet.pref.okayama.jp/licsxp-opac/WOpacMsgNewListToTifTilDetailAction.do?tilcod=2002222337471</v>
      </c>
    </row>
    <row r="4433" spans="1:9" x14ac:dyDescent="0.4">
      <c r="A4433" t="str">
        <f>"不受不施教学研究発表大会"</f>
        <v>不受不施教学研究発表大会</v>
      </c>
      <c r="B4433" s="1" t="str">
        <f t="shared" si="226"/>
        <v>不受不施教学研究発表大会</v>
      </c>
      <c r="C4433" t="str">
        <f>"フジュフセ キョウガク ケンキュウ ハッピョウ タイカイ"</f>
        <v>フジュフセ キョウガク ケンキュウ ハッピョウ タイカイ</v>
      </c>
      <c r="D4433" t="str">
        <f>"不受不施派研究所"</f>
        <v>不受不施派研究所</v>
      </c>
      <c r="E4433" t="str">
        <f>"フジュ フセハ ケンキュウジョ"</f>
        <v>フジュ フセハ ケンキュウジョ</v>
      </c>
      <c r="F4433" t="str">
        <f>"岡山"</f>
        <v>岡山</v>
      </c>
      <c r="G4433" t="str">
        <f>"年刊"</f>
        <v>年刊</v>
      </c>
      <c r="H4433" t="str">
        <f>"2002222337510"</f>
        <v>2002222337510</v>
      </c>
      <c r="I4433" t="str">
        <f>HYPERLINK("#", "https://opac.libnet.pref.okayama.jp/licsxp-opac/WOpacMsgNewListToTifTilDetailAction.do?tilcod=2002222337510")</f>
        <v>https://opac.libnet.pref.okayama.jp/licsxp-opac/WOpacMsgNewListToTifTilDetailAction.do?tilcod=2002222337510</v>
      </c>
    </row>
    <row r="4434" spans="1:9" x14ac:dyDescent="0.4">
      <c r="A4434" t="str">
        <f>"婦人会報"</f>
        <v>婦人会報</v>
      </c>
      <c r="B4434" s="1" t="str">
        <f t="shared" si="226"/>
        <v>婦人会報</v>
      </c>
      <c r="C4434" t="str">
        <f>"フジン　カイホウ"</f>
        <v>フジン　カイホウ</v>
      </c>
      <c r="D4434" t="str">
        <f>"企画室"</f>
        <v>企画室</v>
      </c>
      <c r="E4434" t="str">
        <f>"キカクシツ"</f>
        <v>キカクシツ</v>
      </c>
      <c r="F4434" t="str">
        <f>""</f>
        <v/>
      </c>
      <c r="G4434" t="str">
        <f>"季刊"</f>
        <v>季刊</v>
      </c>
      <c r="H4434" t="str">
        <f>"2002222279872"</f>
        <v>2002222279872</v>
      </c>
      <c r="I4434" t="str">
        <f>HYPERLINK("#", "https://opac.libnet.pref.okayama.jp/licsxp-opac/WOpacMsgNewListToTifTilDetailAction.do?tilcod=2002222279872")</f>
        <v>https://opac.libnet.pref.okayama.jp/licsxp-opac/WOpacMsgNewListToTifTilDetailAction.do?tilcod=2002222279872</v>
      </c>
    </row>
    <row r="4435" spans="1:9" x14ac:dyDescent="0.4">
      <c r="A4435" t="str">
        <f>"婦人情報バンクだより"</f>
        <v>婦人情報バンクだより</v>
      </c>
      <c r="B4435" s="1" t="str">
        <f t="shared" si="226"/>
        <v>婦人情報バンクだより</v>
      </c>
      <c r="C4435" t="str">
        <f>"フジン　ジョウホウ　バンク　ダヨリ"</f>
        <v>フジン　ジョウホウ　バンク　ダヨリ</v>
      </c>
      <c r="D4435" t="str">
        <f>"岡山県婦人情報バンク"</f>
        <v>岡山県婦人情報バンク</v>
      </c>
      <c r="E4435" t="str">
        <f>"オカヤマケンフジンジョウホウバンク"</f>
        <v>オカヤマケンフジンジョウホウバンク</v>
      </c>
      <c r="F4435" t="str">
        <f>""</f>
        <v/>
      </c>
      <c r="G4435" t="str">
        <f>"頻度不明"</f>
        <v>頻度不明</v>
      </c>
      <c r="H4435" t="str">
        <f>"2002222280114"</f>
        <v>2002222280114</v>
      </c>
      <c r="I4435" t="str">
        <f>HYPERLINK("#", "https://opac.libnet.pref.okayama.jp/licsxp-opac/WOpacMsgNewListToTifTilDetailAction.do?tilcod=2002222280114")</f>
        <v>https://opac.libnet.pref.okayama.jp/licsxp-opac/WOpacMsgNewListToTifTilDetailAction.do?tilcod=2002222280114</v>
      </c>
    </row>
    <row r="4436" spans="1:9" x14ac:dyDescent="0.4">
      <c r="A4436" t="str">
        <f>"婦人職業だより"</f>
        <v>婦人職業だより</v>
      </c>
      <c r="B4436" s="1" t="str">
        <f t="shared" si="226"/>
        <v>婦人職業だより</v>
      </c>
      <c r="C4436" t="str">
        <f>"フジン　ショクギョウ　ダヨリ"</f>
        <v>フジン　ショクギョウ　ダヨリ</v>
      </c>
      <c r="D4436" t="str">
        <f>"岡山県婦人職業相談センター"</f>
        <v>岡山県婦人職業相談センター</v>
      </c>
      <c r="E4436" t="str">
        <f>"オカヤマケンフジンショクギョウソウダンセンター"</f>
        <v>オカヤマケンフジンショクギョウソウダンセンター</v>
      </c>
      <c r="F4436" t="str">
        <f>""</f>
        <v/>
      </c>
      <c r="G4436" t="str">
        <f>"頻度不明"</f>
        <v>頻度不明</v>
      </c>
      <c r="H4436" t="str">
        <f>"2002222280124"</f>
        <v>2002222280124</v>
      </c>
      <c r="I4436" t="str">
        <f>HYPERLINK("#", "https://opac.libnet.pref.okayama.jp/licsxp-opac/WOpacMsgNewListToTifTilDetailAction.do?tilcod=2002222280124")</f>
        <v>https://opac.libnet.pref.okayama.jp/licsxp-opac/WOpacMsgNewListToTifTilDetailAction.do?tilcod=2002222280124</v>
      </c>
    </row>
    <row r="4437" spans="1:9" x14ac:dyDescent="0.4">
      <c r="A4437" t="str">
        <f>"婦人タイムズ"</f>
        <v>婦人タイムズ</v>
      </c>
      <c r="B4437" s="1" t="str">
        <f t="shared" si="226"/>
        <v>婦人タイムズ</v>
      </c>
      <c r="C4437" t="str">
        <f>"フジン　タイムズ"</f>
        <v>フジン　タイムズ</v>
      </c>
      <c r="D4437" t="str">
        <f>"婦人タイムズ社"</f>
        <v>婦人タイムズ社</v>
      </c>
      <c r="E4437" t="str">
        <f>"フジンタイムズシャ"</f>
        <v>フジンタイムズシャ</v>
      </c>
      <c r="F4437" t="str">
        <f>"倉敷"</f>
        <v>倉敷</v>
      </c>
      <c r="G4437" t="str">
        <f>"旬刊"</f>
        <v>旬刊</v>
      </c>
      <c r="H4437" t="str">
        <f>"2002222300967"</f>
        <v>2002222300967</v>
      </c>
      <c r="I4437" t="str">
        <f>HYPERLINK("#", "https://opac.libnet.pref.okayama.jp/licsxp-opac/WOpacMsgNewListToTifTilDetailAction.do?tilcod=2002222300967")</f>
        <v>https://opac.libnet.pref.okayama.jp/licsxp-opac/WOpacMsgNewListToTifTilDetailAction.do?tilcod=2002222300967</v>
      </c>
    </row>
    <row r="4438" spans="1:9" x14ac:dyDescent="0.4">
      <c r="A4438" t="str">
        <f>"文月"</f>
        <v>文月</v>
      </c>
      <c r="B4438" s="1" t="str">
        <f t="shared" si="226"/>
        <v>文月</v>
      </c>
      <c r="C4438" t="str">
        <f>"フズキ"</f>
        <v>フズキ</v>
      </c>
      <c r="D4438" t="str">
        <f>"川柳文月会"</f>
        <v>川柳文月会</v>
      </c>
      <c r="E4438" t="str">
        <f>"センリュウ フミズキ カイ"</f>
        <v>センリュウ フミズキ カイ</v>
      </c>
      <c r="F4438" t="str">
        <f>"[岡山]"</f>
        <v>[岡山]</v>
      </c>
      <c r="G4438" t="str">
        <f t="shared" ref="G4438:G4444" si="227">"頻度不明"</f>
        <v>頻度不明</v>
      </c>
      <c r="H4438" t="str">
        <f>"2002222344016"</f>
        <v>2002222344016</v>
      </c>
      <c r="I4438" t="str">
        <f>HYPERLINK("#", "https://opac.libnet.pref.okayama.jp/licsxp-opac/WOpacMsgNewListToTifTilDetailAction.do?tilcod=2002222344016")</f>
        <v>https://opac.libnet.pref.okayama.jp/licsxp-opac/WOpacMsgNewListToTifTilDetailAction.do?tilcod=2002222344016</v>
      </c>
    </row>
    <row r="4439" spans="1:9" x14ac:dyDescent="0.4">
      <c r="A4439" t="str">
        <f>"豚とカラス"</f>
        <v>豚とカラス</v>
      </c>
      <c r="B4439" s="1" t="str">
        <f t="shared" si="226"/>
        <v>豚とカラス</v>
      </c>
      <c r="C4439" t="str">
        <f>"ブタ ト カラス"</f>
        <v>ブタ ト カラス</v>
      </c>
      <c r="D4439" t="str">
        <f>"岡山大学現代文学研究会"</f>
        <v>岡山大学現代文学研究会</v>
      </c>
      <c r="E4439" t="str">
        <f>"オカヤマ ダイガク ゲンダイ ブンガク ケンキュウカイ"</f>
        <v>オカヤマ ダイガク ゲンダイ ブンガク ケンキュウカイ</v>
      </c>
      <c r="F4439" t="str">
        <f>"岡山"</f>
        <v>岡山</v>
      </c>
      <c r="G4439" t="str">
        <f t="shared" si="227"/>
        <v>頻度不明</v>
      </c>
      <c r="H4439" t="str">
        <f>"2002222327386"</f>
        <v>2002222327386</v>
      </c>
      <c r="I4439" t="str">
        <f>HYPERLINK("#", "https://opac.libnet.pref.okayama.jp/licsxp-opac/WOpacMsgNewListToTifTilDetailAction.do?tilcod=2002222327386")</f>
        <v>https://opac.libnet.pref.okayama.jp/licsxp-opac/WOpacMsgNewListToTifTilDetailAction.do?tilcod=2002222327386</v>
      </c>
    </row>
    <row r="4440" spans="1:9" x14ac:dyDescent="0.4">
      <c r="A4440" t="str">
        <f>"ぷちぺん"</f>
        <v>ぷちぺん</v>
      </c>
      <c r="B4440" s="1" t="str">
        <f t="shared" si="226"/>
        <v>ぷちぺん</v>
      </c>
      <c r="C4440" t="str">
        <f>"プチペン"</f>
        <v>プチペン</v>
      </c>
      <c r="D4440" t="str">
        <f>"岡山後楽館高校　文芸部"</f>
        <v>岡山後楽館高校　文芸部</v>
      </c>
      <c r="E4440" t="str">
        <f>"オカヤマコウラクカンコウコウブンゲイブ"</f>
        <v>オカヤマコウラクカンコウコウブンゲイブ</v>
      </c>
      <c r="F4440" t="str">
        <f>"岡山"</f>
        <v>岡山</v>
      </c>
      <c r="G4440" t="str">
        <f t="shared" si="227"/>
        <v>頻度不明</v>
      </c>
      <c r="H4440" t="str">
        <f>"2002222302412"</f>
        <v>2002222302412</v>
      </c>
      <c r="I4440" t="str">
        <f>HYPERLINK("#", "https://opac.libnet.pref.okayama.jp/licsxp-opac/WOpacMsgNewListToTifTilDetailAction.do?tilcod=2002222302412")</f>
        <v>https://opac.libnet.pref.okayama.jp/licsxp-opac/WOpacMsgNewListToTifTilDetailAction.do?tilcod=2002222302412</v>
      </c>
    </row>
    <row r="4441" spans="1:9" x14ac:dyDescent="0.4">
      <c r="A4441" t="str">
        <f>"物価だより"</f>
        <v>物価だより</v>
      </c>
      <c r="B4441" s="1" t="str">
        <f t="shared" si="226"/>
        <v>物価だより</v>
      </c>
      <c r="C4441" t="str">
        <f>"ブッカ　ダヨリ"</f>
        <v>ブッカ　ダヨリ</v>
      </c>
      <c r="D4441" t="str">
        <f>"岡山県県民生活部生活安定課"</f>
        <v>岡山県県民生活部生活安定課</v>
      </c>
      <c r="E4441" t="str">
        <f>"オカヤマケン ケンミン セイカツブ セイカツ アンテイカ"</f>
        <v>オカヤマケン ケンミン セイカツブ セイカツ アンテイカ</v>
      </c>
      <c r="F4441" t="str">
        <f>""</f>
        <v/>
      </c>
      <c r="G4441" t="str">
        <f t="shared" si="227"/>
        <v>頻度不明</v>
      </c>
      <c r="H4441" t="str">
        <f>"2002222280134"</f>
        <v>2002222280134</v>
      </c>
      <c r="I4441" t="str">
        <f>HYPERLINK("#", "https://opac.libnet.pref.okayama.jp/licsxp-opac/WOpacMsgNewListToTifTilDetailAction.do?tilcod=2002222280134")</f>
        <v>https://opac.libnet.pref.okayama.jp/licsxp-opac/WOpacMsgNewListToTifTilDetailAction.do?tilcod=2002222280134</v>
      </c>
    </row>
    <row r="4442" spans="1:9" x14ac:dyDescent="0.4">
      <c r="A4442" t="str">
        <f>"物価報告"</f>
        <v>物価報告</v>
      </c>
      <c r="B4442" s="1" t="str">
        <f t="shared" si="226"/>
        <v>物価報告</v>
      </c>
      <c r="C4442" t="str">
        <f>"ブッカ ホウコク"</f>
        <v>ブッカ ホウコク</v>
      </c>
      <c r="D4442" t="str">
        <f>"岡山県商法会議所商況調査部"</f>
        <v>岡山県商法会議所商況調査部</v>
      </c>
      <c r="E4442" t="str">
        <f>"オカヤマケン ショウホウ カイギショ ショウキョウ チョウサブ"</f>
        <v>オカヤマケン ショウホウ カイギショ ショウキョウ チョウサブ</v>
      </c>
      <c r="F4442" t="str">
        <f>"備前"</f>
        <v>備前</v>
      </c>
      <c r="G4442" t="str">
        <f t="shared" si="227"/>
        <v>頻度不明</v>
      </c>
      <c r="H4442" t="str">
        <f>"2002222307988"</f>
        <v>2002222307988</v>
      </c>
      <c r="I4442" t="str">
        <f>HYPERLINK("#", "https://opac.libnet.pref.okayama.jp/licsxp-opac/WOpacMsgNewListToTifTilDetailAction.do?tilcod=2002222307988")</f>
        <v>https://opac.libnet.pref.okayama.jp/licsxp-opac/WOpacMsgNewListToTifTilDetailAction.do?tilcod=2002222307988</v>
      </c>
    </row>
    <row r="4443" spans="1:9" x14ac:dyDescent="0.4">
      <c r="A4443" t="str">
        <f>"復活"</f>
        <v>復活</v>
      </c>
      <c r="B4443" s="1" t="str">
        <f t="shared" si="226"/>
        <v>復活</v>
      </c>
      <c r="C4443" t="str">
        <f>"フッカツ"</f>
        <v>フッカツ</v>
      </c>
      <c r="D4443" t="str">
        <f>"岡山県旧軍人関係恩給連盟"</f>
        <v>岡山県旧軍人関係恩給連盟</v>
      </c>
      <c r="E4443" t="str">
        <f>"オカヤマケンキュウグンジンカンケイオンキュウレンメイ"</f>
        <v>オカヤマケンキュウグンジンカンケイオンキュウレンメイ</v>
      </c>
      <c r="F4443" t="str">
        <f>"岡山"</f>
        <v>岡山</v>
      </c>
      <c r="G4443" t="str">
        <f t="shared" si="227"/>
        <v>頻度不明</v>
      </c>
      <c r="H4443" t="str">
        <f>"2002222301554"</f>
        <v>2002222301554</v>
      </c>
      <c r="I4443" t="str">
        <f>HYPERLINK("#", "https://opac.libnet.pref.okayama.jp/licsxp-opac/WOpacMsgNewListToTifTilDetailAction.do?tilcod=2002222301554")</f>
        <v>https://opac.libnet.pref.okayama.jp/licsxp-opac/WOpacMsgNewListToTifTilDetailAction.do?tilcod=2002222301554</v>
      </c>
    </row>
    <row r="4444" spans="1:9" x14ac:dyDescent="0.4">
      <c r="A4444" t="str">
        <f>"仏子だより"</f>
        <v>仏子だより</v>
      </c>
      <c r="B4444" s="1" t="str">
        <f t="shared" si="226"/>
        <v>仏子だより</v>
      </c>
      <c r="C4444" t="str">
        <f>"ブッシ　ダヨリ"</f>
        <v>ブッシ　ダヨリ</v>
      </c>
      <c r="D4444" t="str">
        <f>"玉島浅口仏教壇信徒協議会"</f>
        <v>玉島浅口仏教壇信徒協議会</v>
      </c>
      <c r="E4444" t="str">
        <f>"タマシマアサクチブッキョウダンシントキョウギカイ"</f>
        <v>タマシマアサクチブッキョウダンシントキョウギカイ</v>
      </c>
      <c r="F4444" t="str">
        <f>"倉敷"</f>
        <v>倉敷</v>
      </c>
      <c r="G4444" t="str">
        <f t="shared" si="227"/>
        <v>頻度不明</v>
      </c>
      <c r="H4444" t="str">
        <f>"2002222300968"</f>
        <v>2002222300968</v>
      </c>
      <c r="I4444" t="str">
        <f>HYPERLINK("#", "https://opac.libnet.pref.okayama.jp/licsxp-opac/WOpacMsgNewListToTifTilDetailAction.do?tilcod=2002222300968")</f>
        <v>https://opac.libnet.pref.okayama.jp/licsxp-opac/WOpacMsgNewListToTifTilDetailAction.do?tilcod=2002222300968</v>
      </c>
    </row>
    <row r="4445" spans="1:9" x14ac:dyDescent="0.4">
      <c r="A4445" t="str">
        <f>"ぶどうばたけ；旭東公民館だより"</f>
        <v>ぶどうばたけ；旭東公民館だより</v>
      </c>
      <c r="B4445" s="1" t="str">
        <f t="shared" si="226"/>
        <v>ぶどうばたけ；旭東公民館だより</v>
      </c>
      <c r="C4445" t="str">
        <f>"ブドウ バタケ＊キョクトウ コウミンカン ダヨリ"</f>
        <v>ブドウ バタケ＊キョクトウ コウミンカン ダヨリ</v>
      </c>
      <c r="D4445" t="str">
        <f>"旭東公民館"</f>
        <v>旭東公民館</v>
      </c>
      <c r="E4445" t="str">
        <f>"キョクトウコウミンカン"</f>
        <v>キョクトウコウミンカン</v>
      </c>
      <c r="F4445" t="str">
        <f>""</f>
        <v/>
      </c>
      <c r="G4445" t="str">
        <f>"隔月刊"</f>
        <v>隔月刊</v>
      </c>
      <c r="H4445" t="str">
        <f>"2002222280144"</f>
        <v>2002222280144</v>
      </c>
      <c r="I4445" t="str">
        <f>HYPERLINK("#", "https://opac.libnet.pref.okayama.jp/licsxp-opac/WOpacMsgNewListToTifTilDetailAction.do?tilcod=2002222280144")</f>
        <v>https://opac.libnet.pref.okayama.jp/licsxp-opac/WOpacMsgNewListToTifTilDetailAction.do?tilcod=2002222280144</v>
      </c>
    </row>
    <row r="4446" spans="1:9" x14ac:dyDescent="0.4">
      <c r="A4446" t="str">
        <f>"不動産チラシ"</f>
        <v>不動産チラシ</v>
      </c>
      <c r="B4446" s="1" t="str">
        <f t="shared" si="226"/>
        <v>不動産チラシ</v>
      </c>
      <c r="C4446" t="str">
        <f>"フドウサン チラシ"</f>
        <v>フドウサン チラシ</v>
      </c>
      <c r="D4446" t="str">
        <f>"リアンデザイン事務所"</f>
        <v>リアンデザイン事務所</v>
      </c>
      <c r="E4446" t="str">
        <f>"リアン デザイン ジムショ"</f>
        <v>リアン デザイン ジムショ</v>
      </c>
      <c r="F4446" t="str">
        <f>"[岡山]"</f>
        <v>[岡山]</v>
      </c>
      <c r="G4446" t="str">
        <f>"月２回刊"</f>
        <v>月２回刊</v>
      </c>
      <c r="H4446" t="str">
        <f>"2002222332350"</f>
        <v>2002222332350</v>
      </c>
      <c r="I4446" t="str">
        <f>HYPERLINK("#", "https://opac.libnet.pref.okayama.jp/licsxp-opac/WOpacMsgNewListToTifTilDetailAction.do?tilcod=2002222332350")</f>
        <v>https://opac.libnet.pref.okayama.jp/licsxp-opac/WOpacMsgNewListToTifTilDetailAction.do?tilcod=2002222332350</v>
      </c>
    </row>
    <row r="4447" spans="1:9" x14ac:dyDescent="0.4">
      <c r="A4447" t="str">
        <f>"フナウタ"</f>
        <v>フナウタ</v>
      </c>
      <c r="B4447" s="1" t="str">
        <f t="shared" si="226"/>
        <v>フナウタ</v>
      </c>
      <c r="C4447" t="str">
        <f>"フナウタ"</f>
        <v>フナウタ</v>
      </c>
      <c r="D4447" t="str">
        <f>"もみざ会"</f>
        <v>もみざ会</v>
      </c>
      <c r="E4447" t="str">
        <f>"モミザカイ"</f>
        <v>モミザカイ</v>
      </c>
      <c r="F4447" t="str">
        <f>""</f>
        <v/>
      </c>
      <c r="G4447" t="str">
        <f>"頻度不明"</f>
        <v>頻度不明</v>
      </c>
      <c r="H4447" t="str">
        <f>"2002222309787"</f>
        <v>2002222309787</v>
      </c>
      <c r="I4447" t="str">
        <f>HYPERLINK("#", "https://opac.libnet.pref.okayama.jp/licsxp-opac/WOpacMsgNewListToTifTilDetailAction.do?tilcod=2002222309787")</f>
        <v>https://opac.libnet.pref.okayama.jp/licsxp-opac/WOpacMsgNewListToTifTilDetailAction.do?tilcod=2002222309787</v>
      </c>
    </row>
    <row r="4448" spans="1:9" x14ac:dyDescent="0.4">
      <c r="A4448" t="str">
        <f>"船穂だより"</f>
        <v>船穂だより</v>
      </c>
      <c r="B4448" s="1" t="str">
        <f t="shared" si="226"/>
        <v>船穂だより</v>
      </c>
      <c r="C4448" t="str">
        <f>"フナオ ダヨリ"</f>
        <v>フナオ ダヨリ</v>
      </c>
      <c r="D4448" t="str">
        <f>"船穂町"</f>
        <v>船穂町</v>
      </c>
      <c r="E4448" t="str">
        <f>"フナオチョウ"</f>
        <v>フナオチョウ</v>
      </c>
      <c r="F4448" t="str">
        <f>"船穂町(浅口郡)"</f>
        <v>船穂町(浅口郡)</v>
      </c>
      <c r="G4448" t="str">
        <f>"隔月刊"</f>
        <v>隔月刊</v>
      </c>
      <c r="H4448" t="str">
        <f>"2002222301716"</f>
        <v>2002222301716</v>
      </c>
      <c r="I4448" t="str">
        <f>HYPERLINK("#", "https://opac.libnet.pref.okayama.jp/licsxp-opac/WOpacMsgNewListToTifTilDetailAction.do?tilcod=2002222301716")</f>
        <v>https://opac.libnet.pref.okayama.jp/licsxp-opac/WOpacMsgNewListToTifTilDetailAction.do?tilcod=2002222301716</v>
      </c>
    </row>
    <row r="4449" spans="1:9" x14ac:dyDescent="0.4">
      <c r="A4449" t="str">
        <f>"ふなお町議会だより"</f>
        <v>ふなお町議会だより</v>
      </c>
      <c r="B4449" s="1" t="str">
        <f t="shared" si="226"/>
        <v>ふなお町議会だより</v>
      </c>
      <c r="C4449" t="str">
        <f>"フナオチョウ　ギカイ　ダヨリ"</f>
        <v>フナオチョウ　ギカイ　ダヨリ</v>
      </c>
      <c r="D4449" t="str">
        <f>"船穂町議会"</f>
        <v>船穂町議会</v>
      </c>
      <c r="E4449" t="str">
        <f>"フナオチョウギカイ"</f>
        <v>フナオチョウギカイ</v>
      </c>
      <c r="F4449" t="str">
        <f>"船穂町（浅口郡）"</f>
        <v>船穂町（浅口郡）</v>
      </c>
      <c r="G4449" t="str">
        <f>"頻度不明"</f>
        <v>頻度不明</v>
      </c>
      <c r="H4449" t="str">
        <f>"2002222284461"</f>
        <v>2002222284461</v>
      </c>
      <c r="I4449" t="str">
        <f>HYPERLINK("#", "https://opac.libnet.pref.okayama.jp/licsxp-opac/WOpacMsgNewListToTifTilDetailAction.do?tilcod=2002222284461")</f>
        <v>https://opac.libnet.pref.okayama.jp/licsxp-opac/WOpacMsgNewListToTifTilDetailAction.do?tilcod=2002222284461</v>
      </c>
    </row>
    <row r="4450" spans="1:9" x14ac:dyDescent="0.4">
      <c r="A4450" t="str">
        <f>"Brides"</f>
        <v>Brides</v>
      </c>
      <c r="B4450" s="1" t="str">
        <f t="shared" si="226"/>
        <v>Brides</v>
      </c>
      <c r="C4450" t="str">
        <f>"ブライズ"</f>
        <v>ブライズ</v>
      </c>
      <c r="D4450" t="str">
        <f>"ブライズ編集部"</f>
        <v>ブライズ編集部</v>
      </c>
      <c r="E4450" t="str">
        <f>"ブライズ ヘンシュウブ"</f>
        <v>ブライズ ヘンシュウブ</v>
      </c>
      <c r="F4450" t="str">
        <f>"岡山"</f>
        <v>岡山</v>
      </c>
      <c r="G4450" t="str">
        <f>"季刊"</f>
        <v>季刊</v>
      </c>
      <c r="H4450" t="str">
        <f>"2002222319306"</f>
        <v>2002222319306</v>
      </c>
      <c r="I4450" t="str">
        <f>HYPERLINK("#", "https://opac.libnet.pref.okayama.jp/licsxp-opac/WOpacMsgNewListToTifTilDetailAction.do?tilcod=2002222319306")</f>
        <v>https://opac.libnet.pref.okayama.jp/licsxp-opac/WOpacMsgNewListToTifTilDetailAction.do?tilcod=2002222319306</v>
      </c>
    </row>
    <row r="4451" spans="1:9" x14ac:dyDescent="0.4">
      <c r="A4451" t="str">
        <f>"ＦＬＹＩＮＧ　ＰＯＳＴＭＡＮ　ＰＲＥＳＳ（フライング・ポストマン・プレス）"</f>
        <v>ＦＬＹＩＮＧ　ＰＯＳＴＭＡＮ　ＰＲＥＳＳ（フライング・ポストマン・プレス）</v>
      </c>
      <c r="B4451" s="1" t="str">
        <f t="shared" si="226"/>
        <v>ＦＬＹＩＮＧ　ＰＯＳＴＭＡＮ　ＰＲＥＳＳ（フライング・ポストマン・プレス）</v>
      </c>
      <c r="C4451" t="str">
        <f>"フライング　ポストマン　プレス"</f>
        <v>フライング　ポストマン　プレス</v>
      </c>
      <c r="D4451" t="str">
        <f>"マルシン広告社"</f>
        <v>マルシン広告社</v>
      </c>
      <c r="E4451" t="str">
        <f>"マルシンコウコクシャ"</f>
        <v>マルシンコウコクシャ</v>
      </c>
      <c r="F4451" t="str">
        <f>"岡山"</f>
        <v>岡山</v>
      </c>
      <c r="G4451" t="str">
        <f>"月刊"</f>
        <v>月刊</v>
      </c>
      <c r="H4451" t="str">
        <f>"2002222302308"</f>
        <v>2002222302308</v>
      </c>
      <c r="I4451" t="str">
        <f>HYPERLINK("#", "https://opac.libnet.pref.okayama.jp/licsxp-opac/WOpacMsgNewListToTifTilDetailAction.do?tilcod=2002222302308")</f>
        <v>https://opac.libnet.pref.okayama.jp/licsxp-opac/WOpacMsgNewListToTifTilDetailAction.do?tilcod=2002222302308</v>
      </c>
    </row>
    <row r="4452" spans="1:9" x14ac:dyDescent="0.4">
      <c r="A4452" t="str">
        <f>"部落問題；調査と研究"</f>
        <v>部落問題；調査と研究</v>
      </c>
      <c r="B4452" s="1" t="str">
        <f t="shared" si="226"/>
        <v>部落問題；調査と研究</v>
      </c>
      <c r="C4452" t="str">
        <f>"ブラク　モンダイ＊チョウサ　ト　ケンキュウ"</f>
        <v>ブラク　モンダイ＊チョウサ　ト　ケンキュウ</v>
      </c>
      <c r="D4452" t="str">
        <f>"岡山部落問題研究所"</f>
        <v>岡山部落問題研究所</v>
      </c>
      <c r="E4452" t="str">
        <f>"オカヤマ ブラク モンダイ ケンキュウジョ"</f>
        <v>オカヤマ ブラク モンダイ ケンキュウジョ</v>
      </c>
      <c r="F4452" t="str">
        <f>"岡山"</f>
        <v>岡山</v>
      </c>
      <c r="G4452" t="str">
        <f>"隔月刊"</f>
        <v>隔月刊</v>
      </c>
      <c r="H4452" t="str">
        <f>"2002222291631"</f>
        <v>2002222291631</v>
      </c>
      <c r="I4452" t="str">
        <f>HYPERLINK("#", "https://opac.libnet.pref.okayama.jp/licsxp-opac/WOpacMsgNewListToTifTilDetailAction.do?tilcod=2002222291631")</f>
        <v>https://opac.libnet.pref.okayama.jp/licsxp-opac/WOpacMsgNewListToTifTilDetailAction.do?tilcod=2002222291631</v>
      </c>
    </row>
    <row r="4453" spans="1:9" x14ac:dyDescent="0.4">
      <c r="A4453" t="str">
        <f>"PLUG（プラグ）；プラグ岡山"</f>
        <v>PLUG（プラグ）；プラグ岡山</v>
      </c>
      <c r="B4453" s="1" t="str">
        <f t="shared" si="226"/>
        <v>PLUG（プラグ）；プラグ岡山</v>
      </c>
      <c r="C4453" t="str">
        <f>"プラグ＊プラグ　オカヤマ"</f>
        <v>プラグ＊プラグ　オカヤマ</v>
      </c>
      <c r="D4453" t="str">
        <f>"サーブ"</f>
        <v>サーブ</v>
      </c>
      <c r="E4453" t="str">
        <f>"サーブ"</f>
        <v>サーブ</v>
      </c>
      <c r="F4453" t="str">
        <f>"岡山"</f>
        <v>岡山</v>
      </c>
      <c r="G4453" t="str">
        <f>"年２回刊"</f>
        <v>年２回刊</v>
      </c>
      <c r="H4453" t="str">
        <f>"2002222300342"</f>
        <v>2002222300342</v>
      </c>
      <c r="I4453" t="str">
        <f>HYPERLINK("#", "https://opac.libnet.pref.okayama.jp/licsxp-opac/WOpacMsgNewListToTifTilDetailAction.do?tilcod=2002222300342")</f>
        <v>https://opac.libnet.pref.okayama.jp/licsxp-opac/WOpacMsgNewListToTifTilDetailAction.do?tilcod=2002222300342</v>
      </c>
    </row>
    <row r="4454" spans="1:9" x14ac:dyDescent="0.4">
      <c r="A4454" t="str">
        <f>"プラザうのだより"</f>
        <v>プラザうのだより</v>
      </c>
      <c r="B4454" s="1" t="str">
        <f t="shared" si="226"/>
        <v>プラザうのだより</v>
      </c>
      <c r="C4454" t="str">
        <f>"プラザ ウノ ダヨリ"</f>
        <v>プラザ ウノ ダヨリ</v>
      </c>
      <c r="D4454" t="str">
        <f>"岡山市福祉交流プラザうの"</f>
        <v>岡山市福祉交流プラザうの</v>
      </c>
      <c r="E4454" t="str">
        <f>"オカヤマシ フクシ コウリュウ プラザ ウノ"</f>
        <v>オカヤマシ フクシ コウリュウ プラザ ウノ</v>
      </c>
      <c r="F4454" t="str">
        <f>"岡山"</f>
        <v>岡山</v>
      </c>
      <c r="G4454" t="str">
        <f>"不定期刊"</f>
        <v>不定期刊</v>
      </c>
      <c r="H4454" t="str">
        <f>"2002222336190"</f>
        <v>2002222336190</v>
      </c>
      <c r="I4454" t="str">
        <f>HYPERLINK("#", "https://opac.libnet.pref.okayama.jp/licsxp-opac/WOpacMsgNewListToTifTilDetailAction.do?tilcod=2002222336190")</f>
        <v>https://opac.libnet.pref.okayama.jp/licsxp-opac/WOpacMsgNewListToTifTilDetailAction.do?tilcod=2002222336190</v>
      </c>
    </row>
    <row r="4455" spans="1:9" x14ac:dyDescent="0.4">
      <c r="A4455" t="str">
        <f>"プラザくめなん"</f>
        <v>プラザくめなん</v>
      </c>
      <c r="B4455" s="1" t="str">
        <f t="shared" si="226"/>
        <v>プラザくめなん</v>
      </c>
      <c r="C4455" t="str">
        <f>"プラザ　クメナン"</f>
        <v>プラザ　クメナン</v>
      </c>
      <c r="D4455" t="str">
        <f>"久米南町中央公民館"</f>
        <v>久米南町中央公民館</v>
      </c>
      <c r="E4455" t="str">
        <f>"クメナンチヨウチユウオウコウミンカン"</f>
        <v>クメナンチヨウチユウオウコウミンカン</v>
      </c>
      <c r="F4455" t="str">
        <f>"久米南町（久米郡）"</f>
        <v>久米南町（久米郡）</v>
      </c>
      <c r="G4455" t="str">
        <f>"頻度不明"</f>
        <v>頻度不明</v>
      </c>
      <c r="H4455" t="str">
        <f>"2002222293721"</f>
        <v>2002222293721</v>
      </c>
      <c r="I4455" t="str">
        <f>HYPERLINK("#", "https://opac.libnet.pref.okayama.jp/licsxp-opac/WOpacMsgNewListToTifTilDetailAction.do?tilcod=2002222293721")</f>
        <v>https://opac.libnet.pref.okayama.jp/licsxp-opac/WOpacMsgNewListToTifTilDetailAction.do?tilcod=2002222293721</v>
      </c>
    </row>
    <row r="4456" spans="1:9" x14ac:dyDescent="0.4">
      <c r="A4456" t="str">
        <f>"プラザ さいでん だより"</f>
        <v>プラザ さいでん だより</v>
      </c>
      <c r="B4456" s="1" t="str">
        <f t="shared" si="226"/>
        <v>プラザ さいでん だより</v>
      </c>
      <c r="C4456" t="str">
        <f>"プラザ サイデン ダヨリ"</f>
        <v>プラザ サイデン ダヨリ</v>
      </c>
      <c r="D4456" t="str">
        <f>"岡山市福祉交流プラザさいでん"</f>
        <v>岡山市福祉交流プラザさいでん</v>
      </c>
      <c r="E4456" t="str">
        <f>"オカヤマシ フクシ コウリュウ プラザ サイデン"</f>
        <v>オカヤマシ フクシ コウリュウ プラザ サイデン</v>
      </c>
      <c r="F4456" t="str">
        <f>"岡山"</f>
        <v>岡山</v>
      </c>
      <c r="G4456" t="str">
        <f>"不定期刊"</f>
        <v>不定期刊</v>
      </c>
      <c r="H4456" t="str">
        <f>"2002222336189"</f>
        <v>2002222336189</v>
      </c>
      <c r="I4456" t="str">
        <f>HYPERLINK("#", "https://opac.libnet.pref.okayama.jp/licsxp-opac/WOpacMsgNewListToTifTilDetailAction.do?tilcod=2002222336189")</f>
        <v>https://opac.libnet.pref.okayama.jp/licsxp-opac/WOpacMsgNewListToTifTilDetailAction.do?tilcod=2002222336189</v>
      </c>
    </row>
    <row r="4457" spans="1:9" x14ac:dyDescent="0.4">
      <c r="A4457" t="str">
        <f>"プラザ三友"</f>
        <v>プラザ三友</v>
      </c>
      <c r="B4457" s="1" t="str">
        <f t="shared" si="226"/>
        <v>プラザ三友</v>
      </c>
      <c r="C4457" t="str">
        <f>"プラザ サンユウ"</f>
        <v>プラザ サンユウ</v>
      </c>
      <c r="D4457" t="str">
        <f>"岡山市福祉交流プラザ三友"</f>
        <v>岡山市福祉交流プラザ三友</v>
      </c>
      <c r="E4457" t="str">
        <f>"オカヤマシ フクシ コウリュウ プラザ サンユウ"</f>
        <v>オカヤマシ フクシ コウリュウ プラザ サンユウ</v>
      </c>
      <c r="F4457" t="str">
        <f>"岡山"</f>
        <v>岡山</v>
      </c>
      <c r="G4457" t="str">
        <f>"頻度不明"</f>
        <v>頻度不明</v>
      </c>
      <c r="H4457" t="str">
        <f>"2002222334747"</f>
        <v>2002222334747</v>
      </c>
      <c r="I4457" t="str">
        <f>HYPERLINK("#", "https://opac.libnet.pref.okayama.jp/licsxp-opac/WOpacMsgNewListToTifTilDetailAction.do?tilcod=2002222334747")</f>
        <v>https://opac.libnet.pref.okayama.jp/licsxp-opac/WOpacMsgNewListToTifTilDetailAction.do?tilcod=2002222334747</v>
      </c>
    </row>
    <row r="4458" spans="1:9" x14ac:dyDescent="0.4">
      <c r="A4458" t="str">
        <f>"プラザ建部だより"</f>
        <v>プラザ建部だより</v>
      </c>
      <c r="B4458" s="1" t="str">
        <f t="shared" si="226"/>
        <v>プラザ建部だより</v>
      </c>
      <c r="C4458" t="str">
        <f>"プラザ タケベ ダヨリ"</f>
        <v>プラザ タケベ ダヨリ</v>
      </c>
      <c r="D4458" t="str">
        <f>"岡山市福祉交流プラザ建部"</f>
        <v>岡山市福祉交流プラザ建部</v>
      </c>
      <c r="E4458" t="str">
        <f>"オカヤマシ フクシ コウリュウ プラザ タケベ"</f>
        <v>オカヤマシ フクシ コウリュウ プラザ タケベ</v>
      </c>
      <c r="F4458" t="str">
        <f>"岡山"</f>
        <v>岡山</v>
      </c>
      <c r="G4458" t="str">
        <f>"季刊"</f>
        <v>季刊</v>
      </c>
      <c r="H4458" t="str">
        <f>"2002222337853"</f>
        <v>2002222337853</v>
      </c>
      <c r="I4458" t="str">
        <f>HYPERLINK("#", "https://opac.libnet.pref.okayama.jp/licsxp-opac/WOpacMsgNewListToTifTilDetailAction.do?tilcod=2002222337853")</f>
        <v>https://opac.libnet.pref.okayama.jp/licsxp-opac/WOpacMsgNewListToTifTilDetailAction.do?tilcod=2002222337853</v>
      </c>
    </row>
    <row r="4459" spans="1:9" x14ac:dyDescent="0.4">
      <c r="A4459" t="str">
        <f>"プラザ富原だより"</f>
        <v>プラザ富原だより</v>
      </c>
      <c r="B4459" s="1" t="str">
        <f t="shared" si="226"/>
        <v>プラザ富原だより</v>
      </c>
      <c r="C4459" t="str">
        <f>"プラザ トミハラ ダヨリ"</f>
        <v>プラザ トミハラ ダヨリ</v>
      </c>
      <c r="D4459" t="str">
        <f>"岡山市福祉交流プラザ富原"</f>
        <v>岡山市福祉交流プラザ富原</v>
      </c>
      <c r="E4459" t="str">
        <f>"オカヤマシ フクシ コウリュウ プラザ トミハラ"</f>
        <v>オカヤマシ フクシ コウリュウ プラザ トミハラ</v>
      </c>
      <c r="F4459" t="str">
        <f>"岡山"</f>
        <v>岡山</v>
      </c>
      <c r="G4459" t="str">
        <f>"不定期刊"</f>
        <v>不定期刊</v>
      </c>
      <c r="H4459" t="str">
        <f>"2002222336087"</f>
        <v>2002222336087</v>
      </c>
      <c r="I4459" t="str">
        <f>HYPERLINK("#", "https://opac.libnet.pref.okayama.jp/licsxp-opac/WOpacMsgNewListToTifTilDetailAction.do?tilcod=2002222336087")</f>
        <v>https://opac.libnet.pref.okayama.jp/licsxp-opac/WOpacMsgNewListToTifTilDetailAction.do?tilcod=2002222336087</v>
      </c>
    </row>
    <row r="4460" spans="1:9" x14ac:dyDescent="0.4">
      <c r="A4460" t="str">
        <f>"プラス・ワン"</f>
        <v>プラス・ワン</v>
      </c>
      <c r="B4460" s="1" t="str">
        <f t="shared" si="226"/>
        <v>プラス・ワン</v>
      </c>
      <c r="C4460" t="str">
        <f>"プラス　ワン"</f>
        <v>プラス　ワン</v>
      </c>
      <c r="D4460" t="str">
        <f>"プラス・ワンの会"</f>
        <v>プラス・ワンの会</v>
      </c>
      <c r="E4460" t="str">
        <f>"プラスワンノカイ"</f>
        <v>プラスワンノカイ</v>
      </c>
      <c r="F4460" t="str">
        <f>""</f>
        <v/>
      </c>
      <c r="G4460" t="str">
        <f>"頻度不明"</f>
        <v>頻度不明</v>
      </c>
      <c r="H4460" t="str">
        <f>"2002222280154"</f>
        <v>2002222280154</v>
      </c>
      <c r="I4460" t="str">
        <f>HYPERLINK("#", "https://opac.libnet.pref.okayama.jp/licsxp-opac/WOpacMsgNewListToTifTilDetailAction.do?tilcod=2002222280154")</f>
        <v>https://opac.libnet.pref.okayama.jp/licsxp-opac/WOpacMsgNewListToTifTilDetailAction.do?tilcod=2002222280154</v>
      </c>
    </row>
    <row r="4461" spans="1:9" x14ac:dyDescent="0.4">
      <c r="A4461" t="str">
        <f>"フラッシュ真庭；こんにちは！振興局です！"</f>
        <v>フラッシュ真庭；こんにちは！振興局です！</v>
      </c>
      <c r="B4461" s="1" t="str">
        <f t="shared" si="226"/>
        <v>フラッシュ真庭；こんにちは！振興局です！</v>
      </c>
      <c r="C4461" t="str">
        <f>"フラッシュ　マニワ＊コンニチワ　シンコウキョク　デス"</f>
        <v>フラッシュ　マニワ＊コンニチワ　シンコウキョク　デス</v>
      </c>
      <c r="D4461" t="str">
        <f>"岡山県真庭地方振興局地域振興室"</f>
        <v>岡山県真庭地方振興局地域振興室</v>
      </c>
      <c r="E4461" t="str">
        <f>"オカヤマケンマニワチホウシンコウキョクチイキシンコウシツ"</f>
        <v>オカヤマケンマニワチホウシンコウキョクチイキシンコウシツ</v>
      </c>
      <c r="F4461" t="str">
        <f>"勝山町（真庭郡）"</f>
        <v>勝山町（真庭郡）</v>
      </c>
      <c r="G4461" t="str">
        <f>"年３回刊"</f>
        <v>年３回刊</v>
      </c>
      <c r="H4461" t="str">
        <f>"2002222300892"</f>
        <v>2002222300892</v>
      </c>
      <c r="I4461" t="str">
        <f>HYPERLINK("#", "https://opac.libnet.pref.okayama.jp/licsxp-opac/WOpacMsgNewListToTifTilDetailAction.do?tilcod=2002222300892")</f>
        <v>https://opac.libnet.pref.okayama.jp/licsxp-opac/WOpacMsgNewListToTifTilDetailAction.do?tilcod=2002222300892</v>
      </c>
    </row>
    <row r="4462" spans="1:9" x14ac:dyDescent="0.4">
      <c r="A4462" t="str">
        <f>"ぷらっと西川（英語版）"</f>
        <v>ぷらっと西川（英語版）</v>
      </c>
      <c r="B4462" s="1" t="str">
        <f t="shared" si="226"/>
        <v>ぷらっと西川（英語版）</v>
      </c>
      <c r="C4462" t="str">
        <f>"プラット ニシガワ"</f>
        <v>プラット ニシガワ</v>
      </c>
      <c r="D4462" t="str">
        <f>"PuraNishi(Nishigawa Area Council)"</f>
        <v>PuraNishi(Nishigawa Area Council)</v>
      </c>
      <c r="E4462" t="str">
        <f>"ニシガワ エリア マチ ソダテ キョウギタイ"</f>
        <v>ニシガワ エリア マチ ソダテ キョウギタイ</v>
      </c>
      <c r="F4462" t="str">
        <f>"岡山"</f>
        <v>岡山</v>
      </c>
      <c r="G4462" t="str">
        <f>"頻度不明"</f>
        <v>頻度不明</v>
      </c>
      <c r="H4462" t="str">
        <f>"2002222334287"</f>
        <v>2002222334287</v>
      </c>
      <c r="I4462" t="str">
        <f>HYPERLINK("#", "https://opac.libnet.pref.okayama.jp/licsxp-opac/WOpacMsgNewListToTifTilDetailAction.do?tilcod=2002222334287")</f>
        <v>https://opac.libnet.pref.okayama.jp/licsxp-opac/WOpacMsgNewListToTifTilDetailAction.do?tilcod=2002222334287</v>
      </c>
    </row>
    <row r="4463" spans="1:9" x14ac:dyDescent="0.4">
      <c r="A4463" t="str">
        <f>"ぷらっと西川 ; 西川エリアを楽しむ・味わうフリーペーパー"</f>
        <v>ぷらっと西川 ; 西川エリアを楽しむ・味わうフリーペーパー</v>
      </c>
      <c r="B4463" s="1" t="str">
        <f t="shared" si="226"/>
        <v>ぷらっと西川 ; 西川エリアを楽しむ・味わうフリーペーパー</v>
      </c>
      <c r="C4463" t="str">
        <f>"プラット ニシガワ ニシガワ エリア オ タノシム アジワウ フリーペーパー"</f>
        <v>プラット ニシガワ ニシガワ エリア オ タノシム アジワウ フリーペーパー</v>
      </c>
      <c r="D4463" t="str">
        <f>"ぷらっと西川（プラにし）"</f>
        <v>ぷらっと西川（プラにし）</v>
      </c>
      <c r="E4463" t="str">
        <f>"プラット ニシガワ プラニシ"</f>
        <v>プラット ニシガワ プラニシ</v>
      </c>
      <c r="F4463" t="str">
        <f>"岡山"</f>
        <v>岡山</v>
      </c>
      <c r="G4463" t="str">
        <f>"不定期刊"</f>
        <v>不定期刊</v>
      </c>
      <c r="H4463" t="str">
        <f>"2002222332109"</f>
        <v>2002222332109</v>
      </c>
      <c r="I4463" t="str">
        <f>HYPERLINK("#", "https://opac.libnet.pref.okayama.jp/licsxp-opac/WOpacMsgNewListToTifTilDetailAction.do?tilcod=2002222332109")</f>
        <v>https://opac.libnet.pref.okayama.jp/licsxp-opac/WOpacMsgNewListToTifTilDetailAction.do?tilcod=2002222332109</v>
      </c>
    </row>
    <row r="4464" spans="1:9" x14ac:dyDescent="0.4">
      <c r="A4464" t="str">
        <f>"プラネタリウム　ＯＫＡＹＡＭＡ"</f>
        <v>プラネタリウム　ＯＫＡＹＡＭＡ</v>
      </c>
      <c r="B4464" s="1" t="str">
        <f t="shared" si="226"/>
        <v>プラネタリウム　ＯＫＡＹＡＭＡ</v>
      </c>
      <c r="C4464" t="str">
        <f>"プラネタリウム　オカヤマ"</f>
        <v>プラネタリウム　オカヤマ</v>
      </c>
      <c r="D4464" t="str">
        <f>"岡山県立児童会館"</f>
        <v>岡山県立児童会館</v>
      </c>
      <c r="E4464" t="str">
        <f>"オカヤマケンリツジドウカイカン"</f>
        <v>オカヤマケンリツジドウカイカン</v>
      </c>
      <c r="F4464" t="str">
        <f>"岡山"</f>
        <v>岡山</v>
      </c>
      <c r="G4464" t="str">
        <f>"季刊"</f>
        <v>季刊</v>
      </c>
      <c r="H4464" t="str">
        <f>"2002222281791"</f>
        <v>2002222281791</v>
      </c>
      <c r="I4464" t="str">
        <f>HYPERLINK("#", "https://opac.libnet.pref.okayama.jp/licsxp-opac/WOpacMsgNewListToTifTilDetailAction.do?tilcod=2002222281791")</f>
        <v>https://opac.libnet.pref.okayama.jp/licsxp-opac/WOpacMsgNewListToTifTilDetailAction.do?tilcod=2002222281791</v>
      </c>
    </row>
    <row r="4465" spans="1:9" x14ac:dyDescent="0.4">
      <c r="A4465" t="str">
        <f>"ブラポート"</f>
        <v>ブラポート</v>
      </c>
      <c r="B4465" s="1" t="str">
        <f t="shared" si="226"/>
        <v>ブラポート</v>
      </c>
      <c r="C4465" t="str">
        <f>"ブラポート"</f>
        <v>ブラポート</v>
      </c>
      <c r="D4465" t="str">
        <f>"岡山結婚銀行出版部"</f>
        <v>岡山結婚銀行出版部</v>
      </c>
      <c r="E4465" t="str">
        <f>"オカヤマ ケッコン ギンコウ シュッパンブ"</f>
        <v>オカヤマ ケッコン ギンコウ シュッパンブ</v>
      </c>
      <c r="F4465" t="str">
        <f>"岡山"</f>
        <v>岡山</v>
      </c>
      <c r="G4465" t="str">
        <f>"頻度不明"</f>
        <v>頻度不明</v>
      </c>
      <c r="H4465" t="str">
        <f>"2002222313586"</f>
        <v>2002222313586</v>
      </c>
      <c r="I4465" t="str">
        <f>HYPERLINK("#", "https://opac.libnet.pref.okayama.jp/licsxp-opac/WOpacMsgNewListToTifTilDetailAction.do?tilcod=2002222313586")</f>
        <v>https://opac.libnet.pref.okayama.jp/licsxp-opac/WOpacMsgNewListToTifTilDetailAction.do?tilcod=2002222313586</v>
      </c>
    </row>
    <row r="4466" spans="1:9" x14ac:dyDescent="0.4">
      <c r="A4466" t="str">
        <f>"ＦＲＡＮＫ（フランク）"</f>
        <v>ＦＲＡＮＫ（フランク）</v>
      </c>
      <c r="B4466" s="1" t="str">
        <f t="shared" si="226"/>
        <v>ＦＲＡＮＫ（フランク）</v>
      </c>
      <c r="C4466" t="str">
        <f>"フランク"</f>
        <v>フランク</v>
      </c>
      <c r="D4466" t="str">
        <f>"アイアンドエフ"</f>
        <v>アイアンドエフ</v>
      </c>
      <c r="E4466" t="str">
        <f>"アイアンドエフ"</f>
        <v>アイアンドエフ</v>
      </c>
      <c r="F4466" t="str">
        <f>"岡山"</f>
        <v>岡山</v>
      </c>
      <c r="G4466" t="str">
        <f>"季刊"</f>
        <v>季刊</v>
      </c>
      <c r="H4466" t="str">
        <f>"2002222300340"</f>
        <v>2002222300340</v>
      </c>
      <c r="I4466" t="str">
        <f>HYPERLINK("#", "https://opac.libnet.pref.okayama.jp/licsxp-opac/WOpacMsgNewListToTifTilDetailAction.do?tilcod=2002222300340")</f>
        <v>https://opac.libnet.pref.okayama.jp/licsxp-opac/WOpacMsgNewListToTifTilDetailAction.do?tilcod=2002222300340</v>
      </c>
    </row>
    <row r="4467" spans="1:9" x14ac:dyDescent="0.4">
      <c r="A4467" t="str">
        <f>"Freppa早島(フリッパ早島)；フリーペーパー早島観光ナビ"</f>
        <v>Freppa早島(フリッパ早島)；フリーペーパー早島観光ナビ</v>
      </c>
      <c r="B4467" s="1" t="str">
        <f t="shared" si="226"/>
        <v>Freppa早島(フリッパ早島)；フリーペーパー早島観光ナビ</v>
      </c>
      <c r="C4467" t="str">
        <f>"フリッパ ハヤシマ*フリーペーパー ハヤシマ カンコウ ナビ"</f>
        <v>フリッパ ハヤシマ*フリーペーパー ハヤシマ カンコウ ナビ</v>
      </c>
      <c r="D4467" t="str">
        <f>"つくぼ商工会早島支所"</f>
        <v>つくぼ商工会早島支所</v>
      </c>
      <c r="E4467" t="str">
        <f>"ツクボ ショウコウカイ ハヤシマ シショ"</f>
        <v>ツクボ ショウコウカイ ハヤシマ シショ</v>
      </c>
      <c r="F4467" t="str">
        <f>""</f>
        <v/>
      </c>
      <c r="G4467" t="str">
        <f>"頻度不明"</f>
        <v>頻度不明</v>
      </c>
      <c r="H4467" t="str">
        <f>"2002222308847"</f>
        <v>2002222308847</v>
      </c>
      <c r="I4467" t="str">
        <f>HYPERLINK("#", "https://opac.libnet.pref.okayama.jp/licsxp-opac/WOpacMsgNewListToTifTilDetailAction.do?tilcod=2002222308847")</f>
        <v>https://opac.libnet.pref.okayama.jp/licsxp-opac/WOpacMsgNewListToTifTilDetailAction.do?tilcod=2002222308847</v>
      </c>
    </row>
    <row r="4468" spans="1:9" x14ac:dyDescent="0.4">
      <c r="A4468" t="str">
        <f>"プリティWorkin(ワーキン)"</f>
        <v>プリティWorkin(ワーキン)</v>
      </c>
      <c r="B4468" s="1" t="str">
        <f t="shared" si="226"/>
        <v>プリティWorkin(ワーキン)</v>
      </c>
      <c r="C4468" t="str">
        <f>"プリティ ワーキン"</f>
        <v>プリティ ワーキン</v>
      </c>
      <c r="D4468" t="str">
        <f>"廣済堂"</f>
        <v>廣済堂</v>
      </c>
      <c r="E4468" t="str">
        <f>"コウサイドウ"</f>
        <v>コウサイドウ</v>
      </c>
      <c r="F4468" t="str">
        <f>"岡山"</f>
        <v>岡山</v>
      </c>
      <c r="G4468" t="str">
        <f>"隔週刊"</f>
        <v>隔週刊</v>
      </c>
      <c r="H4468" t="str">
        <f>"2002222319207"</f>
        <v>2002222319207</v>
      </c>
      <c r="I4468" t="str">
        <f>HYPERLINK("#", "https://opac.libnet.pref.okayama.jp/licsxp-opac/WOpacMsgNewListToTifTilDetailAction.do?tilcod=2002222319207")</f>
        <v>https://opac.libnet.pref.okayama.jp/licsxp-opac/WOpacMsgNewListToTifTilDetailAction.do?tilcod=2002222319207</v>
      </c>
    </row>
    <row r="4469" spans="1:9" x14ac:dyDescent="0.4">
      <c r="A4469" t="str">
        <f>"ブリテン会誌"</f>
        <v>ブリテン会誌</v>
      </c>
      <c r="B4469" s="1" t="str">
        <f t="shared" si="226"/>
        <v>ブリテン会誌</v>
      </c>
      <c r="C4469" t="str">
        <f>"ブリテン カイシ"</f>
        <v>ブリテン カイシ</v>
      </c>
      <c r="D4469" t="str">
        <f>"岡山大学医学部砂田外科教室輸血研究班"</f>
        <v>岡山大学医学部砂田外科教室輸血研究班</v>
      </c>
      <c r="E4469" t="str">
        <f>"オカヤマ ダイガク イガクブ スナダ ゲカ キョウシツ ユケツ ケンキュウハン"</f>
        <v>オカヤマ ダイガク イガクブ スナダ ゲカ キョウシツ ユケツ ケンキュウハン</v>
      </c>
      <c r="F4469" t="str">
        <f>""</f>
        <v/>
      </c>
      <c r="G4469" t="str">
        <f>"日刊"</f>
        <v>日刊</v>
      </c>
      <c r="H4469" t="str">
        <f>"2002222333626"</f>
        <v>2002222333626</v>
      </c>
      <c r="I4469" t="str">
        <f>HYPERLINK("#", "https://opac.libnet.pref.okayama.jp/licsxp-opac/WOpacMsgNewListToTifTilDetailAction.do?tilcod=2002222333626")</f>
        <v>https://opac.libnet.pref.okayama.jp/licsxp-opac/WOpacMsgNewListToTifTilDetailAction.do?tilcod=2002222333626</v>
      </c>
    </row>
    <row r="4470" spans="1:9" x14ac:dyDescent="0.4">
      <c r="A4470" t="str">
        <f>"Flugel(フリューゲル);岡山シンフォニーホール会報誌 "</f>
        <v xml:space="preserve">Flugel(フリューゲル);岡山シンフォニーホール会報誌 </v>
      </c>
      <c r="B4470" s="1" t="str">
        <f t="shared" si="226"/>
        <v xml:space="preserve">Flugel(フリューゲル);岡山シンフォニーホール会報誌 </v>
      </c>
      <c r="C4470" t="str">
        <f>"フリューゲル＊オカヤマ シンフォニー ホール カイホウシ "</f>
        <v xml:space="preserve">フリューゲル＊オカヤマ シンフォニー ホール カイホウシ </v>
      </c>
      <c r="D4470" t="str">
        <f>"岡山文化芸術創造"</f>
        <v>岡山文化芸術創造</v>
      </c>
      <c r="E4470" t="str">
        <f>"オカヤマ ブンカ ゲイジュツ ソウゾウ"</f>
        <v>オカヤマ ブンカ ゲイジュツ ソウゾウ</v>
      </c>
      <c r="F4470" t="str">
        <f>"岡山"</f>
        <v>岡山</v>
      </c>
      <c r="G4470" t="str">
        <f>"季刊"</f>
        <v>季刊</v>
      </c>
      <c r="H4470" t="str">
        <f>"2002222313926"</f>
        <v>2002222313926</v>
      </c>
      <c r="I4470" t="str">
        <f>HYPERLINK("#", "https://opac.libnet.pref.okayama.jp/licsxp-opac/WOpacMsgNewListToTifTilDetailAction.do?tilcod=2002222313926")</f>
        <v>https://opac.libnet.pref.okayama.jp/licsxp-opac/WOpacMsgNewListToTifTilDetailAction.do?tilcod=2002222313926</v>
      </c>
    </row>
    <row r="4471" spans="1:9" x14ac:dyDescent="0.4">
      <c r="A4471" t="str">
        <f>"Ｆｌｕｇｅｌ（フリューゲル）；岡山シンフォニーホール催物ご案内"</f>
        <v>Ｆｌｕｇｅｌ（フリューゲル）；岡山シンフォニーホール催物ご案内</v>
      </c>
      <c r="B4471" s="1" t="str">
        <f t="shared" si="226"/>
        <v>Ｆｌｕｇｅｌ（フリューゲル）；岡山シンフォニーホール催物ご案内</v>
      </c>
      <c r="C4471" t="str">
        <f>"フリューゲル＊オカヤマ　シンフォニー　ホール　モヨオシモノ　ゴ　アンナイ"</f>
        <v>フリューゲル＊オカヤマ　シンフォニー　ホール　モヨオシモノ　ゴ　アンナイ</v>
      </c>
      <c r="D4471" t="str">
        <f>"岡山シンフォニーホール"</f>
        <v>岡山シンフォニーホール</v>
      </c>
      <c r="E4471" t="str">
        <f>"オカヤマ シンフォニー ホール"</f>
        <v>オカヤマ シンフォニー ホール</v>
      </c>
      <c r="F4471" t="str">
        <f>"岡山"</f>
        <v>岡山</v>
      </c>
      <c r="G4471" t="str">
        <f>"隔月刊"</f>
        <v>隔月刊</v>
      </c>
      <c r="H4471" t="str">
        <f>"2002222301661"</f>
        <v>2002222301661</v>
      </c>
      <c r="I4471" t="str">
        <f>HYPERLINK("#", "https://opac.libnet.pref.okayama.jp/licsxp-opac/WOpacMsgNewListToTifTilDetailAction.do?tilcod=2002222301661")</f>
        <v>https://opac.libnet.pref.okayama.jp/licsxp-opac/WOpacMsgNewListToTifTilDetailAction.do?tilcod=2002222301661</v>
      </c>
    </row>
    <row r="4472" spans="1:9" x14ac:dyDescent="0.4">
      <c r="A4472" t="str">
        <f>"ふるさと"</f>
        <v>ふるさと</v>
      </c>
      <c r="B4472" s="1" t="str">
        <f t="shared" si="226"/>
        <v>ふるさと</v>
      </c>
      <c r="C4472" t="str">
        <f>"フルサト"</f>
        <v>フルサト</v>
      </c>
      <c r="D4472" t="str">
        <f>"倉敷市立南海高等学校"</f>
        <v>倉敷市立南海高等学校</v>
      </c>
      <c r="E4472" t="str">
        <f>"クラシキシリツ ナンカイ コウトウ ガッコウ"</f>
        <v>クラシキシリツ ナンカイ コウトウ ガッコウ</v>
      </c>
      <c r="F4472" t="str">
        <f>"倉敷"</f>
        <v>倉敷</v>
      </c>
      <c r="G4472" t="str">
        <f>"年刊"</f>
        <v>年刊</v>
      </c>
      <c r="H4472" t="str">
        <f>"2002222338930"</f>
        <v>2002222338930</v>
      </c>
      <c r="I4472" t="str">
        <f>HYPERLINK("#", "https://opac.libnet.pref.okayama.jp/licsxp-opac/WOpacMsgNewListToTifTilDetailAction.do?tilcod=2002222338930")</f>
        <v>https://opac.libnet.pref.okayama.jp/licsxp-opac/WOpacMsgNewListToTifTilDetailAction.do?tilcod=2002222338930</v>
      </c>
    </row>
    <row r="4473" spans="1:9" x14ac:dyDescent="0.4">
      <c r="A4473" t="str">
        <f>"ｆｕｒｕｓａｔｏ　ｉｃｈｉｂａｎ（フルサト　イチバン）"</f>
        <v>ｆｕｒｕｓａｔｏ　ｉｃｈｉｂａｎ（フルサト　イチバン）</v>
      </c>
      <c r="B4473" s="1" t="str">
        <f t="shared" si="226"/>
        <v>ｆｕｒｕｓａｔｏ　ｉｃｈｉｂａｎ（フルサト　イチバン）</v>
      </c>
      <c r="C4473" t="str">
        <f>"フルサト　イチバン"</f>
        <v>フルサト　イチバン</v>
      </c>
      <c r="D4473" t="str">
        <f>"エムシーグループ"</f>
        <v>エムシーグループ</v>
      </c>
      <c r="E4473" t="str">
        <f>"エムシーグループ"</f>
        <v>エムシーグループ</v>
      </c>
      <c r="F4473" t="str">
        <f>"総社"</f>
        <v>総社</v>
      </c>
      <c r="G4473" t="str">
        <f>"不定期刊"</f>
        <v>不定期刊</v>
      </c>
      <c r="H4473" t="str">
        <f>"2002222302133"</f>
        <v>2002222302133</v>
      </c>
      <c r="I4473" t="str">
        <f>HYPERLINK("#", "https://opac.libnet.pref.okayama.jp/licsxp-opac/WOpacMsgNewListToTifTilDetailAction.do?tilcod=2002222302133")</f>
        <v>https://opac.libnet.pref.okayama.jp/licsxp-opac/WOpacMsgNewListToTifTilDetailAction.do?tilcod=2002222302133</v>
      </c>
    </row>
    <row r="4474" spans="1:9" x14ac:dyDescent="0.4">
      <c r="A4474" t="str">
        <f>"ふるさとを守ろう"</f>
        <v>ふるさとを守ろう</v>
      </c>
      <c r="B4474" s="1" t="str">
        <f t="shared" si="226"/>
        <v>ふるさとを守ろう</v>
      </c>
      <c r="C4474" t="str">
        <f>"フルサト オ マモロウ"</f>
        <v>フルサト オ マモロウ</v>
      </c>
      <c r="D4474" t="str">
        <f>"美作の自然と文化財を守る会"</f>
        <v>美作の自然と文化財を守る会</v>
      </c>
      <c r="E4474" t="str">
        <f>"ミマサカ ノ シゼン ト ブンカザイ オ マモル カイ"</f>
        <v>ミマサカ ノ シゼン ト ブンカザイ オ マモル カイ</v>
      </c>
      <c r="F4474" t="str">
        <f>""</f>
        <v/>
      </c>
      <c r="G4474" t="str">
        <f>"頻度不明"</f>
        <v>頻度不明</v>
      </c>
      <c r="H4474" t="str">
        <f>"2002222280184"</f>
        <v>2002222280184</v>
      </c>
      <c r="I4474" t="str">
        <f>HYPERLINK("#", "https://opac.libnet.pref.okayama.jp/licsxp-opac/WOpacMsgNewListToTifTilDetailAction.do?tilcod=2002222280184")</f>
        <v>https://opac.libnet.pref.okayama.jp/licsxp-opac/WOpacMsgNewListToTifTilDetailAction.do?tilcod=2002222280184</v>
      </c>
    </row>
    <row r="4475" spans="1:9" x14ac:dyDescent="0.4">
      <c r="A4475" t="str">
        <f>"ふるさとだより　うしまど"</f>
        <v>ふるさとだより　うしまど</v>
      </c>
      <c r="B4475" s="1" t="str">
        <f t="shared" si="226"/>
        <v>ふるさとだより　うしまど</v>
      </c>
      <c r="C4475" t="str">
        <f>"フルサト　ダヨリ　ウシマド"</f>
        <v>フルサト　ダヨリ　ウシマド</v>
      </c>
      <c r="D4475" t="str">
        <f>"ふるさと村うしまど会"</f>
        <v>ふるさと村うしまど会</v>
      </c>
      <c r="E4475" t="str">
        <f>"フルサトムラウシマドカイ"</f>
        <v>フルサトムラウシマドカイ</v>
      </c>
      <c r="F4475" t="str">
        <f>""</f>
        <v/>
      </c>
      <c r="G4475" t="str">
        <f>"頻度不明"</f>
        <v>頻度不明</v>
      </c>
      <c r="H4475" t="str">
        <f>"2002222280194"</f>
        <v>2002222280194</v>
      </c>
      <c r="I4475" t="str">
        <f>HYPERLINK("#", "https://opac.libnet.pref.okayama.jp/licsxp-opac/WOpacMsgNewListToTifTilDetailAction.do?tilcod=2002222280194")</f>
        <v>https://opac.libnet.pref.okayama.jp/licsxp-opac/WOpacMsgNewListToTifTilDetailAction.do?tilcod=2002222280194</v>
      </c>
    </row>
    <row r="4476" spans="1:9" x14ac:dyDescent="0.4">
      <c r="A4476" t="str">
        <f>"古本もくろく(古本目録) 吉備だより"</f>
        <v>古本もくろく(古本目録) 吉備だより</v>
      </c>
      <c r="B4476" s="1" t="str">
        <f t="shared" si="226"/>
        <v>古本もくろく(古本目録) 吉備だより</v>
      </c>
      <c r="C4476" t="str">
        <f>"フルホン モクロク キビ ダヨリ"</f>
        <v>フルホン モクロク キビ ダヨリ</v>
      </c>
      <c r="D4476" t="str">
        <f>"[吉備だより同人]"</f>
        <v>[吉備だより同人]</v>
      </c>
      <c r="E4476" t="str">
        <f>"キビ ダヨリ ドウジン"</f>
        <v>キビ ダヨリ ドウジン</v>
      </c>
      <c r="F4476" t="str">
        <f>"[岡山]"</f>
        <v>[岡山]</v>
      </c>
      <c r="G4476" t="str">
        <f>"隔月刊"</f>
        <v>隔月刊</v>
      </c>
      <c r="H4476" t="str">
        <f>"2002222333148"</f>
        <v>2002222333148</v>
      </c>
      <c r="I4476" t="str">
        <f>HYPERLINK("#", "https://opac.libnet.pref.okayama.jp/licsxp-opac/WOpacMsgNewListToTifTilDetailAction.do?tilcod=2002222333148")</f>
        <v>https://opac.libnet.pref.okayama.jp/licsxp-opac/WOpacMsgNewListToTifTilDetailAction.do?tilcod=2002222333148</v>
      </c>
    </row>
    <row r="4477" spans="1:9" x14ac:dyDescent="0.4">
      <c r="A4477" t="str">
        <f>"ふれあい"</f>
        <v>ふれあい</v>
      </c>
      <c r="B4477" s="1" t="str">
        <f t="shared" si="226"/>
        <v>ふれあい</v>
      </c>
      <c r="C4477" t="str">
        <f>"フレアイ"</f>
        <v>フレアイ</v>
      </c>
      <c r="D4477" t="str">
        <f>"あいさつのわを広める会"</f>
        <v>あいさつのわを広める会</v>
      </c>
      <c r="E4477" t="str">
        <f>"アイサツノワヲヒロメルカイ"</f>
        <v>アイサツノワヲヒロメルカイ</v>
      </c>
      <c r="F4477" t="str">
        <f>"久米郡久米町"</f>
        <v>久米郡久米町</v>
      </c>
      <c r="G4477" t="str">
        <f>"頻度不明"</f>
        <v>頻度不明</v>
      </c>
      <c r="H4477" t="str">
        <f>"2002222281351"</f>
        <v>2002222281351</v>
      </c>
      <c r="I4477" t="str">
        <f>HYPERLINK("#", "https://opac.libnet.pref.okayama.jp/licsxp-opac/WOpacMsgNewListToTifTilDetailAction.do?tilcod=2002222281351")</f>
        <v>https://opac.libnet.pref.okayama.jp/licsxp-opac/WOpacMsgNewListToTifTilDetailAction.do?tilcod=2002222281351</v>
      </c>
    </row>
    <row r="4478" spans="1:9" x14ac:dyDescent="0.4">
      <c r="A4478" t="str">
        <f>"ふれあい"</f>
        <v>ふれあい</v>
      </c>
      <c r="B4478" s="1" t="str">
        <f t="shared" si="226"/>
        <v>ふれあい</v>
      </c>
      <c r="C4478" t="str">
        <f>"フレアイ"</f>
        <v>フレアイ</v>
      </c>
      <c r="D4478" t="str">
        <f>"ふれあい新聞社"</f>
        <v>ふれあい新聞社</v>
      </c>
      <c r="E4478" t="str">
        <f>"フレアイシンブンシャ"</f>
        <v>フレアイシンブンシャ</v>
      </c>
      <c r="F4478" t="str">
        <f>"山陽町（赤磐郡）"</f>
        <v>山陽町（赤磐郡）</v>
      </c>
      <c r="G4478" t="str">
        <f>"旬刊"</f>
        <v>旬刊</v>
      </c>
      <c r="H4478" t="str">
        <f>"2002222300969"</f>
        <v>2002222300969</v>
      </c>
      <c r="I4478" t="str">
        <f>HYPERLINK("#", "https://opac.libnet.pref.okayama.jp/licsxp-opac/WOpacMsgNewListToTifTilDetailAction.do?tilcod=2002222300969")</f>
        <v>https://opac.libnet.pref.okayama.jp/licsxp-opac/WOpacMsgNewListToTifTilDetailAction.do?tilcod=2002222300969</v>
      </c>
    </row>
    <row r="4479" spans="1:9" x14ac:dyDescent="0.4">
      <c r="A4479" t="str">
        <f>"ふれあい"</f>
        <v>ふれあい</v>
      </c>
      <c r="B4479" s="1" t="str">
        <f t="shared" si="226"/>
        <v>ふれあい</v>
      </c>
      <c r="C4479" t="str">
        <f>"フレアイ"</f>
        <v>フレアイ</v>
      </c>
      <c r="D4479" t="str">
        <f>"和気町老人クラブ連合会"</f>
        <v>和気町老人クラブ連合会</v>
      </c>
      <c r="E4479" t="str">
        <f>"ワケチョウロウジンクラブレンゴウカイ"</f>
        <v>ワケチョウロウジンクラブレンゴウカイ</v>
      </c>
      <c r="F4479" t="str">
        <f>"和気町（和気郡）"</f>
        <v>和気町（和気郡）</v>
      </c>
      <c r="G4479" t="str">
        <f>"季刊"</f>
        <v>季刊</v>
      </c>
      <c r="H4479" t="str">
        <f>"2002222301422"</f>
        <v>2002222301422</v>
      </c>
      <c r="I4479" t="str">
        <f>HYPERLINK("#", "https://opac.libnet.pref.okayama.jp/licsxp-opac/WOpacMsgNewListToTifTilDetailAction.do?tilcod=2002222301422")</f>
        <v>https://opac.libnet.pref.okayama.jp/licsxp-opac/WOpacMsgNewListToTifTilDetailAction.do?tilcod=2002222301422</v>
      </c>
    </row>
    <row r="4480" spans="1:9" x14ac:dyDescent="0.4">
      <c r="A4480" t="str">
        <f>"ふれあい"</f>
        <v>ふれあい</v>
      </c>
      <c r="B4480" s="1" t="str">
        <f t="shared" si="226"/>
        <v>ふれあい</v>
      </c>
      <c r="C4480" t="str">
        <f>"フレアイ"</f>
        <v>フレアイ</v>
      </c>
      <c r="D4480" t="str">
        <f>"渡辺胃腸科外科病院 広報委員会"</f>
        <v>渡辺胃腸科外科病院 広報委員会</v>
      </c>
      <c r="E4480" t="str">
        <f>"ワタナベ イチョウカ ゲカ ビョウイン コウホウ イインカイ"</f>
        <v>ワタナベ イチョウカ ゲカ ビョウイン コウホウ イインカイ</v>
      </c>
      <c r="F4480" t="str">
        <f>"倉敷"</f>
        <v>倉敷</v>
      </c>
      <c r="G4480" t="str">
        <f>"季刊"</f>
        <v>季刊</v>
      </c>
      <c r="H4480" t="str">
        <f>"2002222317868"</f>
        <v>2002222317868</v>
      </c>
      <c r="I4480" t="str">
        <f>HYPERLINK("#", "https://opac.libnet.pref.okayama.jp/licsxp-opac/WOpacMsgNewListToTifTilDetailAction.do?tilcod=2002222317868")</f>
        <v>https://opac.libnet.pref.okayama.jp/licsxp-opac/WOpacMsgNewListToTifTilDetailAction.do?tilcod=2002222317868</v>
      </c>
    </row>
    <row r="4481" spans="1:9" x14ac:dyDescent="0.4">
      <c r="A4481" t="str">
        <f>"ふれあい岡山"</f>
        <v>ふれあい岡山</v>
      </c>
      <c r="B4481" s="1" t="str">
        <f t="shared" si="226"/>
        <v>ふれあい岡山</v>
      </c>
      <c r="C4481" t="str">
        <f>"フレアイ　オカヤマ"</f>
        <v>フレアイ　オカヤマ</v>
      </c>
      <c r="D4481" t="str">
        <f>"岡山県コミュニティ協会"</f>
        <v>岡山県コミュニティ協会</v>
      </c>
      <c r="E4481" t="str">
        <f>"オカヤマケンコミュニティキョウカイ"</f>
        <v>オカヤマケンコミュニティキョウカイ</v>
      </c>
      <c r="F4481" t="str">
        <f>"岡山"</f>
        <v>岡山</v>
      </c>
      <c r="G4481" t="str">
        <f>"季刊"</f>
        <v>季刊</v>
      </c>
      <c r="H4481" t="str">
        <f>"2002222291651"</f>
        <v>2002222291651</v>
      </c>
      <c r="I4481" t="str">
        <f>HYPERLINK("#", "https://opac.libnet.pref.okayama.jp/licsxp-opac/WOpacMsgNewListToTifTilDetailAction.do?tilcod=2002222291651")</f>
        <v>https://opac.libnet.pref.okayama.jp/licsxp-opac/WOpacMsgNewListToTifTilDetailAction.do?tilcod=2002222291651</v>
      </c>
    </row>
    <row r="4482" spans="1:9" x14ac:dyDescent="0.4">
      <c r="A4482" t="str">
        <f>"ふれあい街道；国道５３号だより"</f>
        <v>ふれあい街道；国道５３号だより</v>
      </c>
      <c r="B4482" s="1" t="str">
        <f t="shared" si="226"/>
        <v>ふれあい街道；国道５３号だより</v>
      </c>
      <c r="C4482" t="str">
        <f>"フレアイ　カイドウ＊コクドウ　ゴジュウサンゴウ　ダヨリ"</f>
        <v>フレアイ　カイドウ＊コクドウ　ゴジュウサンゴウ　ダヨリ</v>
      </c>
      <c r="D4482" t="str">
        <f>"国土交通省岡山国道事務所津山出張所"</f>
        <v>国土交通省岡山国道事務所津山出張所</v>
      </c>
      <c r="E4482" t="str">
        <f>"ココクドコウツウショウオカヤマコクドウジムショツヤマシュッチョウジョ"</f>
        <v>ココクドコウツウショウオカヤマコクドウジムショツヤマシュッチョウジョ</v>
      </c>
      <c r="F4482" t="str">
        <f>"津山"</f>
        <v>津山</v>
      </c>
      <c r="G4482" t="str">
        <f>"不定期刊"</f>
        <v>不定期刊</v>
      </c>
      <c r="H4482" t="str">
        <f>"2002222301151"</f>
        <v>2002222301151</v>
      </c>
      <c r="I4482" t="str">
        <f>HYPERLINK("#", "https://opac.libnet.pref.okayama.jp/licsxp-opac/WOpacMsgNewListToTifTilDetailAction.do?tilcod=2002222301151")</f>
        <v>https://opac.libnet.pref.okayama.jp/licsxp-opac/WOpacMsgNewListToTifTilDetailAction.do?tilcod=2002222301151</v>
      </c>
    </row>
    <row r="4483" spans="1:9" x14ac:dyDescent="0.4">
      <c r="A4483" t="str">
        <f>"ふれあい新聞"</f>
        <v>ふれあい新聞</v>
      </c>
      <c r="B4483" s="1" t="str">
        <f t="shared" si="226"/>
        <v>ふれあい新聞</v>
      </c>
      <c r="C4483" t="str">
        <f>"フレアイ　シンブン"</f>
        <v>フレアイ　シンブン</v>
      </c>
      <c r="D4483" t="str">
        <f>"ふれあい新聞社"</f>
        <v>ふれあい新聞社</v>
      </c>
      <c r="E4483" t="str">
        <f>"フレアイシンブンシャ"</f>
        <v>フレアイシンブンシャ</v>
      </c>
      <c r="F4483" t="str">
        <f>"山陽町（赤磐郡）"</f>
        <v>山陽町（赤磐郡）</v>
      </c>
      <c r="G4483" t="str">
        <f>"頻度不明"</f>
        <v>頻度不明</v>
      </c>
      <c r="H4483" t="str">
        <f>"2002222300970"</f>
        <v>2002222300970</v>
      </c>
      <c r="I4483" t="str">
        <f>HYPERLINK("#", "https://opac.libnet.pref.okayama.jp/licsxp-opac/WOpacMsgNewListToTifTilDetailAction.do?tilcod=2002222300970")</f>
        <v>https://opac.libnet.pref.okayama.jp/licsxp-opac/WOpacMsgNewListToTifTilDetailAction.do?tilcod=2002222300970</v>
      </c>
    </row>
    <row r="4484" spans="1:9" x14ac:dyDescent="0.4">
      <c r="A4484" t="str">
        <f>"ふれあい新聞；ふれあい"</f>
        <v>ふれあい新聞；ふれあい</v>
      </c>
      <c r="B4484" s="1" t="str">
        <f t="shared" ref="B4484:B4547" si="228">HYPERLINK("#", A4484)</f>
        <v>ふれあい新聞；ふれあい</v>
      </c>
      <c r="C4484" t="str">
        <f>"フレアイ　シンブン＊フレアイ"</f>
        <v>フレアイ　シンブン＊フレアイ</v>
      </c>
      <c r="D4484" t="str">
        <f>"極東新聞印刷部"</f>
        <v>極東新聞印刷部</v>
      </c>
      <c r="E4484" t="str">
        <f>"キョクトウシンブンインサツブ"</f>
        <v>キョクトウシンブンインサツブ</v>
      </c>
      <c r="F4484" t="str">
        <f>"山陽町（赤磐郡）"</f>
        <v>山陽町（赤磐郡）</v>
      </c>
      <c r="G4484" t="str">
        <f>"旬刊"</f>
        <v>旬刊</v>
      </c>
      <c r="H4484" t="str">
        <f>"2002222300971"</f>
        <v>2002222300971</v>
      </c>
      <c r="I4484" t="str">
        <f>HYPERLINK("#", "https://opac.libnet.pref.okayama.jp/licsxp-opac/WOpacMsgNewListToTifTilDetailAction.do?tilcod=2002222300971")</f>
        <v>https://opac.libnet.pref.okayama.jp/licsxp-opac/WOpacMsgNewListToTifTilDetailAction.do?tilcod=2002222300971</v>
      </c>
    </row>
    <row r="4485" spans="1:9" x14ac:dyDescent="0.4">
      <c r="A4485" t="str">
        <f>"ふれ愛通信"</f>
        <v>ふれ愛通信</v>
      </c>
      <c r="B4485" s="1" t="str">
        <f t="shared" si="228"/>
        <v>ふれ愛通信</v>
      </c>
      <c r="C4485" t="str">
        <f>"フレアイ　ツウシン"</f>
        <v>フレアイ　ツウシン</v>
      </c>
      <c r="D4485" t="str">
        <f>"岡山市ふれあい公社"</f>
        <v>岡山市ふれあい公社</v>
      </c>
      <c r="E4485" t="str">
        <f>"オカヤマシ フレアイ コウシャ"</f>
        <v>オカヤマシ フレアイ コウシャ</v>
      </c>
      <c r="F4485" t="str">
        <f>"岡山"</f>
        <v>岡山</v>
      </c>
      <c r="G4485" t="str">
        <f>"年刊"</f>
        <v>年刊</v>
      </c>
      <c r="H4485" t="str">
        <f>"2002222282291"</f>
        <v>2002222282291</v>
      </c>
      <c r="I4485" t="str">
        <f>HYPERLINK("#", "https://opac.libnet.pref.okayama.jp/licsxp-opac/WOpacMsgNewListToTifTilDetailAction.do?tilcod=2002222282291")</f>
        <v>https://opac.libnet.pref.okayama.jp/licsxp-opac/WOpacMsgNewListToTifTilDetailAction.do?tilcod=2002222282291</v>
      </c>
    </row>
    <row r="4486" spans="1:9" x14ac:dyDescent="0.4">
      <c r="A4486" t="str">
        <f>"ふれあい福祉；高梁市社会福祉協議会広報紙"</f>
        <v>ふれあい福祉；高梁市社会福祉協議会広報紙</v>
      </c>
      <c r="B4486" s="1" t="str">
        <f t="shared" si="228"/>
        <v>ふれあい福祉；高梁市社会福祉協議会広報紙</v>
      </c>
      <c r="C4486" t="str">
        <f>"フレアイ　フクシ＊タカハシシ　シャカイ　フクシ　キョウギカイ　コウホウシ"</f>
        <v>フレアイ　フクシ＊タカハシシ　シャカイ　フクシ　キョウギカイ　コウホウシ</v>
      </c>
      <c r="D4486" t="str">
        <f>"高梁市社会福祉協議会"</f>
        <v>高梁市社会福祉協議会</v>
      </c>
      <c r="E4486" t="str">
        <f>"タカハシシシャカイフクシキョウギカイ"</f>
        <v>タカハシシシャカイフクシキョウギカイ</v>
      </c>
      <c r="F4486" t="str">
        <f>"高梁"</f>
        <v>高梁</v>
      </c>
      <c r="G4486" t="str">
        <f>"隔月刊"</f>
        <v>隔月刊</v>
      </c>
      <c r="H4486" t="str">
        <f>"2002222300786"</f>
        <v>2002222300786</v>
      </c>
      <c r="I4486" t="str">
        <f>HYPERLINK("#", "https://opac.libnet.pref.okayama.jp/licsxp-opac/WOpacMsgNewListToTifTilDetailAction.do?tilcod=2002222300786")</f>
        <v>https://opac.libnet.pref.okayama.jp/licsxp-opac/WOpacMsgNewListToTifTilDetailAction.do?tilcod=2002222300786</v>
      </c>
    </row>
    <row r="4487" spans="1:9" x14ac:dyDescent="0.4">
      <c r="A4487" t="str">
        <f>"ふれあい；岡山市立岡西公民館だより"</f>
        <v>ふれあい；岡山市立岡西公民館だより</v>
      </c>
      <c r="B4487" s="1" t="str">
        <f t="shared" si="228"/>
        <v>ふれあい；岡山市立岡西公民館だより</v>
      </c>
      <c r="C4487" t="str">
        <f>"フレアイ＊オカヤマシリツ コウザイ コウミンカン ダヨリ"</f>
        <v>フレアイ＊オカヤマシリツ コウザイ コウミンカン ダヨリ</v>
      </c>
      <c r="D4487" t="str">
        <f>"岡山市立岡西公民館"</f>
        <v>岡山市立岡西公民館</v>
      </c>
      <c r="E4487" t="str">
        <f>"オカヤマシリツ コウザイ コウミンカン"</f>
        <v>オカヤマシリツ コウザイ コウミンカン</v>
      </c>
      <c r="F4487" t="str">
        <f>"岡山"</f>
        <v>岡山</v>
      </c>
      <c r="G4487" t="str">
        <f>"隔月刊"</f>
        <v>隔月刊</v>
      </c>
      <c r="H4487" t="str">
        <f>"2002222341382"</f>
        <v>2002222341382</v>
      </c>
      <c r="I4487" t="str">
        <f>HYPERLINK("#", "https://opac.libnet.pref.okayama.jp/licsxp-opac/WOpacMsgNewListToTifTilDetailAction.do?tilcod=2002222341382")</f>
        <v>https://opac.libnet.pref.okayama.jp/licsxp-opac/WOpacMsgNewListToTifTilDetailAction.do?tilcod=2002222341382</v>
      </c>
    </row>
    <row r="4488" spans="1:9" x14ac:dyDescent="0.4">
      <c r="A4488" t="str">
        <f>"ふれあい；ふれあい動物友の会会報"</f>
        <v>ふれあい；ふれあい動物友の会会報</v>
      </c>
      <c r="B4488" s="1" t="str">
        <f t="shared" si="228"/>
        <v>ふれあい；ふれあい動物友の会会報</v>
      </c>
      <c r="C4488" t="str">
        <f>"フレアイ＊フレアイ　ドウブツ　トモ　ノ　カイ　カイホウ"</f>
        <v>フレアイ＊フレアイ　ドウブツ　トモ　ノ　カイ　カイホウ</v>
      </c>
      <c r="D4488" t="str">
        <f>"岡山県動物愛護財団"</f>
        <v>岡山県動物愛護財団</v>
      </c>
      <c r="E4488" t="str">
        <f>""</f>
        <v/>
      </c>
      <c r="F4488" t="str">
        <f>"岡山"</f>
        <v>岡山</v>
      </c>
      <c r="G4488" t="str">
        <f>"年３回刊"</f>
        <v>年３回刊</v>
      </c>
      <c r="H4488" t="str">
        <f>"2002222300443"</f>
        <v>2002222300443</v>
      </c>
      <c r="I4488" t="str">
        <f>HYPERLINK("#", "https://opac.libnet.pref.okayama.jp/licsxp-opac/WOpacMsgNewListToTifTilDetailAction.do?tilcod=2002222300443")</f>
        <v>https://opac.libnet.pref.okayama.jp/licsxp-opac/WOpacMsgNewListToTifTilDetailAction.do?tilcod=2002222300443</v>
      </c>
    </row>
    <row r="4489" spans="1:9" x14ac:dyDescent="0.4">
      <c r="A4489" t="str">
        <f>"プレイオカヤマ"</f>
        <v>プレイオカヤマ</v>
      </c>
      <c r="B4489" s="1" t="str">
        <f t="shared" si="228"/>
        <v>プレイオカヤマ</v>
      </c>
      <c r="C4489" t="str">
        <f>"プレイ オカヤマ"</f>
        <v>プレイ オカヤマ</v>
      </c>
      <c r="D4489" t="str">
        <f>"岡山芸能社"</f>
        <v>岡山芸能社</v>
      </c>
      <c r="E4489" t="str">
        <f>"オカヤマディスプレイキョウドウクミアイ"</f>
        <v>オカヤマディスプレイキョウドウクミアイ</v>
      </c>
      <c r="F4489" t="str">
        <f>""</f>
        <v/>
      </c>
      <c r="G4489" t="str">
        <f>"隔月刊"</f>
        <v>隔月刊</v>
      </c>
      <c r="H4489" t="str">
        <f>"2002222338090"</f>
        <v>2002222338090</v>
      </c>
      <c r="I4489" t="str">
        <f>HYPERLINK("#", "https://opac.libnet.pref.okayama.jp/licsxp-opac/WOpacMsgNewListToTifTilDetailAction.do?tilcod=2002222338090")</f>
        <v>https://opac.libnet.pref.okayama.jp/licsxp-opac/WOpacMsgNewListToTifTilDetailAction.do?tilcod=2002222338090</v>
      </c>
    </row>
    <row r="4490" spans="1:9" x14ac:dyDescent="0.4">
      <c r="A4490" t="str">
        <f>"フレッシェ倉敷"</f>
        <v>フレッシェ倉敷</v>
      </c>
      <c r="B4490" s="1" t="str">
        <f t="shared" si="228"/>
        <v>フレッシェ倉敷</v>
      </c>
      <c r="C4490" t="str">
        <f>"フレッシェ クラシキ"</f>
        <v>フレッシェ クラシキ</v>
      </c>
      <c r="D4490" t="str">
        <f>"倉敷文学の会"</f>
        <v>倉敷文学の会</v>
      </c>
      <c r="E4490" t="str">
        <f>"クラシキブンガクノカイ"</f>
        <v>クラシキブンガクノカイ</v>
      </c>
      <c r="F4490" t="str">
        <f>"倉敷"</f>
        <v>倉敷</v>
      </c>
      <c r="G4490" t="str">
        <f>"頻度不明"</f>
        <v>頻度不明</v>
      </c>
      <c r="H4490" t="str">
        <f>"2002222319610"</f>
        <v>2002222319610</v>
      </c>
      <c r="I4490" t="str">
        <f>HYPERLINK("#", "https://opac.libnet.pref.okayama.jp/licsxp-opac/WOpacMsgNewListToTifTilDetailAction.do?tilcod=2002222319610")</f>
        <v>https://opac.libnet.pref.okayama.jp/licsxp-opac/WOpacMsgNewListToTifTilDetailAction.do?tilcod=2002222319610</v>
      </c>
    </row>
    <row r="4491" spans="1:9" x14ac:dyDescent="0.4">
      <c r="A4491" t="str">
        <f>"不老山ニュース"</f>
        <v>不老山ニュース</v>
      </c>
      <c r="B4491" s="1" t="str">
        <f t="shared" si="228"/>
        <v>不老山ニュース</v>
      </c>
      <c r="C4491" t="str">
        <f>"フロウサン ニュース"</f>
        <v>フロウサン ニュース</v>
      </c>
      <c r="D4491" t="str">
        <f>"岡山県社会教育課"</f>
        <v>岡山県社会教育課</v>
      </c>
      <c r="E4491" t="str">
        <f>"オカヤマケン シャカイ キョウイクカ"</f>
        <v>オカヤマケン シャカイ キョウイクカ</v>
      </c>
      <c r="F4491" t="str">
        <f>""</f>
        <v/>
      </c>
      <c r="G4491" t="str">
        <f>"頻度不明"</f>
        <v>頻度不明</v>
      </c>
      <c r="H4491" t="str">
        <f>"2002222338076"</f>
        <v>2002222338076</v>
      </c>
      <c r="I4491" t="str">
        <f>HYPERLINK("#", "https://opac.libnet.pref.okayama.jp/licsxp-opac/WOpacMsgNewListToTifTilDetailAction.do?tilcod=2002222338076")</f>
        <v>https://opac.libnet.pref.okayama.jp/licsxp-opac/WOpacMsgNewListToTifTilDetailAction.do?tilcod=2002222338076</v>
      </c>
    </row>
    <row r="4492" spans="1:9" x14ac:dyDescent="0.4">
      <c r="A4492" t="str">
        <f>"ふろんてぃあ２１"</f>
        <v>ふろんてぃあ２１</v>
      </c>
      <c r="B4492" s="1" t="str">
        <f t="shared" si="228"/>
        <v>ふろんてぃあ２１</v>
      </c>
      <c r="C4492" t="str">
        <f>"フロンティア　ニジュウイチ"</f>
        <v>フロンティア　ニジュウイチ</v>
      </c>
      <c r="D4492" t="str">
        <f>"岡山県知事室広聴広報課"</f>
        <v>岡山県知事室広聴広報課</v>
      </c>
      <c r="E4492" t="str">
        <f>"オカヤマケン チジシツ コウチョウ コウホウカ"</f>
        <v>オカヤマケン チジシツ コウチョウ コウホウカ</v>
      </c>
      <c r="F4492" t="str">
        <f>"岡山"</f>
        <v>岡山</v>
      </c>
      <c r="G4492" t="str">
        <f>"不定期刊"</f>
        <v>不定期刊</v>
      </c>
      <c r="H4492" t="str">
        <f>"2002222291661"</f>
        <v>2002222291661</v>
      </c>
      <c r="I4492" t="str">
        <f>HYPERLINK("#", "https://opac.libnet.pref.okayama.jp/licsxp-opac/WOpacMsgNewListToTifTilDetailAction.do?tilcod=2002222291661")</f>
        <v>https://opac.libnet.pref.okayama.jp/licsxp-opac/WOpacMsgNewListToTifTilDetailAction.do?tilcod=2002222291661</v>
      </c>
    </row>
    <row r="4493" spans="1:9" x14ac:dyDescent="0.4">
      <c r="A4493" t="str">
        <f>"文華"</f>
        <v>文華</v>
      </c>
      <c r="B4493" s="1" t="str">
        <f t="shared" si="228"/>
        <v>文華</v>
      </c>
      <c r="C4493" t="str">
        <f>"ブンカ"</f>
        <v>ブンカ</v>
      </c>
      <c r="D4493" t="str">
        <f>""</f>
        <v/>
      </c>
      <c r="E4493" t="str">
        <f>""</f>
        <v/>
      </c>
      <c r="F4493" t="str">
        <f>""</f>
        <v/>
      </c>
      <c r="G4493" t="str">
        <f>"頻度不明"</f>
        <v>頻度不明</v>
      </c>
      <c r="H4493" t="str">
        <f>"2002222280214"</f>
        <v>2002222280214</v>
      </c>
      <c r="I4493" t="str">
        <f>HYPERLINK("#", "https://opac.libnet.pref.okayama.jp/licsxp-opac/WOpacMsgNewListToTifTilDetailAction.do?tilcod=2002222280214")</f>
        <v>https://opac.libnet.pref.okayama.jp/licsxp-opac/WOpacMsgNewListToTifTilDetailAction.do?tilcod=2002222280214</v>
      </c>
    </row>
    <row r="4494" spans="1:9" x14ac:dyDescent="0.4">
      <c r="A4494" t="str">
        <f>"文化協会だより"</f>
        <v>文化協会だより</v>
      </c>
      <c r="B4494" s="1" t="str">
        <f t="shared" si="228"/>
        <v>文化協会だより</v>
      </c>
      <c r="C4494" t="str">
        <f>"ブンカ　キョウカイ　ダヨリ"</f>
        <v>ブンカ　キョウカイ　ダヨリ</v>
      </c>
      <c r="D4494" t="str">
        <f>"成羽文化協会"</f>
        <v>成羽文化協会</v>
      </c>
      <c r="E4494" t="str">
        <f>"ナリワブンカキョウカイ"</f>
        <v>ナリワブンカキョウカイ</v>
      </c>
      <c r="F4494" t="str">
        <f>"高梁"</f>
        <v>高梁</v>
      </c>
      <c r="G4494" t="str">
        <f>"年２回刊"</f>
        <v>年２回刊</v>
      </c>
      <c r="H4494" t="str">
        <f>"2002222302330"</f>
        <v>2002222302330</v>
      </c>
      <c r="I4494" t="str">
        <f>HYPERLINK("#", "https://opac.libnet.pref.okayama.jp/licsxp-opac/WOpacMsgNewListToTifTilDetailAction.do?tilcod=2002222302330")</f>
        <v>https://opac.libnet.pref.okayama.jp/licsxp-opac/WOpacMsgNewListToTifTilDetailAction.do?tilcod=2002222302330</v>
      </c>
    </row>
    <row r="4495" spans="1:9" x14ac:dyDescent="0.4">
      <c r="A4495" t="str">
        <f>"文化協会だより"</f>
        <v>文化協会だより</v>
      </c>
      <c r="B4495" s="1" t="str">
        <f t="shared" si="228"/>
        <v>文化協会だより</v>
      </c>
      <c r="C4495" t="str">
        <f>"ブンカ キョウカイ ダヨリ"</f>
        <v>ブンカ キョウカイ ダヨリ</v>
      </c>
      <c r="D4495" t="str">
        <f>"総社市文化協会"</f>
        <v>総社市文化協会</v>
      </c>
      <c r="E4495" t="str">
        <f>"ソウジャシ ブンカ キョウカイ"</f>
        <v>ソウジャシ ブンカ キョウカイ</v>
      </c>
      <c r="F4495" t="str">
        <f>"総社"</f>
        <v>総社</v>
      </c>
      <c r="G4495" t="str">
        <f>"年刊"</f>
        <v>年刊</v>
      </c>
      <c r="H4495" t="str">
        <f>"2002222335291"</f>
        <v>2002222335291</v>
      </c>
      <c r="I4495" t="str">
        <f>HYPERLINK("#", "https://opac.libnet.pref.okayama.jp/licsxp-opac/WOpacMsgNewListToTifTilDetailAction.do?tilcod=2002222335291")</f>
        <v>https://opac.libnet.pref.okayama.jp/licsxp-opac/WOpacMsgNewListToTifTilDetailAction.do?tilcod=2002222335291</v>
      </c>
    </row>
    <row r="4496" spans="1:9" x14ac:dyDescent="0.4">
      <c r="A4496" t="str">
        <f>"文化共生学研究"</f>
        <v>文化共生学研究</v>
      </c>
      <c r="B4496" s="1" t="str">
        <f t="shared" si="228"/>
        <v>文化共生学研究</v>
      </c>
      <c r="C4496" t="str">
        <f>"ブンカ　キョウセイ　ガク　ケンキュウ"</f>
        <v>ブンカ　キョウセイ　ガク　ケンキュウ</v>
      </c>
      <c r="D4496" t="str">
        <f>"岡山大学大学院社会文化科学研究科"</f>
        <v>岡山大学大学院社会文化科学研究科</v>
      </c>
      <c r="E4496" t="str">
        <f>"オカヤマ ダイガク ダイガクイン シャカイ ブンカ カガク ケンキュウカ"</f>
        <v>オカヤマ ダイガク ダイガクイン シャカイ ブンカ カガク ケンキュウカ</v>
      </c>
      <c r="F4496" t="str">
        <f>"岡山"</f>
        <v>岡山</v>
      </c>
      <c r="G4496" t="str">
        <f>"年刊"</f>
        <v>年刊</v>
      </c>
      <c r="H4496" t="str">
        <f>"2002222286051"</f>
        <v>2002222286051</v>
      </c>
      <c r="I4496" t="str">
        <f>HYPERLINK("#", "https://opac.libnet.pref.okayama.jp/licsxp-opac/WOpacMsgNewListToTifTilDetailAction.do?tilcod=2002222286051")</f>
        <v>https://opac.libnet.pref.okayama.jp/licsxp-opac/WOpacMsgNewListToTifTilDetailAction.do?tilcod=2002222286051</v>
      </c>
    </row>
    <row r="4497" spans="1:9" x14ac:dyDescent="0.4">
      <c r="A4497" t="str">
        <f>"文化、芸術、教育活動に関する研究論叢"</f>
        <v>文化、芸術、教育活動に関する研究論叢</v>
      </c>
      <c r="B4497" s="1" t="str">
        <f t="shared" si="228"/>
        <v>文化、芸術、教育活動に関する研究論叢</v>
      </c>
      <c r="C4497" t="str">
        <f>"ブンカ ゲイジュツ キョウイクカツドウニ カンスル ケンキュウ ロンソウ"</f>
        <v>ブンカ ゲイジュツ キョウイクカツドウニ カンスル ケンキュウ ロンソウ</v>
      </c>
      <c r="D4497" t="str">
        <f>"両備〓園記念財団"</f>
        <v>両備〓園記念財団</v>
      </c>
      <c r="E4497" t="str">
        <f>"リョウビ テイエン キネン ザイダン"</f>
        <v>リョウビ テイエン キネン ザイダン</v>
      </c>
      <c r="F4497" t="str">
        <f>"岡山"</f>
        <v>岡山</v>
      </c>
      <c r="G4497" t="str">
        <f>"頻度不明"</f>
        <v>頻度不明</v>
      </c>
      <c r="H4497" t="str">
        <f>"2002222341551"</f>
        <v>2002222341551</v>
      </c>
      <c r="I4497" t="str">
        <f>HYPERLINK("#", "https://opac.libnet.pref.okayama.jp/licsxp-opac/WOpacMsgNewListToTifTilDetailAction.do?tilcod=2002222341551")</f>
        <v>https://opac.libnet.pref.okayama.jp/licsxp-opac/WOpacMsgNewListToTifTilDetailAction.do?tilcod=2002222341551</v>
      </c>
    </row>
    <row r="4498" spans="1:9" x14ac:dyDescent="0.4">
      <c r="A4498" t="str">
        <f>"Bunka Gekijo 文化劇場ニュース"</f>
        <v>Bunka Gekijo 文化劇場ニュース</v>
      </c>
      <c r="B4498" s="1" t="str">
        <f t="shared" si="228"/>
        <v>Bunka Gekijo 文化劇場ニュース</v>
      </c>
      <c r="C4498" t="str">
        <f>"ブンカ ゲキジョウ ニュース "</f>
        <v xml:space="preserve">ブンカ ゲキジョウ ニュース </v>
      </c>
      <c r="D4498" t="str">
        <f>"文化劇場"</f>
        <v>文化劇場</v>
      </c>
      <c r="E4498" t="str">
        <f>"ブンカ ゲキジョウ"</f>
        <v>ブンカ ゲキジョウ</v>
      </c>
      <c r="F4498" t="str">
        <f>"岡山"</f>
        <v>岡山</v>
      </c>
      <c r="G4498" t="str">
        <f>"頻度不明"</f>
        <v>頻度不明</v>
      </c>
      <c r="H4498" t="str">
        <f>"2002222319430"</f>
        <v>2002222319430</v>
      </c>
      <c r="I4498" t="str">
        <f>HYPERLINK("#", "https://opac.libnet.pref.okayama.jp/licsxp-opac/WOpacMsgNewListToTifTilDetailAction.do?tilcod=2002222319430")</f>
        <v>https://opac.libnet.pref.okayama.jp/licsxp-opac/WOpacMsgNewListToTifTilDetailAction.do?tilcod=2002222319430</v>
      </c>
    </row>
    <row r="4499" spans="1:9" x14ac:dyDescent="0.4">
      <c r="A4499" t="str">
        <f>"文化たまの"</f>
        <v>文化たまの</v>
      </c>
      <c r="B4499" s="1" t="str">
        <f t="shared" si="228"/>
        <v>文化たまの</v>
      </c>
      <c r="C4499" t="str">
        <f>"ブンカ　タマノ"</f>
        <v>ブンカ　タマノ</v>
      </c>
      <c r="D4499" t="str">
        <f>"玉野市文化協会"</f>
        <v>玉野市文化協会</v>
      </c>
      <c r="E4499" t="str">
        <f>"タマノシブンカキョウカイ"</f>
        <v>タマノシブンカキョウカイ</v>
      </c>
      <c r="F4499" t="str">
        <f>"玉野"</f>
        <v>玉野</v>
      </c>
      <c r="G4499" t="str">
        <f>"不定期刊"</f>
        <v>不定期刊</v>
      </c>
      <c r="H4499" t="str">
        <f>"2002222281734"</f>
        <v>2002222281734</v>
      </c>
      <c r="I4499" t="str">
        <f>HYPERLINK("#", "https://opac.libnet.pref.okayama.jp/licsxp-opac/WOpacMsgNewListToTifTilDetailAction.do?tilcod=2002222281734")</f>
        <v>https://opac.libnet.pref.okayama.jp/licsxp-opac/WOpacMsgNewListToTifTilDetailAction.do?tilcod=2002222281734</v>
      </c>
    </row>
    <row r="4500" spans="1:9" x14ac:dyDescent="0.4">
      <c r="A4500" t="str">
        <f>"文化之岡山"</f>
        <v>文化之岡山</v>
      </c>
      <c r="B4500" s="1" t="str">
        <f t="shared" si="228"/>
        <v>文化之岡山</v>
      </c>
      <c r="C4500" t="str">
        <f>"ブンカ ノ オカヤマ"</f>
        <v>ブンカ ノ オカヤマ</v>
      </c>
      <c r="D4500" t="str">
        <f>"文化之岡山社"</f>
        <v>文化之岡山社</v>
      </c>
      <c r="E4500" t="str">
        <f>"ブンカ ノ オカヤマ シャ"</f>
        <v>ブンカ ノ オカヤマ シャ</v>
      </c>
      <c r="F4500" t="str">
        <f>"岡山"</f>
        <v>岡山</v>
      </c>
      <c r="G4500" t="str">
        <f>"月刊"</f>
        <v>月刊</v>
      </c>
      <c r="H4500" t="str">
        <f>"2002222339651"</f>
        <v>2002222339651</v>
      </c>
      <c r="I4500" t="str">
        <f>HYPERLINK("#", "https://opac.libnet.pref.okayama.jp/licsxp-opac/WOpacMsgNewListToTifTilDetailAction.do?tilcod=2002222339651")</f>
        <v>https://opac.libnet.pref.okayama.jp/licsxp-opac/WOpacMsgNewListToTifTilDetailAction.do?tilcod=2002222339651</v>
      </c>
    </row>
    <row r="4501" spans="1:9" x14ac:dyDescent="0.4">
      <c r="A4501" t="str">
        <f>"文海"</f>
        <v>文海</v>
      </c>
      <c r="B4501" s="1" t="str">
        <f t="shared" si="228"/>
        <v>文海</v>
      </c>
      <c r="C4501" t="str">
        <f>"ブンカイ"</f>
        <v>ブンカイ</v>
      </c>
      <c r="D4501" t="str">
        <f>"薇州文社"</f>
        <v>薇州文社</v>
      </c>
      <c r="E4501" t="str">
        <f>"ビシュウブンシャ"</f>
        <v>ビシュウブンシャ</v>
      </c>
      <c r="F4501" t="str">
        <f>""</f>
        <v/>
      </c>
      <c r="G4501" t="str">
        <f>"頻度不明"</f>
        <v>頻度不明</v>
      </c>
      <c r="H4501" t="str">
        <f>"2002222280224"</f>
        <v>2002222280224</v>
      </c>
      <c r="I4501" t="str">
        <f>HYPERLINK("#", "https://opac.libnet.pref.okayama.jp/licsxp-opac/WOpacMsgNewListToTifTilDetailAction.do?tilcod=2002222280224")</f>
        <v>https://opac.libnet.pref.okayama.jp/licsxp-opac/WOpacMsgNewListToTifTilDetailAction.do?tilcod=2002222280224</v>
      </c>
    </row>
    <row r="4502" spans="1:9" x14ac:dyDescent="0.4">
      <c r="A4502" t="str">
        <f>"文海"</f>
        <v>文海</v>
      </c>
      <c r="B4502" s="1" t="str">
        <f t="shared" si="228"/>
        <v>文海</v>
      </c>
      <c r="C4502" t="str">
        <f>"ブンカイ"</f>
        <v>ブンカイ</v>
      </c>
      <c r="D4502" t="str">
        <f>"荻田書房"</f>
        <v>荻田書房</v>
      </c>
      <c r="E4502" t="str">
        <f>"オギタ ショボウ"</f>
        <v>オギタ ショボウ</v>
      </c>
      <c r="F4502" t="str">
        <f>""</f>
        <v/>
      </c>
      <c r="G4502" t="str">
        <f>"頻度不明"</f>
        <v>頻度不明</v>
      </c>
      <c r="H4502" t="str">
        <f>"2002222280234"</f>
        <v>2002222280234</v>
      </c>
      <c r="I4502" t="str">
        <f>HYPERLINK("#", "https://opac.libnet.pref.okayama.jp/licsxp-opac/WOpacMsgNewListToTifTilDetailAction.do?tilcod=2002222280234")</f>
        <v>https://opac.libnet.pref.okayama.jp/licsxp-opac/WOpacMsgNewListToTifTilDetailAction.do?tilcod=2002222280234</v>
      </c>
    </row>
    <row r="4503" spans="1:9" x14ac:dyDescent="0.4">
      <c r="A4503" t="str">
        <f>"文学山河"</f>
        <v>文学山河</v>
      </c>
      <c r="B4503" s="1" t="str">
        <f t="shared" si="228"/>
        <v>文学山河</v>
      </c>
      <c r="C4503" t="str">
        <f>"ブンガク　サンガ"</f>
        <v>ブンガク　サンガ</v>
      </c>
      <c r="D4503" t="str">
        <f>"文学山河社"</f>
        <v>文学山河社</v>
      </c>
      <c r="E4503" t="str">
        <f>"ブンガクサンガシャ"</f>
        <v>ブンガクサンガシャ</v>
      </c>
      <c r="F4503" t="str">
        <f>""</f>
        <v/>
      </c>
      <c r="G4503" t="str">
        <f>"頻度不明"</f>
        <v>頻度不明</v>
      </c>
      <c r="H4503" t="str">
        <f>"2002222280244"</f>
        <v>2002222280244</v>
      </c>
      <c r="I4503" t="str">
        <f>HYPERLINK("#", "https://opac.libnet.pref.okayama.jp/licsxp-opac/WOpacMsgNewListToTifTilDetailAction.do?tilcod=2002222280244")</f>
        <v>https://opac.libnet.pref.okayama.jp/licsxp-opac/WOpacMsgNewListToTifTilDetailAction.do?tilcod=2002222280244</v>
      </c>
    </row>
    <row r="4504" spans="1:9" x14ac:dyDescent="0.4">
      <c r="A4504" t="str">
        <f>"文学地帯"</f>
        <v>文学地帯</v>
      </c>
      <c r="B4504" s="1" t="str">
        <f t="shared" si="228"/>
        <v>文学地帯</v>
      </c>
      <c r="C4504" t="str">
        <f>"ブンガク　チタイ"</f>
        <v>ブンガク　チタイ</v>
      </c>
      <c r="D4504" t="str">
        <f>"文学地帯同人会"</f>
        <v>文学地帯同人会</v>
      </c>
      <c r="E4504" t="str">
        <f>"ブンガクチタイドウジンカイ"</f>
        <v>ブンガクチタイドウジンカイ</v>
      </c>
      <c r="F4504" t="str">
        <f>""</f>
        <v/>
      </c>
      <c r="G4504" t="str">
        <f>"頻度不明"</f>
        <v>頻度不明</v>
      </c>
      <c r="H4504" t="str">
        <f>"2002222280254"</f>
        <v>2002222280254</v>
      </c>
      <c r="I4504" t="str">
        <f>HYPERLINK("#", "https://opac.libnet.pref.okayama.jp/licsxp-opac/WOpacMsgNewListToTifTilDetailAction.do?tilcod=2002222280254")</f>
        <v>https://opac.libnet.pref.okayama.jp/licsxp-opac/WOpacMsgNewListToTifTilDetailAction.do?tilcod=2002222280254</v>
      </c>
    </row>
    <row r="4505" spans="1:9" x14ac:dyDescent="0.4">
      <c r="A4505" t="str">
        <f>"文学手帖"</f>
        <v>文学手帖</v>
      </c>
      <c r="B4505" s="1" t="str">
        <f t="shared" si="228"/>
        <v>文学手帖</v>
      </c>
      <c r="C4505" t="str">
        <f>"ブンガク　テチョウ"</f>
        <v>ブンガク　テチョウ</v>
      </c>
      <c r="D4505" t="str">
        <f>"文学手帖社"</f>
        <v>文学手帖社</v>
      </c>
      <c r="E4505" t="str">
        <f>"ブンガクテチョウシャ"</f>
        <v>ブンガクテチョウシャ</v>
      </c>
      <c r="F4505" t="str">
        <f>""</f>
        <v/>
      </c>
      <c r="G4505" t="str">
        <f>"頻度不明"</f>
        <v>頻度不明</v>
      </c>
      <c r="H4505" t="str">
        <f>"2002222280264"</f>
        <v>2002222280264</v>
      </c>
      <c r="I4505" t="str">
        <f>HYPERLINK("#", "https://opac.libnet.pref.okayama.jp/licsxp-opac/WOpacMsgNewListToTifTilDetailAction.do?tilcod=2002222280264")</f>
        <v>https://opac.libnet.pref.okayama.jp/licsxp-opac/WOpacMsgNewListToTifTilDetailAction.do?tilcod=2002222280264</v>
      </c>
    </row>
    <row r="4506" spans="1:9" x14ac:dyDescent="0.4">
      <c r="A4506" t="str">
        <f>"文学祭"</f>
        <v>文学祭</v>
      </c>
      <c r="B4506" s="1" t="str">
        <f t="shared" si="228"/>
        <v>文学祭</v>
      </c>
      <c r="C4506" t="str">
        <f>"ブンガクサイ"</f>
        <v>ブンガクサイ</v>
      </c>
      <c r="D4506" t="str">
        <f>"文学祭社"</f>
        <v>文学祭社</v>
      </c>
      <c r="E4506" t="str">
        <f>"ブンガクサイシャ"</f>
        <v>ブンガクサイシャ</v>
      </c>
      <c r="F4506" t="str">
        <f>"倉敷市"</f>
        <v>倉敷市</v>
      </c>
      <c r="G4506" t="str">
        <f>"月刊"</f>
        <v>月刊</v>
      </c>
      <c r="H4506" t="str">
        <f>"2002222302146"</f>
        <v>2002222302146</v>
      </c>
      <c r="I4506" t="str">
        <f>HYPERLINK("#", "https://opac.libnet.pref.okayama.jp/licsxp-opac/WOpacMsgNewListToTifTilDetailAction.do?tilcod=2002222302146")</f>
        <v>https://opac.libnet.pref.okayama.jp/licsxp-opac/WOpacMsgNewListToTifTilDetailAction.do?tilcod=2002222302146</v>
      </c>
    </row>
    <row r="4507" spans="1:9" x14ac:dyDescent="0.4">
      <c r="A4507" t="str">
        <f>"文化圏"</f>
        <v>文化圏</v>
      </c>
      <c r="B4507" s="1" t="str">
        <f t="shared" si="228"/>
        <v>文化圏</v>
      </c>
      <c r="C4507" t="str">
        <f>"ブンカケン"</f>
        <v>ブンカケン</v>
      </c>
      <c r="D4507" t="str">
        <f>"岡山文化圏同人"</f>
        <v>岡山文化圏同人</v>
      </c>
      <c r="E4507" t="str">
        <f>"オカヤマブンカケンドウジン"</f>
        <v>オカヤマブンカケンドウジン</v>
      </c>
      <c r="F4507" t="str">
        <f>""</f>
        <v/>
      </c>
      <c r="G4507" t="str">
        <f>"頻度不明"</f>
        <v>頻度不明</v>
      </c>
      <c r="H4507" t="str">
        <f>"2002222280274"</f>
        <v>2002222280274</v>
      </c>
      <c r="I4507" t="str">
        <f>HYPERLINK("#", "https://opac.libnet.pref.okayama.jp/licsxp-opac/WOpacMsgNewListToTifTilDetailAction.do?tilcod=2002222280274")</f>
        <v>https://opac.libnet.pref.okayama.jp/licsxp-opac/WOpacMsgNewListToTifTilDetailAction.do?tilcod=2002222280274</v>
      </c>
    </row>
    <row r="4508" spans="1:9" x14ac:dyDescent="0.4">
      <c r="A4508" t="str">
        <f>"文化財情報学研究；吉備国際大学文化財総合研究センター紀要"</f>
        <v>文化財情報学研究；吉備国際大学文化財総合研究センター紀要</v>
      </c>
      <c r="B4508" s="1" t="str">
        <f t="shared" si="228"/>
        <v>文化財情報学研究；吉備国際大学文化財総合研究センター紀要</v>
      </c>
      <c r="C4508" t="str">
        <f>"ブンカザイ　ジョウホウガク　ケンキュウ＊キビ　コクサイ　ダイガク　ブンカザイ　ソウゴウ　ケンキュウ　センター　キヨウ"</f>
        <v>ブンカザイ　ジョウホウガク　ケンキュウ＊キビ　コクサイ　ダイガク　ブンカザイ　ソウゴウ　ケンキュウ　センター　キヨウ</v>
      </c>
      <c r="D4508" t="str">
        <f>"吉備国際大学文化財総合研究センター"</f>
        <v>吉備国際大学文化財総合研究センター</v>
      </c>
      <c r="E4508" t="str">
        <f>"キビコクサイダイガクブンカザイソウゴウケンキュウセンター"</f>
        <v>キビコクサイダイガクブンカザイソウゴウケンキュウセンター</v>
      </c>
      <c r="F4508" t="str">
        <f>"高梁"</f>
        <v>高梁</v>
      </c>
      <c r="G4508" t="str">
        <f>"年刊"</f>
        <v>年刊</v>
      </c>
      <c r="H4508" t="str">
        <f>"2002222301765"</f>
        <v>2002222301765</v>
      </c>
      <c r="I4508" t="str">
        <f>HYPERLINK("#", "https://opac.libnet.pref.okayama.jp/licsxp-opac/WOpacMsgNewListToTifTilDetailAction.do?tilcod=2002222301765")</f>
        <v>https://opac.libnet.pref.okayama.jp/licsxp-opac/WOpacMsgNewListToTifTilDetailAction.do?tilcod=2002222301765</v>
      </c>
    </row>
    <row r="4509" spans="1:9" x14ac:dyDescent="0.4">
      <c r="A4509" t="str">
        <f>"文化財だより"</f>
        <v>文化財だより</v>
      </c>
      <c r="B4509" s="1" t="str">
        <f t="shared" si="228"/>
        <v>文化財だより</v>
      </c>
      <c r="C4509" t="str">
        <f>"ブンカザイ　ダヨリ"</f>
        <v>ブンカザイ　ダヨリ</v>
      </c>
      <c r="D4509" t="str">
        <f>"岡山県文化財保護協会"</f>
        <v>岡山県文化財保護協会</v>
      </c>
      <c r="E4509" t="str">
        <f>"オカヤマケン ブンカザイ ホゴ キョウカイ"</f>
        <v>オカヤマケン ブンカザイ ホゴ キョウカイ</v>
      </c>
      <c r="F4509" t="str">
        <f>"岡山"</f>
        <v>岡山</v>
      </c>
      <c r="G4509" t="str">
        <f>"年２回刊"</f>
        <v>年２回刊</v>
      </c>
      <c r="H4509" t="str">
        <f>"2002222280284"</f>
        <v>2002222280284</v>
      </c>
      <c r="I4509" t="str">
        <f>HYPERLINK("#", "https://opac.libnet.pref.okayama.jp/licsxp-opac/WOpacMsgNewListToTifTilDetailAction.do?tilcod=2002222280284")</f>
        <v>https://opac.libnet.pref.okayama.jp/licsxp-opac/WOpacMsgNewListToTifTilDetailAction.do?tilcod=2002222280284</v>
      </c>
    </row>
    <row r="4510" spans="1:9" x14ac:dyDescent="0.4">
      <c r="A4510" t="str">
        <f>"文化財のひろば"</f>
        <v>文化財のひろば</v>
      </c>
      <c r="B4510" s="1" t="str">
        <f t="shared" si="228"/>
        <v>文化財のひろば</v>
      </c>
      <c r="C4510" t="str">
        <f>"ブンカザイ ノ ヒロバ"</f>
        <v>ブンカザイ ノ ヒロバ</v>
      </c>
      <c r="D4510" t="str">
        <f>"津山市教育委員会社会教育課"</f>
        <v>津山市教育委員会社会教育課</v>
      </c>
      <c r="E4510" t="str">
        <f>"ツヤマシ キョウイク イインカイ シャカイ キョウイクカ"</f>
        <v>ツヤマシ キョウイク イインカイ シャカイ キョウイクカ</v>
      </c>
      <c r="F4510" t="str">
        <f>""</f>
        <v/>
      </c>
      <c r="G4510" t="str">
        <f>"頻度不明"</f>
        <v>頻度不明</v>
      </c>
      <c r="H4510" t="str">
        <f>"2002222280294"</f>
        <v>2002222280294</v>
      </c>
      <c r="I4510" t="str">
        <f>HYPERLINK("#", "https://opac.libnet.pref.okayama.jp/licsxp-opac/WOpacMsgNewListToTifTilDetailAction.do?tilcod=2002222280294")</f>
        <v>https://opac.libnet.pref.okayama.jp/licsxp-opac/WOpacMsgNewListToTifTilDetailAction.do?tilcod=2002222280294</v>
      </c>
    </row>
    <row r="4511" spans="1:9" x14ac:dyDescent="0.4">
      <c r="A4511" t="str">
        <f>"文芸"</f>
        <v>文芸</v>
      </c>
      <c r="B4511" s="1" t="str">
        <f t="shared" si="228"/>
        <v>文芸</v>
      </c>
      <c r="C4511" t="str">
        <f>"ブンゲイ"</f>
        <v>ブンゲイ</v>
      </c>
      <c r="D4511" t="str">
        <f>"岡山県職員組合"</f>
        <v>岡山県職員組合</v>
      </c>
      <c r="E4511" t="str">
        <f>"オカヤマケン ショクイン クミアイ"</f>
        <v>オカヤマケン ショクイン クミアイ</v>
      </c>
      <c r="F4511" t="str">
        <f>"岡山"</f>
        <v>岡山</v>
      </c>
      <c r="G4511" t="str">
        <f>"頻度不明"</f>
        <v>頻度不明</v>
      </c>
      <c r="H4511" t="str">
        <f>"2002222301768"</f>
        <v>2002222301768</v>
      </c>
      <c r="I4511" t="str">
        <f>HYPERLINK("#", "https://opac.libnet.pref.okayama.jp/licsxp-opac/WOpacMsgNewListToTifTilDetailAction.do?tilcod=2002222301768")</f>
        <v>https://opac.libnet.pref.okayama.jp/licsxp-opac/WOpacMsgNewListToTifTilDetailAction.do?tilcod=2002222301768</v>
      </c>
    </row>
    <row r="4512" spans="1:9" x14ac:dyDescent="0.4">
      <c r="A4512" t="str">
        <f>"文芸上潮"</f>
        <v>文芸上潮</v>
      </c>
      <c r="B4512" s="1" t="str">
        <f t="shared" si="228"/>
        <v>文芸上潮</v>
      </c>
      <c r="C4512" t="str">
        <f>"ブンゲイ　カミシオ"</f>
        <v>ブンゲイ　カミシオ</v>
      </c>
      <c r="D4512" t="str">
        <f>"文芸上潮作家協会"</f>
        <v>文芸上潮作家協会</v>
      </c>
      <c r="E4512" t="str">
        <f>"ブンゲイ　カミシオ　サッカ　キョウカイ"</f>
        <v>ブンゲイ　カミシオ　サッカ　キョウカイ</v>
      </c>
      <c r="F4512" t="str">
        <f>""</f>
        <v/>
      </c>
      <c r="G4512" t="str">
        <f>"頻度不明"</f>
        <v>頻度不明</v>
      </c>
      <c r="H4512" t="str">
        <f>"2002222280314"</f>
        <v>2002222280314</v>
      </c>
      <c r="I4512" t="str">
        <f>HYPERLINK("#", "https://opac.libnet.pref.okayama.jp/licsxp-opac/WOpacMsgNewListToTifTilDetailAction.do?tilcod=2002222280314")</f>
        <v>https://opac.libnet.pref.okayama.jp/licsxp-opac/WOpacMsgNewListToTifTilDetailAction.do?tilcod=2002222280314</v>
      </c>
    </row>
    <row r="4513" spans="1:9" x14ac:dyDescent="0.4">
      <c r="A4513" t="str">
        <f>"文芸かわはぎ"</f>
        <v>文芸かわはぎ</v>
      </c>
      <c r="B4513" s="1" t="str">
        <f t="shared" si="228"/>
        <v>文芸かわはぎ</v>
      </c>
      <c r="C4513" t="str">
        <f>"ブンゲイ　カワハギ"</f>
        <v>ブンゲイ　カワハギ</v>
      </c>
      <c r="D4513" t="str">
        <f>"文芸かわはぎ事務所"</f>
        <v>文芸かわはぎ事務所</v>
      </c>
      <c r="E4513" t="str">
        <f>"ブンゲイカワハギジムショ"</f>
        <v>ブンゲイカワハギジムショ</v>
      </c>
      <c r="F4513" t="str">
        <f>"岡山"</f>
        <v>岡山</v>
      </c>
      <c r="G4513" t="str">
        <f>"頻度不明"</f>
        <v>頻度不明</v>
      </c>
      <c r="H4513" t="str">
        <f>"2002222301299"</f>
        <v>2002222301299</v>
      </c>
      <c r="I4513" t="str">
        <f>HYPERLINK("#", "https://opac.libnet.pref.okayama.jp/licsxp-opac/WOpacMsgNewListToTifTilDetailAction.do?tilcod=2002222301299")</f>
        <v>https://opac.libnet.pref.okayama.jp/licsxp-opac/WOpacMsgNewListToTifTilDetailAction.do?tilcod=2002222301299</v>
      </c>
    </row>
    <row r="4514" spans="1:9" x14ac:dyDescent="0.4">
      <c r="A4514" t="str">
        <f>"文芸吉備"</f>
        <v>文芸吉備</v>
      </c>
      <c r="B4514" s="1" t="str">
        <f t="shared" si="228"/>
        <v>文芸吉備</v>
      </c>
      <c r="C4514" t="str">
        <f>"ブンゲイ　キビ"</f>
        <v>ブンゲイ　キビ</v>
      </c>
      <c r="D4514" t="str">
        <f>"中国短期大学文芸同好会"</f>
        <v>中国短期大学文芸同好会</v>
      </c>
      <c r="E4514" t="str">
        <f>"チュウゴクタンキダイガクブンゲイドウコウカイ"</f>
        <v>チュウゴクタンキダイガクブンゲイドウコウカイ</v>
      </c>
      <c r="F4514" t="str">
        <f>""</f>
        <v/>
      </c>
      <c r="G4514" t="str">
        <f>"頻度不明"</f>
        <v>頻度不明</v>
      </c>
      <c r="H4514" t="str">
        <f>"2002222280304"</f>
        <v>2002222280304</v>
      </c>
      <c r="I4514" t="str">
        <f>HYPERLINK("#", "https://opac.libnet.pref.okayama.jp/licsxp-opac/WOpacMsgNewListToTifTilDetailAction.do?tilcod=2002222280304")</f>
        <v>https://opac.libnet.pref.okayama.jp/licsxp-opac/WOpacMsgNewListToTifTilDetailAction.do?tilcod=2002222280304</v>
      </c>
    </row>
    <row r="4515" spans="1:9" x14ac:dyDescent="0.4">
      <c r="A4515" t="str">
        <f>"文芸玉野"</f>
        <v>文芸玉野</v>
      </c>
      <c r="B4515" s="1" t="str">
        <f t="shared" si="228"/>
        <v>文芸玉野</v>
      </c>
      <c r="C4515" t="str">
        <f>"ブンゲイ　タマノ"</f>
        <v>ブンゲイ　タマノ</v>
      </c>
      <c r="D4515" t="str">
        <f>"秀文社"</f>
        <v>秀文社</v>
      </c>
      <c r="E4515" t="str">
        <f>"シュウブンシャ"</f>
        <v>シュウブンシャ</v>
      </c>
      <c r="F4515" t="str">
        <f>"玉野"</f>
        <v>玉野</v>
      </c>
      <c r="G4515" t="str">
        <f>"月刊"</f>
        <v>月刊</v>
      </c>
      <c r="H4515" t="str">
        <f>"2002222302132"</f>
        <v>2002222302132</v>
      </c>
      <c r="I4515" t="str">
        <f>HYPERLINK("#", "https://opac.libnet.pref.okayama.jp/licsxp-opac/WOpacMsgNewListToTifTilDetailAction.do?tilcod=2002222302132")</f>
        <v>https://opac.libnet.pref.okayama.jp/licsxp-opac/WOpacMsgNewListToTifTilDetailAction.do?tilcod=2002222302132</v>
      </c>
    </row>
    <row r="4516" spans="1:9" x14ac:dyDescent="0.4">
      <c r="A4516" t="str">
        <f>"文芸芽"</f>
        <v>文芸芽</v>
      </c>
      <c r="B4516" s="1" t="str">
        <f t="shared" si="228"/>
        <v>文芸芽</v>
      </c>
      <c r="C4516" t="str">
        <f>"ブンゲイ＊メ"</f>
        <v>ブンゲイ＊メ</v>
      </c>
      <c r="D4516" t="str">
        <f>"川柳三光苑"</f>
        <v>川柳三光苑</v>
      </c>
      <c r="E4516" t="str">
        <f>"センリュウサンコウエン"</f>
        <v>センリュウサンコウエン</v>
      </c>
      <c r="F4516" t="str">
        <f>""</f>
        <v/>
      </c>
      <c r="G4516" t="str">
        <f t="shared" ref="G4516:G4523" si="229">"頻度不明"</f>
        <v>頻度不明</v>
      </c>
      <c r="H4516" t="str">
        <f>"2002222280764"</f>
        <v>2002222280764</v>
      </c>
      <c r="I4516" t="str">
        <f>HYPERLINK("#", "https://opac.libnet.pref.okayama.jp/licsxp-opac/WOpacMsgNewListToTifTilDetailAction.do?tilcod=2002222280764")</f>
        <v>https://opac.libnet.pref.okayama.jp/licsxp-opac/WOpacMsgNewListToTifTilDetailAction.do?tilcod=2002222280764</v>
      </c>
    </row>
    <row r="4517" spans="1:9" x14ac:dyDescent="0.4">
      <c r="A4517" t="str">
        <f>"文集；交通安全"</f>
        <v>文集；交通安全</v>
      </c>
      <c r="B4517" s="1" t="str">
        <f t="shared" si="228"/>
        <v>文集；交通安全</v>
      </c>
      <c r="C4517" t="str">
        <f>"ブンシュウ＊コウツウ　アンゼン"</f>
        <v>ブンシュウ＊コウツウ　アンゼン</v>
      </c>
      <c r="D4517" t="str">
        <f>"岡山県交通安全協会"</f>
        <v>岡山県交通安全協会</v>
      </c>
      <c r="E4517" t="str">
        <f>"オカヤマケンコウツウアンゼンキョウカイ"</f>
        <v>オカヤマケンコウツウアンゼンキョウカイ</v>
      </c>
      <c r="F4517" t="str">
        <f>"岡山"</f>
        <v>岡山</v>
      </c>
      <c r="G4517" t="str">
        <f t="shared" si="229"/>
        <v>頻度不明</v>
      </c>
      <c r="H4517" t="str">
        <f>"2002222281304"</f>
        <v>2002222281304</v>
      </c>
      <c r="I4517" t="str">
        <f>HYPERLINK("#", "https://opac.libnet.pref.okayama.jp/licsxp-opac/WOpacMsgNewListToTifTilDetailAction.do?tilcod=2002222281304")</f>
        <v>https://opac.libnet.pref.okayama.jp/licsxp-opac/WOpacMsgNewListToTifTilDetailAction.do?tilcod=2002222281304</v>
      </c>
    </row>
    <row r="4518" spans="1:9" x14ac:dyDescent="0.4">
      <c r="A4518" t="str">
        <f>"文集やつき"</f>
        <v>文集やつき</v>
      </c>
      <c r="B4518" s="1" t="str">
        <f t="shared" si="228"/>
        <v>文集やつき</v>
      </c>
      <c r="C4518" t="str">
        <f>"ブンシュウ＊ヤツキ"</f>
        <v>ブンシュウ＊ヤツキ</v>
      </c>
      <c r="D4518" t="str">
        <f>"岡山県働く青少年のつどい「やつき会」広報部"</f>
        <v>岡山県働く青少年のつどい「やつき会」広報部</v>
      </c>
      <c r="E4518" t="str">
        <f>"オカヤマケンハタラクセイショウネンノツドイヤツキカイコウホウブ"</f>
        <v>オカヤマケンハタラクセイショウネンノツドイヤツキカイコウホウブ</v>
      </c>
      <c r="F4518" t="str">
        <f>""</f>
        <v/>
      </c>
      <c r="G4518" t="str">
        <f t="shared" si="229"/>
        <v>頻度不明</v>
      </c>
      <c r="H4518" t="str">
        <f>"2002222280754"</f>
        <v>2002222280754</v>
      </c>
      <c r="I4518" t="str">
        <f>HYPERLINK("#", "https://opac.libnet.pref.okayama.jp/licsxp-opac/WOpacMsgNewListToTifTilDetailAction.do?tilcod=2002222280754")</f>
        <v>https://opac.libnet.pref.okayama.jp/licsxp-opac/WOpacMsgNewListToTifTilDetailAction.do?tilcod=2002222280754</v>
      </c>
    </row>
    <row r="4519" spans="1:9" x14ac:dyDescent="0.4">
      <c r="A4519" t="str">
        <f>"分水嶺"</f>
        <v>分水嶺</v>
      </c>
      <c r="B4519" s="1" t="str">
        <f t="shared" si="228"/>
        <v>分水嶺</v>
      </c>
      <c r="C4519" t="str">
        <f>"ブンスイレイ"</f>
        <v>ブンスイレイ</v>
      </c>
      <c r="D4519" t="str">
        <f>"「分水嶺」同人会"</f>
        <v>「分水嶺」同人会</v>
      </c>
      <c r="E4519" t="str">
        <f>"ブンスイレイ　ドウジンカイ"</f>
        <v>ブンスイレイ　ドウジンカイ</v>
      </c>
      <c r="F4519" t="str">
        <f>""</f>
        <v/>
      </c>
      <c r="G4519" t="str">
        <f t="shared" si="229"/>
        <v>頻度不明</v>
      </c>
      <c r="H4519" t="str">
        <f>"2002222280324"</f>
        <v>2002222280324</v>
      </c>
      <c r="I4519" t="str">
        <f>HYPERLINK("#", "https://opac.libnet.pref.okayama.jp/licsxp-opac/WOpacMsgNewListToTifTilDetailAction.do?tilcod=2002222280324")</f>
        <v>https://opac.libnet.pref.okayama.jp/licsxp-opac/WOpacMsgNewListToTifTilDetailAction.do?tilcod=2002222280324</v>
      </c>
    </row>
    <row r="4520" spans="1:9" x14ac:dyDescent="0.4">
      <c r="A4520" t="str">
        <f>"噴泉"</f>
        <v>噴泉</v>
      </c>
      <c r="B4520" s="1" t="str">
        <f t="shared" si="228"/>
        <v>噴泉</v>
      </c>
      <c r="C4520" t="str">
        <f>"フンセン"</f>
        <v>フンセン</v>
      </c>
      <c r="D4520" t="str">
        <f>"湯原噴泉吟社"</f>
        <v>湯原噴泉吟社</v>
      </c>
      <c r="E4520" t="str">
        <f>"ユバラフンセンギンシャ"</f>
        <v>ユバラフンセンギンシャ</v>
      </c>
      <c r="F4520" t="str">
        <f>""</f>
        <v/>
      </c>
      <c r="G4520" t="str">
        <f t="shared" si="229"/>
        <v>頻度不明</v>
      </c>
      <c r="H4520" t="str">
        <f>"2002222280334"</f>
        <v>2002222280334</v>
      </c>
      <c r="I4520" t="str">
        <f>HYPERLINK("#", "https://opac.libnet.pref.okayama.jp/licsxp-opac/WOpacMsgNewListToTifTilDetailAction.do?tilcod=2002222280334")</f>
        <v>https://opac.libnet.pref.okayama.jp/licsxp-opac/WOpacMsgNewListToTifTilDetailAction.do?tilcod=2002222280334</v>
      </c>
    </row>
    <row r="4521" spans="1:9" x14ac:dyDescent="0.4">
      <c r="A4521" t="str">
        <f>"文叢"</f>
        <v>文叢</v>
      </c>
      <c r="B4521" s="1" t="str">
        <f t="shared" si="228"/>
        <v>文叢</v>
      </c>
      <c r="C4521" t="str">
        <f>"ブンソウ"</f>
        <v>ブンソウ</v>
      </c>
      <c r="D4521" t="str">
        <f>"岡山県第二岡山中学校校友会"</f>
        <v>岡山県第二岡山中学校校友会</v>
      </c>
      <c r="E4521" t="str">
        <f>"オカヤマケン ダイニ オカヤマ チュウガッコウ コウユウカイ"</f>
        <v>オカヤマケン ダイニ オカヤマ チュウガッコウ コウユウカイ</v>
      </c>
      <c r="F4521" t="str">
        <f>"岡山"</f>
        <v>岡山</v>
      </c>
      <c r="G4521" t="str">
        <f t="shared" si="229"/>
        <v>頻度不明</v>
      </c>
      <c r="H4521" t="str">
        <f>"2002222285071"</f>
        <v>2002222285071</v>
      </c>
      <c r="I4521" t="str">
        <f>HYPERLINK("#", "https://opac.libnet.pref.okayama.jp/licsxp-opac/WOpacMsgNewListToTifTilDetailAction.do?tilcod=2002222285071")</f>
        <v>https://opac.libnet.pref.okayama.jp/licsxp-opac/WOpacMsgNewListToTifTilDetailAction.do?tilcod=2002222285071</v>
      </c>
    </row>
    <row r="4522" spans="1:9" x14ac:dyDescent="0.4">
      <c r="A4522" t="str">
        <f>"文藻"</f>
        <v>文藻</v>
      </c>
      <c r="B4522" s="1" t="str">
        <f t="shared" si="228"/>
        <v>文藻</v>
      </c>
      <c r="C4522" t="str">
        <f>"ブンソウ"</f>
        <v>ブンソウ</v>
      </c>
      <c r="D4522" t="str">
        <f>"黄薇文藻会"</f>
        <v>黄薇文藻会</v>
      </c>
      <c r="E4522" t="str">
        <f>"キビブンソウカイ"</f>
        <v>キビブンソウカイ</v>
      </c>
      <c r="F4522" t="str">
        <f>""</f>
        <v/>
      </c>
      <c r="G4522" t="str">
        <f t="shared" si="229"/>
        <v>頻度不明</v>
      </c>
      <c r="H4522" t="str">
        <f>"2002222280344"</f>
        <v>2002222280344</v>
      </c>
      <c r="I4522" t="str">
        <f>HYPERLINK("#", "https://opac.libnet.pref.okayama.jp/licsxp-opac/WOpacMsgNewListToTifTilDetailAction.do?tilcod=2002222280344")</f>
        <v>https://opac.libnet.pref.okayama.jp/licsxp-opac/WOpacMsgNewListToTifTilDetailAction.do?tilcod=2002222280344</v>
      </c>
    </row>
    <row r="4523" spans="1:9" x14ac:dyDescent="0.4">
      <c r="A4523" t="str">
        <f>"文脈"</f>
        <v>文脈</v>
      </c>
      <c r="B4523" s="1" t="str">
        <f t="shared" si="228"/>
        <v>文脈</v>
      </c>
      <c r="C4523" t="str">
        <f>"ブンミャク"</f>
        <v>ブンミャク</v>
      </c>
      <c r="D4523" t="str">
        <f>"烏城高等学校文学部"</f>
        <v>烏城高等学校文学部</v>
      </c>
      <c r="E4523" t="str">
        <f>"ウジョウ コウトウ ガッコウ"</f>
        <v>ウジョウ コウトウ ガッコウ</v>
      </c>
      <c r="F4523" t="str">
        <f>"岡山"</f>
        <v>岡山</v>
      </c>
      <c r="G4523" t="str">
        <f t="shared" si="229"/>
        <v>頻度不明</v>
      </c>
      <c r="H4523" t="str">
        <f>"2002222338030"</f>
        <v>2002222338030</v>
      </c>
      <c r="I4523" t="str">
        <f>HYPERLINK("#", "https://opac.libnet.pref.okayama.jp/licsxp-opac/WOpacMsgNewListToTifTilDetailAction.do?tilcod=2002222338030")</f>
        <v>https://opac.libnet.pref.okayama.jp/licsxp-opac/WOpacMsgNewListToTifTilDetailAction.do?tilcod=2002222338030</v>
      </c>
    </row>
    <row r="4524" spans="1:9" x14ac:dyDescent="0.4">
      <c r="A4524" t="str">
        <f>"文明之児童"</f>
        <v>文明之児童</v>
      </c>
      <c r="B4524" s="1" t="str">
        <f t="shared" si="228"/>
        <v>文明之児童</v>
      </c>
      <c r="C4524" t="str">
        <f>"ブンメイ ノ ジドウ"</f>
        <v>ブンメイ ノ ジドウ</v>
      </c>
      <c r="D4524" t="str">
        <f>"薇州文社"</f>
        <v>薇州文社</v>
      </c>
      <c r="E4524" t="str">
        <f>"ビシュウブンシャ"</f>
        <v>ビシュウブンシャ</v>
      </c>
      <c r="F4524" t="str">
        <f>"備中国"</f>
        <v>備中国</v>
      </c>
      <c r="G4524" t="str">
        <f>"月刊"</f>
        <v>月刊</v>
      </c>
      <c r="H4524" t="str">
        <f>"2002222343790"</f>
        <v>2002222343790</v>
      </c>
      <c r="I4524" t="str">
        <f>HYPERLINK("#", "https://opac.libnet.pref.okayama.jp/licsxp-opac/WOpacMsgNewListToTifTilDetailAction.do?tilcod=2002222343790")</f>
        <v>https://opac.libnet.pref.okayama.jp/licsxp-opac/WOpacMsgNewListToTifTilDetailAction.do?tilcod=2002222343790</v>
      </c>
    </row>
    <row r="4525" spans="1:9" x14ac:dyDescent="0.4">
      <c r="A4525" t="str">
        <f>"文明の花(複製)"</f>
        <v>文明の花(複製)</v>
      </c>
      <c r="B4525" s="1" t="str">
        <f t="shared" si="228"/>
        <v>文明の花(複製)</v>
      </c>
      <c r="C4525" t="str">
        <f>"ブンメイ　ノ　ハナ"</f>
        <v>ブンメイ　ノ　ハナ</v>
      </c>
      <c r="D4525" t="str">
        <f>"吉田書房"</f>
        <v>吉田書房</v>
      </c>
      <c r="E4525" t="str">
        <f>"ヨシダ ショボウ"</f>
        <v>ヨシダ ショボウ</v>
      </c>
      <c r="F4525" t="str">
        <f>""</f>
        <v/>
      </c>
      <c r="G4525" t="str">
        <f>"頻度不明"</f>
        <v>頻度不明</v>
      </c>
      <c r="H4525" t="str">
        <f>"2002222280354"</f>
        <v>2002222280354</v>
      </c>
      <c r="I4525" t="str">
        <f>HYPERLINK("#", "https://opac.libnet.pref.okayama.jp/licsxp-opac/WOpacMsgNewListToTifTilDetailAction.do?tilcod=2002222280354")</f>
        <v>https://opac.libnet.pref.okayama.jp/licsxp-opac/WOpacMsgNewListToTifTilDetailAction.do?tilcod=2002222280354</v>
      </c>
    </row>
    <row r="4526" spans="1:9" x14ac:dyDescent="0.4">
      <c r="A4526" t="str">
        <f>"噴流"</f>
        <v>噴流</v>
      </c>
      <c r="B4526" s="1" t="str">
        <f t="shared" si="228"/>
        <v>噴流</v>
      </c>
      <c r="C4526" t="str">
        <f>"フンリュウ"</f>
        <v>フンリュウ</v>
      </c>
      <c r="D4526" t="str">
        <f>"井原市学校教育研究会・芳井町学校教育研究会"</f>
        <v>井原市学校教育研究会・芳井町学校教育研究会</v>
      </c>
      <c r="E4526" t="str">
        <f>"イバラシガッコウキョウイクケンキュウカイ　・　ヨシイチョウガッコウキョウイクケンキュウカイ"</f>
        <v>イバラシガッコウキョウイクケンキュウカイ　・　ヨシイチョウガッコウキョウイクケンキュウカイ</v>
      </c>
      <c r="F4526" t="str">
        <f>""</f>
        <v/>
      </c>
      <c r="G4526" t="str">
        <f>"頻度不明"</f>
        <v>頻度不明</v>
      </c>
      <c r="H4526" t="str">
        <f>"2002222280364"</f>
        <v>2002222280364</v>
      </c>
      <c r="I4526" t="str">
        <f>HYPERLINK("#", "https://opac.libnet.pref.okayama.jp/licsxp-opac/WOpacMsgNewListToTifTilDetailAction.do?tilcod=2002222280364")</f>
        <v>https://opac.libnet.pref.okayama.jp/licsxp-opac/WOpacMsgNewListToTifTilDetailAction.do?tilcod=2002222280364</v>
      </c>
    </row>
    <row r="4527" spans="1:9" x14ac:dyDescent="0.4">
      <c r="A4527" t="str">
        <f>"文林"</f>
        <v>文林</v>
      </c>
      <c r="B4527" s="1" t="str">
        <f t="shared" si="228"/>
        <v>文林</v>
      </c>
      <c r="C4527" t="str">
        <f>"ブンリン"</f>
        <v>ブンリン</v>
      </c>
      <c r="D4527" t="str">
        <f>"文林園"</f>
        <v>文林園</v>
      </c>
      <c r="E4527" t="str">
        <f>"ブンリンエン"</f>
        <v>ブンリンエン</v>
      </c>
      <c r="F4527" t="str">
        <f>""</f>
        <v/>
      </c>
      <c r="G4527" t="str">
        <f>"頻度不明"</f>
        <v>頻度不明</v>
      </c>
      <c r="H4527" t="str">
        <f>"2002222280374"</f>
        <v>2002222280374</v>
      </c>
      <c r="I4527" t="str">
        <f>HYPERLINK("#", "https://opac.libnet.pref.okayama.jp/licsxp-opac/WOpacMsgNewListToTifTilDetailAction.do?tilcod=2002222280374")</f>
        <v>https://opac.libnet.pref.okayama.jp/licsxp-opac/WOpacMsgNewListToTifTilDetailAction.do?tilcod=2002222280374</v>
      </c>
    </row>
    <row r="4528" spans="1:9" x14ac:dyDescent="0.4">
      <c r="A4528" t="str">
        <f>"ペガサスが来た日曜日"</f>
        <v>ペガサスが来た日曜日</v>
      </c>
      <c r="B4528" s="1" t="str">
        <f t="shared" si="228"/>
        <v>ペガサスが来た日曜日</v>
      </c>
      <c r="C4528" t="str">
        <f>"ペガサス　ガ　キタ　ニチヨウビ"</f>
        <v>ペガサス　ガ　キタ　ニチヨウビ</v>
      </c>
      <c r="D4528" t="str">
        <f>"詩の会・裸足"</f>
        <v>詩の会・裸足</v>
      </c>
      <c r="E4528" t="str">
        <f>"シノカイハダシ"</f>
        <v>シノカイハダシ</v>
      </c>
      <c r="F4528" t="str">
        <f>"岡山"</f>
        <v>岡山</v>
      </c>
      <c r="G4528" t="str">
        <f>"頻度不明"</f>
        <v>頻度不明</v>
      </c>
      <c r="H4528" t="str">
        <f>"2002222281244"</f>
        <v>2002222281244</v>
      </c>
      <c r="I4528" t="str">
        <f>HYPERLINK("#", "https://opac.libnet.pref.okayama.jp/licsxp-opac/WOpacMsgNewListToTifTilDetailAction.do?tilcod=2002222281244")</f>
        <v>https://opac.libnet.pref.okayama.jp/licsxp-opac/WOpacMsgNewListToTifTilDetailAction.do?tilcod=2002222281244</v>
      </c>
    </row>
    <row r="4529" spans="1:9" x14ac:dyDescent="0.4">
      <c r="A4529" t="str">
        <f>"へき連通報"</f>
        <v>へき連通報</v>
      </c>
      <c r="B4529" s="1" t="str">
        <f t="shared" si="228"/>
        <v>へき連通報</v>
      </c>
      <c r="C4529" t="str">
        <f>"ヘキレン　ツウホウ"</f>
        <v>ヘキレン　ツウホウ</v>
      </c>
      <c r="D4529" t="str">
        <f>"岡山県へき地教育研究連盟"</f>
        <v>岡山県へき地教育研究連盟</v>
      </c>
      <c r="E4529" t="str">
        <f>"オカヤマケン ヘキチ キョウイク ケンキュウ レンメイ"</f>
        <v>オカヤマケン ヘキチ キョウイク ケンキュウ レンメイ</v>
      </c>
      <c r="F4529" t="str">
        <f>"〔出版地不明〕"</f>
        <v>〔出版地不明〕</v>
      </c>
      <c r="G4529" t="str">
        <f>"年刊"</f>
        <v>年刊</v>
      </c>
      <c r="H4529" t="str">
        <f>"2002222282751"</f>
        <v>2002222282751</v>
      </c>
      <c r="I4529" t="str">
        <f>HYPERLINK("#", "https://opac.libnet.pref.okayama.jp/licsxp-opac/WOpacMsgNewListToTifTilDetailAction.do?tilcod=2002222282751")</f>
        <v>https://opac.libnet.pref.okayama.jp/licsxp-opac/WOpacMsgNewListToTifTilDetailAction.do?tilcod=2002222282751</v>
      </c>
    </row>
    <row r="4530" spans="1:9" x14ac:dyDescent="0.4">
      <c r="A4530" t="str">
        <f>"Ｂｅｄｓｔｅ　Ｖｅｎ（ベステヴェン）"</f>
        <v>Ｂｅｄｓｔｅ　Ｖｅｎ（ベステヴェン）</v>
      </c>
      <c r="B4530" s="1" t="str">
        <f t="shared" si="228"/>
        <v>Ｂｅｄｓｔｅ　Ｖｅｎ（ベステヴェン）</v>
      </c>
      <c r="C4530" t="str">
        <f>"ベステ　ヴェン"</f>
        <v>ベステ　ヴェン</v>
      </c>
      <c r="D4530" t="str">
        <f>"チボリスタッフセンター"</f>
        <v>チボリスタッフセンター</v>
      </c>
      <c r="E4530" t="str">
        <f>"チボリスタッフセンター"</f>
        <v>チボリスタッフセンター</v>
      </c>
      <c r="F4530" t="str">
        <f>""</f>
        <v/>
      </c>
      <c r="G4530" t="str">
        <f>"頻度不明"</f>
        <v>頻度不明</v>
      </c>
      <c r="H4530" t="str">
        <f>"2002222280744"</f>
        <v>2002222280744</v>
      </c>
      <c r="I4530" t="str">
        <f>HYPERLINK("#", "https://opac.libnet.pref.okayama.jp/licsxp-opac/WOpacMsgNewListToTifTilDetailAction.do?tilcod=2002222280744")</f>
        <v>https://opac.libnet.pref.okayama.jp/licsxp-opac/WOpacMsgNewListToTifTilDetailAction.do?tilcod=2002222280744</v>
      </c>
    </row>
    <row r="4531" spans="1:9" x14ac:dyDescent="0.4">
      <c r="A4531" t="str">
        <f>"別冊就ナビおかやま"</f>
        <v>別冊就ナビおかやま</v>
      </c>
      <c r="B4531" s="1" t="str">
        <f t="shared" si="228"/>
        <v>別冊就ナビおかやま</v>
      </c>
      <c r="C4531" t="str">
        <f>"ベッサツ シュウ ナビ オカヤマ"</f>
        <v>ベッサツ シュウ ナビ オカヤマ</v>
      </c>
      <c r="D4531" t="str">
        <f>"ビザビリレーションズ"</f>
        <v>ビザビリレーションズ</v>
      </c>
      <c r="E4531" t="str">
        <f>"ビザビ リレーションズ"</f>
        <v>ビザビ リレーションズ</v>
      </c>
      <c r="F4531" t="str">
        <f>"岡山"</f>
        <v>岡山</v>
      </c>
      <c r="G4531" t="str">
        <f>"季刊"</f>
        <v>季刊</v>
      </c>
      <c r="H4531" t="str">
        <f>"2002222302337"</f>
        <v>2002222302337</v>
      </c>
      <c r="I4531" t="str">
        <f>HYPERLINK("#", "https://opac.libnet.pref.okayama.jp/licsxp-opac/WOpacMsgNewListToTifTilDetailAction.do?tilcod=2002222302337")</f>
        <v>https://opac.libnet.pref.okayama.jp/licsxp-opac/WOpacMsgNewListToTifTilDetailAction.do?tilcod=2002222302337</v>
      </c>
    </row>
    <row r="4532" spans="1:9" x14ac:dyDescent="0.4">
      <c r="A4532" t="str">
        <f>"別冊ぱど＠Ｃｕｅ"</f>
        <v>別冊ぱど＠Ｃｕｅ</v>
      </c>
      <c r="B4532" s="1" t="str">
        <f t="shared" si="228"/>
        <v>別冊ぱど＠Ｃｕｅ</v>
      </c>
      <c r="C4532" t="str">
        <f>"ベッサツ　パド　アットマーク　キュー"</f>
        <v>ベッサツ　パド　アットマーク　キュー</v>
      </c>
      <c r="D4532" t="str">
        <f>"ぱどメディアセンター"</f>
        <v>ぱどメディアセンター</v>
      </c>
      <c r="E4532" t="str">
        <f>"パドメディアセンター"</f>
        <v>パドメディアセンター</v>
      </c>
      <c r="F4532" t="str">
        <f>"岡山"</f>
        <v>岡山</v>
      </c>
      <c r="G4532" t="str">
        <f>"年２回刊"</f>
        <v>年２回刊</v>
      </c>
      <c r="H4532" t="str">
        <f>"2002222301411"</f>
        <v>2002222301411</v>
      </c>
      <c r="I4532" t="str">
        <f>HYPERLINK("#", "https://opac.libnet.pref.okayama.jp/licsxp-opac/WOpacMsgNewListToTifTilDetailAction.do?tilcod=2002222301411")</f>
        <v>https://opac.libnet.pref.okayama.jp/licsxp-opac/WOpacMsgNewListToTifTilDetailAction.do?tilcod=2002222301411</v>
      </c>
    </row>
    <row r="4533" spans="1:9" x14ac:dyDescent="0.4">
      <c r="A4533" t="str">
        <f>"別冊山陽レポート"</f>
        <v>別冊山陽レポート</v>
      </c>
      <c r="B4533" s="1" t="str">
        <f t="shared" si="228"/>
        <v>別冊山陽レポート</v>
      </c>
      <c r="C4533" t="str">
        <f>"ベッサツ＊サンヨウ　レポート"</f>
        <v>ベッサツ＊サンヨウ　レポート</v>
      </c>
      <c r="D4533" t="str">
        <f>"山陽新聞社"</f>
        <v>山陽新聞社</v>
      </c>
      <c r="E4533" t="str">
        <f>"サンヨウシンブンシャ"</f>
        <v>サンヨウシンブンシャ</v>
      </c>
      <c r="F4533" t="str">
        <f>"岡山"</f>
        <v>岡山</v>
      </c>
      <c r="G4533" t="str">
        <f>"年刊"</f>
        <v>年刊</v>
      </c>
      <c r="H4533" t="str">
        <f>"2002222281713"</f>
        <v>2002222281713</v>
      </c>
      <c r="I4533" t="str">
        <f>HYPERLINK("#", "https://opac.libnet.pref.okayama.jp/licsxp-opac/WOpacMsgNewListToTifTilDetailAction.do?tilcod=2002222281713")</f>
        <v>https://opac.libnet.pref.okayama.jp/licsxp-opac/WOpacMsgNewListToTifTilDetailAction.do?tilcod=2002222281713</v>
      </c>
    </row>
    <row r="4534" spans="1:9" x14ac:dyDescent="0.4">
      <c r="A4534" t="str">
        <f>"ペット倶楽部　岡山版"</f>
        <v>ペット倶楽部　岡山版</v>
      </c>
      <c r="B4534" s="1" t="str">
        <f t="shared" si="228"/>
        <v>ペット倶楽部　岡山版</v>
      </c>
      <c r="C4534" t="str">
        <f>"ペット　クラブ　オカヤマ　バン"</f>
        <v>ペット　クラブ　オカヤマ　バン</v>
      </c>
      <c r="D4534" t="str">
        <f>"ペット倶楽部岡山"</f>
        <v>ペット倶楽部岡山</v>
      </c>
      <c r="E4534" t="str">
        <f>"ペットクラブオカヤマ"</f>
        <v>ペットクラブオカヤマ</v>
      </c>
      <c r="F4534" t="str">
        <f>"岡山"</f>
        <v>岡山</v>
      </c>
      <c r="G4534" t="str">
        <f>"月刊"</f>
        <v>月刊</v>
      </c>
      <c r="H4534" t="str">
        <f>"2002222286141"</f>
        <v>2002222286141</v>
      </c>
      <c r="I4534" t="str">
        <f>HYPERLINK("#", "https://opac.libnet.pref.okayama.jp/licsxp-opac/WOpacMsgNewListToTifTilDetailAction.do?tilcod=2002222286141")</f>
        <v>https://opac.libnet.pref.okayama.jp/licsxp-opac/WOpacMsgNewListToTifTilDetailAction.do?tilcod=2002222286141</v>
      </c>
    </row>
    <row r="4535" spans="1:9" x14ac:dyDescent="0.4">
      <c r="A4535" t="str">
        <f>"Benesse Art Site Naoshima periodical magazine"</f>
        <v>Benesse Art Site Naoshima periodical magazine</v>
      </c>
      <c r="B4535" s="1" t="str">
        <f t="shared" si="228"/>
        <v>Benesse Art Site Naoshima periodical magazine</v>
      </c>
      <c r="C4535" t="str">
        <f>"ベネッセ アート サイト ナオシマ ピリオディカル マガジン"</f>
        <v>ベネッセ アート サイト ナオシマ ピリオディカル マガジン</v>
      </c>
      <c r="D4535" t="str">
        <f>"ベネッセアートサイト直島"</f>
        <v>ベネッセアートサイト直島</v>
      </c>
      <c r="E4535" t="str">
        <f>"ベネッセ アート サイト ナオシマ"</f>
        <v>ベネッセ アート サイト ナオシマ</v>
      </c>
      <c r="F4535" t="str">
        <f>"直島町（香川県）"</f>
        <v>直島町（香川県）</v>
      </c>
      <c r="G4535" t="str">
        <f>"季刊"</f>
        <v>季刊</v>
      </c>
      <c r="H4535" t="str">
        <f>"2002222342252"</f>
        <v>2002222342252</v>
      </c>
      <c r="I4535" t="str">
        <f>HYPERLINK("#", "https://opac.libnet.pref.okayama.jp/licsxp-opac/WOpacMsgNewListToTifTilDetailAction.do?tilcod=2002222342252")</f>
        <v>https://opac.libnet.pref.okayama.jp/licsxp-opac/WOpacMsgNewListToTifTilDetailAction.do?tilcod=2002222342252</v>
      </c>
    </row>
    <row r="4536" spans="1:9" x14ac:dyDescent="0.4">
      <c r="A4536" t="str">
        <f>"ベル学園高校ニュース"</f>
        <v>ベル学園高校ニュース</v>
      </c>
      <c r="B4536" s="1" t="str">
        <f t="shared" si="228"/>
        <v>ベル学園高校ニュース</v>
      </c>
      <c r="C4536" t="str">
        <f>"ベル　ガクエン　コウコウ　ニュース"</f>
        <v>ベル　ガクエン　コウコウ　ニュース</v>
      </c>
      <c r="D4536" t="str">
        <f>"ベル学園高等学校"</f>
        <v>ベル学園高等学校</v>
      </c>
      <c r="E4536" t="str">
        <f>"ベルガクエンコウトウガッコウ"</f>
        <v>ベルガクエンコウトウガッコウ</v>
      </c>
      <c r="F4536" t="str">
        <f>"岡山"</f>
        <v>岡山</v>
      </c>
      <c r="G4536" t="str">
        <f>"季刊"</f>
        <v>季刊</v>
      </c>
      <c r="H4536" t="str">
        <f>"2002222301852"</f>
        <v>2002222301852</v>
      </c>
      <c r="I4536" t="str">
        <f>HYPERLINK("#", "https://opac.libnet.pref.okayama.jp/licsxp-opac/WOpacMsgNewListToTifTilDetailAction.do?tilcod=2002222301852")</f>
        <v>https://opac.libnet.pref.okayama.jp/licsxp-opac/WOpacMsgNewListToTifTilDetailAction.do?tilcod=2002222301852</v>
      </c>
    </row>
    <row r="4537" spans="1:9" x14ac:dyDescent="0.4">
      <c r="A4537" t="str">
        <f>"ベル学園高等学校学校案内"</f>
        <v>ベル学園高等学校学校案内</v>
      </c>
      <c r="B4537" s="1" t="str">
        <f t="shared" si="228"/>
        <v>ベル学園高等学校学校案内</v>
      </c>
      <c r="C4537" t="str">
        <f>"ベル　ガクエン　コウトウ　ガッコウ　ガッコウ　アンナイ"</f>
        <v>ベル　ガクエン　コウトウ　ガッコウ　ガッコウ　アンナイ</v>
      </c>
      <c r="D4537" t="str">
        <f>"ベル学園高等学校"</f>
        <v>ベル学園高等学校</v>
      </c>
      <c r="E4537" t="str">
        <f>"ベルガクエンコウトウガッコウ"</f>
        <v>ベルガクエンコウトウガッコウ</v>
      </c>
      <c r="F4537" t="str">
        <f>"岡山"</f>
        <v>岡山</v>
      </c>
      <c r="G4537" t="str">
        <f>"年刊"</f>
        <v>年刊</v>
      </c>
      <c r="H4537" t="str">
        <f>"2002222301207"</f>
        <v>2002222301207</v>
      </c>
      <c r="I4537" t="str">
        <f>HYPERLINK("#", "https://opac.libnet.pref.okayama.jp/licsxp-opac/WOpacMsgNewListToTifTilDetailAction.do?tilcod=2002222301207")</f>
        <v>https://opac.libnet.pref.okayama.jp/licsxp-opac/WOpacMsgNewListToTifTilDetailAction.do?tilcod=2002222301207</v>
      </c>
    </row>
    <row r="4538" spans="1:9" x14ac:dyDescent="0.4">
      <c r="A4538" t="str">
        <f>"ベル学園高等学校学校要覧"</f>
        <v>ベル学園高等学校学校要覧</v>
      </c>
      <c r="B4538" s="1" t="str">
        <f t="shared" si="228"/>
        <v>ベル学園高等学校学校要覧</v>
      </c>
      <c r="C4538" t="str">
        <f>"ベル　ガクエン　コウトウ　ガッコウ　ガッコウ　ヨウラン"</f>
        <v>ベル　ガクエン　コウトウ　ガッコウ　ガッコウ　ヨウラン</v>
      </c>
      <c r="D4538" t="str">
        <f>"ベル学園高等学校"</f>
        <v>ベル学園高等学校</v>
      </c>
      <c r="E4538" t="str">
        <f>"ベルガクエンコウトウガッコウ"</f>
        <v>ベルガクエンコウトウガッコウ</v>
      </c>
      <c r="F4538" t="str">
        <f>"岡山"</f>
        <v>岡山</v>
      </c>
      <c r="G4538" t="str">
        <f>"年刊"</f>
        <v>年刊</v>
      </c>
      <c r="H4538" t="str">
        <f>"2002222300575"</f>
        <v>2002222300575</v>
      </c>
      <c r="I4538" t="str">
        <f>HYPERLINK("#", "https://opac.libnet.pref.okayama.jp/licsxp-opac/WOpacMsgNewListToTifTilDetailAction.do?tilcod=2002222300575")</f>
        <v>https://opac.libnet.pref.okayama.jp/licsxp-opac/WOpacMsgNewListToTifTilDetailAction.do?tilcod=2002222300575</v>
      </c>
    </row>
    <row r="4539" spans="1:9" x14ac:dyDescent="0.4">
      <c r="A4539" t="str">
        <f>"ベル学園ニュース"</f>
        <v>ベル学園ニュース</v>
      </c>
      <c r="B4539" s="1" t="str">
        <f t="shared" si="228"/>
        <v>ベル学園ニュース</v>
      </c>
      <c r="C4539" t="str">
        <f>"ベル　ガクエン　ニュース"</f>
        <v>ベル　ガクエン　ニュース</v>
      </c>
      <c r="D4539" t="str">
        <f>"ベル学園本部"</f>
        <v>ベル学園本部</v>
      </c>
      <c r="E4539" t="str">
        <f>"ベルガクエンホンブ"</f>
        <v>ベルガクエンホンブ</v>
      </c>
      <c r="F4539" t="str">
        <f>"岡山"</f>
        <v>岡山</v>
      </c>
      <c r="G4539" t="str">
        <f>"年２回刊"</f>
        <v>年２回刊</v>
      </c>
      <c r="H4539" t="str">
        <f>"2002222301853"</f>
        <v>2002222301853</v>
      </c>
      <c r="I4539" t="str">
        <f>HYPERLINK("#", "https://opac.libnet.pref.okayama.jp/licsxp-opac/WOpacMsgNewListToTifTilDetailAction.do?tilcod=2002222301853")</f>
        <v>https://opac.libnet.pref.okayama.jp/licsxp-opac/WOpacMsgNewListToTifTilDetailAction.do?tilcod=2002222301853</v>
      </c>
    </row>
    <row r="4540" spans="1:9" x14ac:dyDescent="0.4">
      <c r="A4540" t="str">
        <f>"Ｂｅｌｌｅ（ベル）；岡山湯郷Ｂｅｌｌｅ情報誌"</f>
        <v>Ｂｅｌｌｅ（ベル）；岡山湯郷Ｂｅｌｌｅ情報誌</v>
      </c>
      <c r="B4540" s="1" t="str">
        <f t="shared" si="228"/>
        <v>Ｂｅｌｌｅ（ベル）；岡山湯郷Ｂｅｌｌｅ情報誌</v>
      </c>
      <c r="C4540" t="str">
        <f>"ベル＊オカヤマ　ユノゴウ　ベル　ジョウホウシ"</f>
        <v>ベル＊オカヤマ　ユノゴウ　ベル　ジョウホウシ</v>
      </c>
      <c r="D4540" t="str">
        <f>"岡山湯郷Belle"</f>
        <v>岡山湯郷Belle</v>
      </c>
      <c r="E4540" t="str">
        <f>"オカヤマ ユノゴウ ベル"</f>
        <v>オカヤマ ユノゴウ ベル</v>
      </c>
      <c r="F4540" t="str">
        <f>"美作"</f>
        <v>美作</v>
      </c>
      <c r="G4540" t="str">
        <f>"季刊"</f>
        <v>季刊</v>
      </c>
      <c r="H4540" t="str">
        <f>"2002222301054"</f>
        <v>2002222301054</v>
      </c>
      <c r="I4540" t="str">
        <f>HYPERLINK("#", "https://opac.libnet.pref.okayama.jp/licsxp-opac/WOpacMsgNewListToTifTilDetailAction.do?tilcod=2002222301054")</f>
        <v>https://opac.libnet.pref.okayama.jp/licsxp-opac/WOpacMsgNewListToTifTilDetailAction.do?tilcod=2002222301054</v>
      </c>
    </row>
    <row r="4541" spans="1:9" x14ac:dyDescent="0.4">
      <c r="A4541" t="str">
        <f>"ＢＥＲＧ（ベルグ）"</f>
        <v>ＢＥＲＧ（ベルグ）</v>
      </c>
      <c r="B4541" s="1" t="str">
        <f t="shared" si="228"/>
        <v>ＢＥＲＧ（ベルグ）</v>
      </c>
      <c r="C4541" t="str">
        <f>"ベルグ"</f>
        <v>ベルグ</v>
      </c>
      <c r="D4541" t="str">
        <f>"岡山山岳会"</f>
        <v>岡山山岳会</v>
      </c>
      <c r="E4541" t="str">
        <f>"オカヤマサンガクカイ"</f>
        <v>オカヤマサンガクカイ</v>
      </c>
      <c r="F4541" t="str">
        <f>""</f>
        <v/>
      </c>
      <c r="G4541" t="str">
        <f>"頻度不明"</f>
        <v>頻度不明</v>
      </c>
      <c r="H4541" t="str">
        <f>"2002222284803"</f>
        <v>2002222284803</v>
      </c>
      <c r="I4541" t="str">
        <f>HYPERLINK("#", "https://opac.libnet.pref.okayama.jp/licsxp-opac/WOpacMsgNewListToTifTilDetailAction.do?tilcod=2002222284803")</f>
        <v>https://opac.libnet.pref.okayama.jp/licsxp-opac/WOpacMsgNewListToTifTilDetailAction.do?tilcod=2002222284803</v>
      </c>
    </row>
    <row r="4542" spans="1:9" x14ac:dyDescent="0.4">
      <c r="A4542" t="str">
        <f>"ＢＥＲＧ会報（ベルグ会報）"</f>
        <v>ＢＥＲＧ会報（ベルグ会報）</v>
      </c>
      <c r="B4542" s="1" t="str">
        <f t="shared" si="228"/>
        <v>ＢＥＲＧ会報（ベルグ会報）</v>
      </c>
      <c r="C4542" t="str">
        <f>"ベルグ　カイホウ"</f>
        <v>ベルグ　カイホウ</v>
      </c>
      <c r="D4542" t="str">
        <f>"岡山山岳会"</f>
        <v>岡山山岳会</v>
      </c>
      <c r="E4542" t="str">
        <f>"オカヤマサンガクカイ"</f>
        <v>オカヤマサンガクカイ</v>
      </c>
      <c r="F4542" t="str">
        <f>""</f>
        <v/>
      </c>
      <c r="G4542" t="str">
        <f>"頻度不明"</f>
        <v>頻度不明</v>
      </c>
      <c r="H4542" t="str">
        <f>"2002222284813"</f>
        <v>2002222284813</v>
      </c>
      <c r="I4542" t="str">
        <f>HYPERLINK("#", "https://opac.libnet.pref.okayama.jp/licsxp-opac/WOpacMsgNewListToTifTilDetailAction.do?tilcod=2002222284813")</f>
        <v>https://opac.libnet.pref.okayama.jp/licsxp-opac/WOpacMsgNewListToTifTilDetailAction.do?tilcod=2002222284813</v>
      </c>
    </row>
    <row r="4543" spans="1:9" x14ac:dyDescent="0.4">
      <c r="A4543" t="str">
        <f>"編集局報"</f>
        <v>編集局報</v>
      </c>
      <c r="B4543" s="1" t="str">
        <f t="shared" si="228"/>
        <v>編集局報</v>
      </c>
      <c r="C4543" t="str">
        <f>"ヘンシュウ キョクホウ"</f>
        <v>ヘンシュウ キョクホウ</v>
      </c>
      <c r="D4543" t="str">
        <f>"山陽新聞記事審査委員会"</f>
        <v>山陽新聞記事審査委員会</v>
      </c>
      <c r="E4543" t="str">
        <f>"サンヨウ シンブン キジ シンサ イインカイ　"</f>
        <v>サンヨウ シンブン キジ シンサ イインカイ　</v>
      </c>
      <c r="F4543" t="str">
        <f>"〔岡山〕"</f>
        <v>〔岡山〕</v>
      </c>
      <c r="G4543" t="str">
        <f>"月刊"</f>
        <v>月刊</v>
      </c>
      <c r="H4543" t="str">
        <f>"2002222325846"</f>
        <v>2002222325846</v>
      </c>
      <c r="I4543" t="str">
        <f>HYPERLINK("#", "https://opac.libnet.pref.okayama.jp/licsxp-opac/WOpacMsgNewListToTifTilDetailAction.do?tilcod=2002222325846")</f>
        <v>https://opac.libnet.pref.okayama.jp/licsxp-opac/WOpacMsgNewListToTifTilDetailAction.do?tilcod=2002222325846</v>
      </c>
    </row>
    <row r="4544" spans="1:9" x14ac:dyDescent="0.4">
      <c r="A4544" t="str">
        <f>"穂"</f>
        <v>穂</v>
      </c>
      <c r="B4544" s="1" t="str">
        <f t="shared" si="228"/>
        <v>穂</v>
      </c>
      <c r="C4544" t="str">
        <f>"ホ＊"</f>
        <v>ホ＊</v>
      </c>
      <c r="D4544" t="str">
        <f>"上岡 弓人"</f>
        <v>上岡 弓人</v>
      </c>
      <c r="E4544" t="str">
        <f>"ウエオカ ユミヒト"</f>
        <v>ウエオカ ユミヒト</v>
      </c>
      <c r="F4544" t="str">
        <f>"岡山"</f>
        <v>岡山</v>
      </c>
      <c r="G4544" t="str">
        <f>"年２回刊"</f>
        <v>年２回刊</v>
      </c>
      <c r="H4544" t="str">
        <f>"2002222281711"</f>
        <v>2002222281711</v>
      </c>
      <c r="I4544" t="str">
        <f>HYPERLINK("#", "https://opac.libnet.pref.okayama.jp/licsxp-opac/WOpacMsgNewListToTifTilDetailAction.do?tilcod=2002222281711")</f>
        <v>https://opac.libnet.pref.okayama.jp/licsxp-opac/WOpacMsgNewListToTifTilDetailAction.do?tilcod=2002222281711</v>
      </c>
    </row>
    <row r="4545" spans="1:9" x14ac:dyDescent="0.4">
      <c r="A4545" t="str">
        <f>"ホイスパー"</f>
        <v>ホイスパー</v>
      </c>
      <c r="B4545" s="1" t="str">
        <f t="shared" si="228"/>
        <v>ホイスパー</v>
      </c>
      <c r="C4545" t="str">
        <f>"ホイスパー"</f>
        <v>ホイスパー</v>
      </c>
      <c r="D4545" t="str">
        <f>"週刊情報社"</f>
        <v>週刊情報社</v>
      </c>
      <c r="E4545" t="str">
        <f>"シュウカンジョウホウシャ"</f>
        <v>シュウカンジョウホウシャ</v>
      </c>
      <c r="F4545" t="str">
        <f>"岡山"</f>
        <v>岡山</v>
      </c>
      <c r="G4545" t="str">
        <f>"週刊"</f>
        <v>週刊</v>
      </c>
      <c r="H4545" t="str">
        <f>"2002222301002"</f>
        <v>2002222301002</v>
      </c>
      <c r="I4545" t="str">
        <f>HYPERLINK("#", "https://opac.libnet.pref.okayama.jp/licsxp-opac/WOpacMsgNewListToTifTilDetailAction.do?tilcod=2002222301002")</f>
        <v>https://opac.libnet.pref.okayama.jp/licsxp-opac/WOpacMsgNewListToTifTilDetailAction.do?tilcod=2002222301002</v>
      </c>
    </row>
    <row r="4546" spans="1:9" x14ac:dyDescent="0.4">
      <c r="A4546" t="str">
        <f>"防火委員会だより"</f>
        <v>防火委員会だより</v>
      </c>
      <c r="B4546" s="1" t="str">
        <f t="shared" si="228"/>
        <v>防火委員会だより</v>
      </c>
      <c r="C4546" t="str">
        <f>"ボウカ　イインカイ　ダヨリ"</f>
        <v>ボウカ　イインカイ　ダヨリ</v>
      </c>
      <c r="D4546" t="str">
        <f>"岡山市連合防火委員会"</f>
        <v>岡山市連合防火委員会</v>
      </c>
      <c r="E4546" t="str">
        <f>"オカヤマシレンゴウボウカイインカイ"</f>
        <v>オカヤマシレンゴウボウカイインカイ</v>
      </c>
      <c r="F4546" t="str">
        <f>"岡山"</f>
        <v>岡山</v>
      </c>
      <c r="G4546" t="str">
        <f>"年２回刊"</f>
        <v>年２回刊</v>
      </c>
      <c r="H4546" t="str">
        <f>"2002222301301"</f>
        <v>2002222301301</v>
      </c>
      <c r="I4546" t="str">
        <f>HYPERLINK("#", "https://opac.libnet.pref.okayama.jp/licsxp-opac/WOpacMsgNewListToTifTilDetailAction.do?tilcod=2002222301301")</f>
        <v>https://opac.libnet.pref.okayama.jp/licsxp-opac/WOpacMsgNewListToTifTilDetailAction.do?tilcod=2002222301301</v>
      </c>
    </row>
    <row r="4547" spans="1:9" x14ac:dyDescent="0.4">
      <c r="A4547" t="str">
        <f>"防火だより"</f>
        <v>防火だより</v>
      </c>
      <c r="B4547" s="1" t="str">
        <f t="shared" si="228"/>
        <v>防火だより</v>
      </c>
      <c r="C4547" t="str">
        <f>"ボウカ　ダヨリ"</f>
        <v>ボウカ　ダヨリ</v>
      </c>
      <c r="D4547" t="str">
        <f>"岡山市北消防署"</f>
        <v>岡山市北消防署</v>
      </c>
      <c r="E4547" t="str">
        <f>"オカヤマシキタショウボウショ"</f>
        <v>オカヤマシキタショウボウショ</v>
      </c>
      <c r="F4547" t="str">
        <f>"岡山"</f>
        <v>岡山</v>
      </c>
      <c r="G4547" t="str">
        <f>"頻度不明"</f>
        <v>頻度不明</v>
      </c>
      <c r="H4547" t="str">
        <f>"2002222284823"</f>
        <v>2002222284823</v>
      </c>
      <c r="I4547" t="str">
        <f>HYPERLINK("#", "https://opac.libnet.pref.okayama.jp/licsxp-opac/WOpacMsgNewListToTifTilDetailAction.do?tilcod=2002222284823")</f>
        <v>https://opac.libnet.pref.okayama.jp/licsxp-opac/WOpacMsgNewListToTifTilDetailAction.do?tilcod=2002222284823</v>
      </c>
    </row>
    <row r="4548" spans="1:9" x14ac:dyDescent="0.4">
      <c r="A4548" t="str">
        <f>"法学論叢[岡山商科大学]"</f>
        <v>法学論叢[岡山商科大学]</v>
      </c>
      <c r="B4548" s="1" t="str">
        <f t="shared" ref="B4548:B4611" si="230">HYPERLINK("#", A4548)</f>
        <v>法学論叢[岡山商科大学]</v>
      </c>
      <c r="C4548" t="str">
        <f>"ホウガク ロンソウ オカヤマ ショウカ ダイガク"</f>
        <v>ホウガク ロンソウ オカヤマ ショウカ ダイガク</v>
      </c>
      <c r="D4548" t="str">
        <f>"岡山商科大学学会"</f>
        <v>岡山商科大学学会</v>
      </c>
      <c r="E4548" t="str">
        <f>"オカヤマショウカダイガクガッカイ"</f>
        <v>オカヤマショウカダイガクガッカイ</v>
      </c>
      <c r="F4548" t="str">
        <f>"岡山"</f>
        <v>岡山</v>
      </c>
      <c r="G4548" t="str">
        <f>"年刊"</f>
        <v>年刊</v>
      </c>
      <c r="H4548" t="str">
        <f>"2002222294401"</f>
        <v>2002222294401</v>
      </c>
      <c r="I4548" t="str">
        <f>HYPERLINK("#", "https://opac.libnet.pref.okayama.jp/licsxp-opac/WOpacMsgNewListToTifTilDetailAction.do?tilcod=2002222294401")</f>
        <v>https://opac.libnet.pref.okayama.jp/licsxp-opac/WOpacMsgNewListToTifTilDetailAction.do?tilcod=2002222294401</v>
      </c>
    </row>
    <row r="4549" spans="1:9" x14ac:dyDescent="0.4">
      <c r="A4549" t="str">
        <f>"法経ジャーナル"</f>
        <v>法経ジャーナル</v>
      </c>
      <c r="B4549" s="1" t="str">
        <f t="shared" si="230"/>
        <v>法経ジャーナル</v>
      </c>
      <c r="C4549" t="str">
        <f>"ホウケイ　ジャーナル"</f>
        <v>ホウケイ　ジャーナル</v>
      </c>
      <c r="D4549" t="str">
        <f>"東京法経センター中国支社"</f>
        <v>東京法経センター中国支社</v>
      </c>
      <c r="E4549" t="str">
        <f>"トウキョウホウケイセンターチュウゴクシシャ"</f>
        <v>トウキョウホウケイセンターチュウゴクシシャ</v>
      </c>
      <c r="F4549" t="str">
        <f>""</f>
        <v/>
      </c>
      <c r="G4549" t="str">
        <f>"頻度不明"</f>
        <v>頻度不明</v>
      </c>
      <c r="H4549" t="str">
        <f>"2002222284833"</f>
        <v>2002222284833</v>
      </c>
      <c r="I4549" t="str">
        <f>HYPERLINK("#", "https://opac.libnet.pref.okayama.jp/licsxp-opac/WOpacMsgNewListToTifTilDetailAction.do?tilcod=2002222284833")</f>
        <v>https://opac.libnet.pref.okayama.jp/licsxp-opac/WOpacMsgNewListToTifTilDetailAction.do?tilcod=2002222284833</v>
      </c>
    </row>
    <row r="4550" spans="1:9" x14ac:dyDescent="0.4">
      <c r="A4550" t="str">
        <f>"方言月報"</f>
        <v>方言月報</v>
      </c>
      <c r="B4550" s="1" t="str">
        <f t="shared" si="230"/>
        <v>方言月報</v>
      </c>
      <c r="C4550" t="str">
        <f>"ホウゲン　ゲッポウ"</f>
        <v>ホウゲン　ゲッポウ</v>
      </c>
      <c r="D4550" t="str">
        <f>"中国民俗学会"</f>
        <v>中国民俗学会</v>
      </c>
      <c r="E4550" t="str">
        <f>"チュウゴクミンゾクガッカイ"</f>
        <v>チュウゴクミンゾクガッカイ</v>
      </c>
      <c r="F4550" t="str">
        <f>""</f>
        <v/>
      </c>
      <c r="G4550" t="str">
        <f>"頻度不明"</f>
        <v>頻度不明</v>
      </c>
      <c r="H4550" t="str">
        <f>"2002222284843"</f>
        <v>2002222284843</v>
      </c>
      <c r="I4550" t="str">
        <f>HYPERLINK("#", "https://opac.libnet.pref.okayama.jp/licsxp-opac/WOpacMsgNewListToTifTilDetailAction.do?tilcod=2002222284843")</f>
        <v>https://opac.libnet.pref.okayama.jp/licsxp-opac/WOpacMsgNewListToTifTilDetailAction.do?tilcod=2002222284843</v>
      </c>
    </row>
    <row r="4551" spans="1:9" x14ac:dyDescent="0.4">
      <c r="A4551" t="str">
        <f>"放射能泉研究所報告"</f>
        <v>放射能泉研究所報告</v>
      </c>
      <c r="B4551" s="1" t="str">
        <f t="shared" si="230"/>
        <v>放射能泉研究所報告</v>
      </c>
      <c r="C4551" t="str">
        <f>"ホウシャノウセン ケンキュウショ ホウコク"</f>
        <v>ホウシャノウセン ケンキュウショ ホウコク</v>
      </c>
      <c r="D4551" t="str">
        <f>"岡山大学放射能泉研究所"</f>
        <v>岡山大学放射能泉研究所</v>
      </c>
      <c r="E4551" t="str">
        <f>"オカヤマ ダイガク ホウシャノウセン ケンキュウショ"</f>
        <v>オカヤマ ダイガク ホウシャノウセン ケンキュウショ</v>
      </c>
      <c r="F4551" t="str">
        <f>"三朝村"</f>
        <v>三朝村</v>
      </c>
      <c r="G4551" t="str">
        <f>"年刊"</f>
        <v>年刊</v>
      </c>
      <c r="H4551" t="str">
        <f>"2002222309846"</f>
        <v>2002222309846</v>
      </c>
      <c r="I4551" t="str">
        <f>HYPERLINK("#", "https://opac.libnet.pref.okayama.jp/licsxp-opac/WOpacMsgNewListToTifTilDetailAction.do?tilcod=2002222309846")</f>
        <v>https://opac.libnet.pref.okayama.jp/licsxp-opac/WOpacMsgNewListToTifTilDetailAction.do?tilcod=2002222309846</v>
      </c>
    </row>
    <row r="4552" spans="1:9" x14ac:dyDescent="0.4">
      <c r="A4552" t="str">
        <f>"〔芳泉高等学校〕芳泉たより"</f>
        <v>〔芳泉高等学校〕芳泉たより</v>
      </c>
      <c r="B4552" s="1" t="str">
        <f t="shared" si="230"/>
        <v>〔芳泉高等学校〕芳泉たより</v>
      </c>
      <c r="C4552" t="str">
        <f>"ホウセン　コウトウ　ガッコウ＊ホウセン　タヨリ"</f>
        <v>ホウセン　コウトウ　ガッコウ＊ホウセン　タヨリ</v>
      </c>
      <c r="D4552" t="str">
        <f>"岡山芳泉高等学校ＰＴＡ"</f>
        <v>岡山芳泉高等学校ＰＴＡ</v>
      </c>
      <c r="E4552" t="str">
        <f>"オカヤマ ホウセン コウトウ ガッコウ ピーティーエー"</f>
        <v>オカヤマ ホウセン コウトウ ガッコウ ピーティーエー</v>
      </c>
      <c r="F4552" t="str">
        <f>"岡山"</f>
        <v>岡山</v>
      </c>
      <c r="G4552" t="str">
        <f>"頻度不明"</f>
        <v>頻度不明</v>
      </c>
      <c r="H4552" t="str">
        <f>"2002222301942"</f>
        <v>2002222301942</v>
      </c>
      <c r="I4552" t="str">
        <f>HYPERLINK("#", "https://opac.libnet.pref.okayama.jp/licsxp-opac/WOpacMsgNewListToTifTilDetailAction.do?tilcod=2002222301942")</f>
        <v>https://opac.libnet.pref.okayama.jp/licsxp-opac/WOpacMsgNewListToTifTilDetailAction.do?tilcod=2002222301942</v>
      </c>
    </row>
    <row r="4553" spans="1:9" x14ac:dyDescent="0.4">
      <c r="A4553" t="str">
        <f>"報知岡山"</f>
        <v>報知岡山</v>
      </c>
      <c r="B4553" s="1" t="str">
        <f t="shared" si="230"/>
        <v>報知岡山</v>
      </c>
      <c r="C4553" t="str">
        <f>"ホウチ　オカヤマ"</f>
        <v>ホウチ　オカヤマ</v>
      </c>
      <c r="D4553" t="str">
        <f>"報知岡山社"</f>
        <v>報知岡山社</v>
      </c>
      <c r="E4553" t="str">
        <f>"ホウチオカヤマシャ"</f>
        <v>ホウチオカヤマシャ</v>
      </c>
      <c r="F4553" t="str">
        <f>"岡山"</f>
        <v>岡山</v>
      </c>
      <c r="G4553" t="str">
        <f>"月刊"</f>
        <v>月刊</v>
      </c>
      <c r="H4553" t="str">
        <f>"2002222301003"</f>
        <v>2002222301003</v>
      </c>
      <c r="I4553" t="str">
        <f>HYPERLINK("#", "https://opac.libnet.pref.okayama.jp/licsxp-opac/WOpacMsgNewListToTifTilDetailAction.do?tilcod=2002222301003")</f>
        <v>https://opac.libnet.pref.okayama.jp/licsxp-opac/WOpacMsgNewListToTifTilDetailAction.do?tilcod=2002222301003</v>
      </c>
    </row>
    <row r="4554" spans="1:9" x14ac:dyDescent="0.4">
      <c r="A4554" t="str">
        <f>"防虫ダンス"</f>
        <v>防虫ダンス</v>
      </c>
      <c r="B4554" s="1" t="str">
        <f t="shared" si="230"/>
        <v>防虫ダンス</v>
      </c>
      <c r="C4554" t="str">
        <f>"ボウチュウ　ダンス"</f>
        <v>ボウチュウ　ダンス</v>
      </c>
      <c r="D4554" t="str">
        <f>"加藤健次"</f>
        <v>加藤健次</v>
      </c>
      <c r="E4554" t="str">
        <f>"カトウケンジ"</f>
        <v>カトウケンジ</v>
      </c>
      <c r="F4554" t="str">
        <f>""</f>
        <v/>
      </c>
      <c r="G4554" t="str">
        <f>"頻度不明"</f>
        <v>頻度不明</v>
      </c>
      <c r="H4554" t="str">
        <f>"2002222284853"</f>
        <v>2002222284853</v>
      </c>
      <c r="I4554" t="str">
        <f>HYPERLINK("#", "https://opac.libnet.pref.okayama.jp/licsxp-opac/WOpacMsgNewListToTifTilDetailAction.do?tilcod=2002222284853")</f>
        <v>https://opac.libnet.pref.okayama.jp/licsxp-opac/WOpacMsgNewListToTifTilDetailAction.do?tilcod=2002222284853</v>
      </c>
    </row>
    <row r="4555" spans="1:9" x14ac:dyDescent="0.4">
      <c r="A4555" t="str">
        <f>"暴追；暴力追放センターだより"</f>
        <v>暴追；暴力追放センターだより</v>
      </c>
      <c r="B4555" s="1" t="str">
        <f t="shared" si="230"/>
        <v>暴追；暴力追放センターだより</v>
      </c>
      <c r="C4555" t="str">
        <f>"ボウツイ＊ボウリョク　ツイホウ　センター　ダヨリ"</f>
        <v>ボウツイ＊ボウリョク　ツイホウ　センター　ダヨリ</v>
      </c>
      <c r="D4555" t="str">
        <f>"岡山県暴力追放運動推進センター"</f>
        <v>岡山県暴力追放運動推進センター</v>
      </c>
      <c r="E4555" t="str">
        <f>"オカヤマケン ボウリョク ツイホウ ウンドウ スイシン センター"</f>
        <v>オカヤマケン ボウリョク ツイホウ ウンドウ スイシン センター</v>
      </c>
      <c r="F4555" t="str">
        <f>""</f>
        <v/>
      </c>
      <c r="G4555" t="str">
        <f>"頻度不明"</f>
        <v>頻度不明</v>
      </c>
      <c r="H4555" t="str">
        <f>"2002222284863"</f>
        <v>2002222284863</v>
      </c>
      <c r="I4555" t="str">
        <f>HYPERLINK("#", "https://opac.libnet.pref.okayama.jp/licsxp-opac/WOpacMsgNewListToTifTilDetailAction.do?tilcod=2002222284863")</f>
        <v>https://opac.libnet.pref.okayama.jp/licsxp-opac/WOpacMsgNewListToTifTilDetailAction.do?tilcod=2002222284863</v>
      </c>
    </row>
    <row r="4556" spans="1:9" x14ac:dyDescent="0.4">
      <c r="A4556" t="str">
        <f>"報道岡山"</f>
        <v>報道岡山</v>
      </c>
      <c r="B4556" s="1" t="str">
        <f t="shared" si="230"/>
        <v>報道岡山</v>
      </c>
      <c r="C4556" t="str">
        <f>"ホウドウ　オカヤマ"</f>
        <v>ホウドウ　オカヤマ</v>
      </c>
      <c r="D4556" t="str">
        <f>"岡山県報道室"</f>
        <v>岡山県報道室</v>
      </c>
      <c r="E4556" t="str">
        <f>"オカヤマケンホウドウシツ"</f>
        <v>オカヤマケンホウドウシツ</v>
      </c>
      <c r="F4556" t="str">
        <f>"岡山"</f>
        <v>岡山</v>
      </c>
      <c r="G4556" t="str">
        <f>"月刊"</f>
        <v>月刊</v>
      </c>
      <c r="H4556" t="str">
        <f>"2002222284883"</f>
        <v>2002222284883</v>
      </c>
      <c r="I4556" t="str">
        <f>HYPERLINK("#", "https://opac.libnet.pref.okayama.jp/licsxp-opac/WOpacMsgNewListToTifTilDetailAction.do?tilcod=2002222284883")</f>
        <v>https://opac.libnet.pref.okayama.jp/licsxp-opac/WOpacMsgNewListToTifTilDetailAction.do?tilcod=2002222284883</v>
      </c>
    </row>
    <row r="4557" spans="1:9" x14ac:dyDescent="0.4">
      <c r="A4557" t="str">
        <f>"報道おかやま"</f>
        <v>報道おかやま</v>
      </c>
      <c r="B4557" s="1" t="str">
        <f t="shared" si="230"/>
        <v>報道おかやま</v>
      </c>
      <c r="C4557" t="str">
        <f>"ホウドウ　オカヤマ"</f>
        <v>ホウドウ　オカヤマ</v>
      </c>
      <c r="D4557" t="str">
        <f>"岡山県企画室"</f>
        <v>岡山県企画室</v>
      </c>
      <c r="E4557" t="str">
        <f>"オカヤマケン キカクシツ"</f>
        <v>オカヤマケン キカクシツ</v>
      </c>
      <c r="F4557" t="str">
        <f>"岡山"</f>
        <v>岡山</v>
      </c>
      <c r="G4557" t="str">
        <f>"隔週刊"</f>
        <v>隔週刊</v>
      </c>
      <c r="H4557" t="str">
        <f>"2002222284873"</f>
        <v>2002222284873</v>
      </c>
      <c r="I4557" t="str">
        <f>HYPERLINK("#", "https://opac.libnet.pref.okayama.jp/licsxp-opac/WOpacMsgNewListToTifTilDetailAction.do?tilcod=2002222284873")</f>
        <v>https://opac.libnet.pref.okayama.jp/licsxp-opac/WOpacMsgNewListToTifTilDetailAction.do?tilcod=2002222284873</v>
      </c>
    </row>
    <row r="4558" spans="1:9" x14ac:dyDescent="0.4">
      <c r="A4558" t="str">
        <f>"報道おかやま　婦人版"</f>
        <v>報道おかやま　婦人版</v>
      </c>
      <c r="B4558" s="1" t="str">
        <f t="shared" si="230"/>
        <v>報道おかやま　婦人版</v>
      </c>
      <c r="C4558" t="str">
        <f>"ホウドウ　オカヤマ＊フジンバン"</f>
        <v>ホウドウ　オカヤマ＊フジンバン</v>
      </c>
      <c r="D4558" t="str">
        <f>"岡山県報道室"</f>
        <v>岡山県報道室</v>
      </c>
      <c r="E4558" t="str">
        <f>"オカヤマケンホウドウシツ"</f>
        <v>オカヤマケンホウドウシツ</v>
      </c>
      <c r="F4558" t="str">
        <f>"岡山"</f>
        <v>岡山</v>
      </c>
      <c r="G4558" t="str">
        <f>"頻度不明"</f>
        <v>頻度不明</v>
      </c>
      <c r="H4558" t="str">
        <f>"2002222282993"</f>
        <v>2002222282993</v>
      </c>
      <c r="I4558" t="str">
        <f>HYPERLINK("#", "https://opac.libnet.pref.okayama.jp/licsxp-opac/WOpacMsgNewListToTifTilDetailAction.do?tilcod=2002222282993")</f>
        <v>https://opac.libnet.pref.okayama.jp/licsxp-opac/WOpacMsgNewListToTifTilDetailAction.do?tilcod=2002222282993</v>
      </c>
    </row>
    <row r="4559" spans="1:9" x14ac:dyDescent="0.4">
      <c r="A4559" t="str">
        <f>"報道解説"</f>
        <v>報道解説</v>
      </c>
      <c r="B4559" s="1" t="str">
        <f t="shared" si="230"/>
        <v>報道解説</v>
      </c>
      <c r="C4559" t="str">
        <f>"ホウドウ　カイセツ"</f>
        <v>ホウドウ　カイセツ</v>
      </c>
      <c r="D4559" t="str">
        <f>"岡山県報道室"</f>
        <v>岡山県報道室</v>
      </c>
      <c r="E4559" t="str">
        <f>"オカヤマケン ホウドウシツ"</f>
        <v>オカヤマケン ホウドウシツ</v>
      </c>
      <c r="F4559" t="str">
        <f>"岡山"</f>
        <v>岡山</v>
      </c>
      <c r="G4559" t="str">
        <f>"頻度不明"</f>
        <v>頻度不明</v>
      </c>
      <c r="H4559" t="str">
        <f>"2002222284893"</f>
        <v>2002222284893</v>
      </c>
      <c r="I4559" t="str">
        <f>HYPERLINK("#", "https://opac.libnet.pref.okayama.jp/licsxp-opac/WOpacMsgNewListToTifTilDetailAction.do?tilcod=2002222284893")</f>
        <v>https://opac.libnet.pref.okayama.jp/licsxp-opac/WOpacMsgNewListToTifTilDetailAction.do?tilcod=2002222284893</v>
      </c>
    </row>
    <row r="4560" spans="1:9" x14ac:dyDescent="0.4">
      <c r="A4560" t="str">
        <f>"報道かわかみ"</f>
        <v>報道かわかみ</v>
      </c>
      <c r="B4560" s="1" t="str">
        <f t="shared" si="230"/>
        <v>報道かわかみ</v>
      </c>
      <c r="C4560" t="str">
        <f>"ホウドウ　カワカミ"</f>
        <v>ホウドウ　カワカミ</v>
      </c>
      <c r="D4560" t="str">
        <f>"川上町"</f>
        <v>川上町</v>
      </c>
      <c r="E4560" t="str">
        <f>"カワカミチョウ"</f>
        <v>カワカミチョウ</v>
      </c>
      <c r="F4560" t="str">
        <f>"川上町（川上郡）"</f>
        <v>川上町（川上郡）</v>
      </c>
      <c r="G4560" t="str">
        <f>"月刊"</f>
        <v>月刊</v>
      </c>
      <c r="H4560" t="str">
        <f>"2002222301637"</f>
        <v>2002222301637</v>
      </c>
      <c r="I4560" t="str">
        <f>HYPERLINK("#", "https://opac.libnet.pref.okayama.jp/licsxp-opac/WOpacMsgNewListToTifTilDetailAction.do?tilcod=2002222301637")</f>
        <v>https://opac.libnet.pref.okayama.jp/licsxp-opac/WOpacMsgNewListToTifTilDetailAction.do?tilcod=2002222301637</v>
      </c>
    </row>
    <row r="4561" spans="1:9" x14ac:dyDescent="0.4">
      <c r="A4561" t="str">
        <f>"報道たまの"</f>
        <v>報道たまの</v>
      </c>
      <c r="B4561" s="1" t="str">
        <f t="shared" si="230"/>
        <v>報道たまの</v>
      </c>
      <c r="C4561" t="str">
        <f>"ホウドウ　タマノ"</f>
        <v>ホウドウ　タマノ</v>
      </c>
      <c r="D4561" t="str">
        <f>"玉野市"</f>
        <v>玉野市</v>
      </c>
      <c r="E4561" t="str">
        <f>"タマノシ"</f>
        <v>タマノシ</v>
      </c>
      <c r="F4561" t="str">
        <f>"玉野"</f>
        <v>玉野</v>
      </c>
      <c r="G4561" t="str">
        <f>"月刊"</f>
        <v>月刊</v>
      </c>
      <c r="H4561" t="str">
        <f>"2002222301595"</f>
        <v>2002222301595</v>
      </c>
      <c r="I4561" t="str">
        <f>HYPERLINK("#", "https://opac.libnet.pref.okayama.jp/licsxp-opac/WOpacMsgNewListToTifTilDetailAction.do?tilcod=2002222301595")</f>
        <v>https://opac.libnet.pref.okayama.jp/licsxp-opac/WOpacMsgNewListToTifTilDetailAction.do?tilcod=2002222301595</v>
      </c>
    </row>
    <row r="4562" spans="1:9" x14ac:dyDescent="0.4">
      <c r="A4562" t="str">
        <f>"報道なださき"</f>
        <v>報道なださき</v>
      </c>
      <c r="B4562" s="1" t="str">
        <f t="shared" si="230"/>
        <v>報道なださき</v>
      </c>
      <c r="C4562" t="str">
        <f>"ホウドウ　ナダサキ"</f>
        <v>ホウドウ　ナダサキ</v>
      </c>
      <c r="D4562" t="str">
        <f>"灘崎町"</f>
        <v>灘崎町</v>
      </c>
      <c r="E4562" t="str">
        <f>"ナダサキチョウ"</f>
        <v>ナダサキチョウ</v>
      </c>
      <c r="F4562" t="str">
        <f>"灘崎町（児島郡）"</f>
        <v>灘崎町（児島郡）</v>
      </c>
      <c r="G4562" t="str">
        <f>"月刊"</f>
        <v>月刊</v>
      </c>
      <c r="H4562" t="str">
        <f>"2002222301605"</f>
        <v>2002222301605</v>
      </c>
      <c r="I4562" t="str">
        <f>HYPERLINK("#", "https://opac.libnet.pref.okayama.jp/licsxp-opac/WOpacMsgNewListToTifTilDetailAction.do?tilcod=2002222301605")</f>
        <v>https://opac.libnet.pref.okayama.jp/licsxp-opac/WOpacMsgNewListToTifTilDetailAction.do?tilcod=2002222301605</v>
      </c>
    </row>
    <row r="4563" spans="1:9" x14ac:dyDescent="0.4">
      <c r="A4563" t="str">
        <f>"報道ふくわたり"</f>
        <v>報道ふくわたり</v>
      </c>
      <c r="B4563" s="1" t="str">
        <f t="shared" si="230"/>
        <v>報道ふくわたり</v>
      </c>
      <c r="C4563" t="str">
        <f>"ホウドウ　フクワタリ"</f>
        <v>ホウドウ　フクワタリ</v>
      </c>
      <c r="D4563" t="str">
        <f>"福渡町"</f>
        <v>福渡町</v>
      </c>
      <c r="E4563" t="str">
        <f>"フクワタリチョウ"</f>
        <v>フクワタリチョウ</v>
      </c>
      <c r="F4563" t="str">
        <f>"福渡町（久米郡）"</f>
        <v>福渡町（久米郡）</v>
      </c>
      <c r="G4563" t="str">
        <f>"不定期刊"</f>
        <v>不定期刊</v>
      </c>
      <c r="H4563" t="str">
        <f>"2002222301714"</f>
        <v>2002222301714</v>
      </c>
      <c r="I4563" t="str">
        <f>HYPERLINK("#", "https://opac.libnet.pref.okayama.jp/licsxp-opac/WOpacMsgNewListToTifTilDetailAction.do?tilcod=2002222301714")</f>
        <v>https://opac.libnet.pref.okayama.jp/licsxp-opac/WOpacMsgNewListToTifTilDetailAction.do?tilcod=2002222301714</v>
      </c>
    </row>
    <row r="4564" spans="1:9" x14ac:dyDescent="0.4">
      <c r="A4564" t="str">
        <f>"防犯おかやま"</f>
        <v>防犯おかやま</v>
      </c>
      <c r="B4564" s="1" t="str">
        <f t="shared" si="230"/>
        <v>防犯おかやま</v>
      </c>
      <c r="C4564" t="str">
        <f>"ボウハン オカヤマ"</f>
        <v>ボウハン オカヤマ</v>
      </c>
      <c r="D4564" t="str">
        <f>"岡山県防犯協会"</f>
        <v>岡山県防犯協会</v>
      </c>
      <c r="E4564" t="str">
        <f>"オカヤマケン ボウハン キョウカイ"</f>
        <v>オカヤマケン ボウハン キョウカイ</v>
      </c>
      <c r="F4564" t="str">
        <f>"岡山"</f>
        <v>岡山</v>
      </c>
      <c r="G4564" t="str">
        <f>"年３回刊"</f>
        <v>年３回刊</v>
      </c>
      <c r="H4564" t="str">
        <f>"2002222322566"</f>
        <v>2002222322566</v>
      </c>
      <c r="I4564" t="str">
        <f>HYPERLINK("#", "https://opac.libnet.pref.okayama.jp/licsxp-opac/WOpacMsgNewListToTifTilDetailAction.do?tilcod=2002222322566")</f>
        <v>https://opac.libnet.pref.okayama.jp/licsxp-opac/WOpacMsgNewListToTifTilDetailAction.do?tilcod=2002222322566</v>
      </c>
    </row>
    <row r="4565" spans="1:9" x14ac:dyDescent="0.4">
      <c r="A4565" t="str">
        <f>"法瓶（ほうびょう）"</f>
        <v>法瓶（ほうびょう）</v>
      </c>
      <c r="B4565" s="1" t="str">
        <f t="shared" si="230"/>
        <v>法瓶（ほうびょう）</v>
      </c>
      <c r="C4565" t="str">
        <f>"ホウビョウ"</f>
        <v>ホウビョウ</v>
      </c>
      <c r="D4565" t="str">
        <f>"真言宗伝灯会岡山有志"</f>
        <v>真言宗伝灯会岡山有志</v>
      </c>
      <c r="E4565" t="str">
        <f>"シンゴンシュウデントウカイオカヤマユウシ"</f>
        <v>シンゴンシュウデントウカイオカヤマユウシ</v>
      </c>
      <c r="F4565" t="str">
        <f>""</f>
        <v/>
      </c>
      <c r="G4565" t="str">
        <f>"頻度不明"</f>
        <v>頻度不明</v>
      </c>
      <c r="H4565" t="str">
        <f>"2002222284913"</f>
        <v>2002222284913</v>
      </c>
      <c r="I4565" t="str">
        <f>HYPERLINK("#", "https://opac.libnet.pref.okayama.jp/licsxp-opac/WOpacMsgNewListToTifTilDetailAction.do?tilcod=2002222284913")</f>
        <v>https://opac.libnet.pref.okayama.jp/licsxp-opac/WOpacMsgNewListToTifTilDetailAction.do?tilcod=2002222284913</v>
      </c>
    </row>
    <row r="4566" spans="1:9" x14ac:dyDescent="0.4">
      <c r="A4566" t="str">
        <f>"宝明"</f>
        <v>宝明</v>
      </c>
      <c r="B4566" s="1" t="str">
        <f t="shared" si="230"/>
        <v>宝明</v>
      </c>
      <c r="C4566" t="str">
        <f>"ホウメイ"</f>
        <v>ホウメイ</v>
      </c>
      <c r="D4566" t="str">
        <f>"宝明川柳会"</f>
        <v>宝明川柳会</v>
      </c>
      <c r="E4566" t="str">
        <f>"ホウメイ センリュウ カイ"</f>
        <v>ホウメイ センリュウ カイ</v>
      </c>
      <c r="F4566" t="str">
        <f>"[岡山]"</f>
        <v>[岡山]</v>
      </c>
      <c r="G4566" t="str">
        <f>"不定期刊"</f>
        <v>不定期刊</v>
      </c>
      <c r="H4566" t="str">
        <f>"2002222344017"</f>
        <v>2002222344017</v>
      </c>
      <c r="I4566" t="str">
        <f>HYPERLINK("#", "https://opac.libnet.pref.okayama.jp/licsxp-opac/WOpacMsgNewListToTifTilDetailAction.do?tilcod=2002222344017")</f>
        <v>https://opac.libnet.pref.okayama.jp/licsxp-opac/WOpacMsgNewListToTifTilDetailAction.do?tilcod=2002222344017</v>
      </c>
    </row>
    <row r="4567" spans="1:9" x14ac:dyDescent="0.4">
      <c r="A4567" t="str">
        <f>"芳友"</f>
        <v>芳友</v>
      </c>
      <c r="B4567" s="1" t="str">
        <f t="shared" si="230"/>
        <v>芳友</v>
      </c>
      <c r="C4567" t="str">
        <f>"ホウユウ"</f>
        <v>ホウユウ</v>
      </c>
      <c r="D4567" t="str">
        <f>"岡山市芳田青年団"</f>
        <v>岡山市芳田青年団</v>
      </c>
      <c r="E4567" t="str">
        <f>"オカヤマシヨシダセイネンダン"</f>
        <v>オカヤマシヨシダセイネンダン</v>
      </c>
      <c r="F4567" t="str">
        <f>"岡山"</f>
        <v>岡山</v>
      </c>
      <c r="G4567" t="str">
        <f>"頻度不明"</f>
        <v>頻度不明</v>
      </c>
      <c r="H4567" t="str">
        <f>"2002222284923"</f>
        <v>2002222284923</v>
      </c>
      <c r="I4567" t="str">
        <f>HYPERLINK("#", "https://opac.libnet.pref.okayama.jp/licsxp-opac/WOpacMsgNewListToTifTilDetailAction.do?tilcod=2002222284923")</f>
        <v>https://opac.libnet.pref.okayama.jp/licsxp-opac/WOpacMsgNewListToTifTilDetailAction.do?tilcod=2002222284923</v>
      </c>
    </row>
    <row r="4568" spans="1:9" x14ac:dyDescent="0.4">
      <c r="A4568" t="str">
        <f>"法友"</f>
        <v>法友</v>
      </c>
      <c r="B4568" s="1" t="str">
        <f t="shared" si="230"/>
        <v>法友</v>
      </c>
      <c r="C4568" t="str">
        <f>"ホウユウ"</f>
        <v>ホウユウ</v>
      </c>
      <c r="D4568" t="str">
        <f>"岡山法友会"</f>
        <v>岡山法友会</v>
      </c>
      <c r="E4568" t="str">
        <f>"オカヤマ　ホウユウカイ"</f>
        <v>オカヤマ　ホウユウカイ</v>
      </c>
      <c r="F4568" t="str">
        <f>"岡山"</f>
        <v>岡山</v>
      </c>
      <c r="G4568" t="str">
        <f>"頻度不明"</f>
        <v>頻度不明</v>
      </c>
      <c r="H4568" t="str">
        <f>"2002222311366"</f>
        <v>2002222311366</v>
      </c>
      <c r="I4568" t="str">
        <f>HYPERLINK("#", "https://opac.libnet.pref.okayama.jp/licsxp-opac/WOpacMsgNewListToTifTilDetailAction.do?tilcod=2002222311366")</f>
        <v>https://opac.libnet.pref.okayama.jp/licsxp-opac/WOpacMsgNewListToTifTilDetailAction.do?tilcod=2002222311366</v>
      </c>
    </row>
    <row r="4569" spans="1:9" x14ac:dyDescent="0.4">
      <c r="A4569" t="str">
        <f>"法友会報"</f>
        <v>法友会報</v>
      </c>
      <c r="B4569" s="1" t="str">
        <f t="shared" si="230"/>
        <v>法友会報</v>
      </c>
      <c r="C4569" t="str">
        <f>"ホウユウ カイホウ"</f>
        <v>ホウユウ カイホウ</v>
      </c>
      <c r="D4569" t="str">
        <f>"岡山法曹友の会"</f>
        <v>岡山法曹友の会</v>
      </c>
      <c r="E4569" t="str">
        <f>"オカヤマ ホウソウ トモ ノ カイ"</f>
        <v>オカヤマ ホウソウ トモ ノ カイ</v>
      </c>
      <c r="F4569" t="str">
        <f>""</f>
        <v/>
      </c>
      <c r="G4569" t="str">
        <f>"頻度不明"</f>
        <v>頻度不明</v>
      </c>
      <c r="H4569" t="str">
        <f>"2002222307266"</f>
        <v>2002222307266</v>
      </c>
      <c r="I4569" t="str">
        <f>HYPERLINK("#", "https://opac.libnet.pref.okayama.jp/licsxp-opac/WOpacMsgNewListToTifTilDetailAction.do?tilcod=2002222307266")</f>
        <v>https://opac.libnet.pref.okayama.jp/licsxp-opac/WOpacMsgNewListToTifTilDetailAction.do?tilcod=2002222307266</v>
      </c>
    </row>
    <row r="4570" spans="1:9" x14ac:dyDescent="0.4">
      <c r="A4570" t="str">
        <f>"芳流"</f>
        <v>芳流</v>
      </c>
      <c r="B4570" s="1" t="str">
        <f t="shared" si="230"/>
        <v>芳流</v>
      </c>
      <c r="C4570" t="str">
        <f>"ホウリュウ"</f>
        <v>ホウリュウ</v>
      </c>
      <c r="D4570" t="str">
        <f>"冠句芳流編集所"</f>
        <v>冠句芳流編集所</v>
      </c>
      <c r="E4570" t="str">
        <f>"カンクホウリュウヘンシュウショ"</f>
        <v>カンクホウリュウヘンシュウショ</v>
      </c>
      <c r="F4570" t="str">
        <f>"高梁"</f>
        <v>高梁</v>
      </c>
      <c r="G4570" t="str">
        <f>"隔月刊"</f>
        <v>隔月刊</v>
      </c>
      <c r="H4570" t="str">
        <f>"2002222293251"</f>
        <v>2002222293251</v>
      </c>
      <c r="I4570" t="str">
        <f>HYPERLINK("#", "https://opac.libnet.pref.okayama.jp/licsxp-opac/WOpacMsgNewListToTifTilDetailAction.do?tilcod=2002222293251")</f>
        <v>https://opac.libnet.pref.okayama.jp/licsxp-opac/WOpacMsgNewListToTifTilDetailAction.do?tilcod=2002222293251</v>
      </c>
    </row>
    <row r="4571" spans="1:9" x14ac:dyDescent="0.4">
      <c r="A4571" t="str">
        <f>"ＨＯ！"</f>
        <v>ＨＯ！</v>
      </c>
      <c r="B4571" s="1" t="str">
        <f t="shared" si="230"/>
        <v>ＨＯ！</v>
      </c>
      <c r="C4571" t="str">
        <f>"ホー"</f>
        <v>ホー</v>
      </c>
      <c r="D4571" t="str">
        <f>"山口ようこ"</f>
        <v>山口ようこ</v>
      </c>
      <c r="E4571" t="str">
        <f>"ヤマグチヨウコ"</f>
        <v>ヤマグチヨウコ</v>
      </c>
      <c r="F4571" t="str">
        <f>"岡山"</f>
        <v>岡山</v>
      </c>
      <c r="G4571" t="str">
        <f>"不定期刊"</f>
        <v>不定期刊</v>
      </c>
      <c r="H4571" t="str">
        <f>"2002222280681"</f>
        <v>2002222280681</v>
      </c>
      <c r="I4571" t="str">
        <f>HYPERLINK("#", "https://opac.libnet.pref.okayama.jp/licsxp-opac/WOpacMsgNewListToTifTilDetailAction.do?tilcod=2002222280681")</f>
        <v>https://opac.libnet.pref.okayama.jp/licsxp-opac/WOpacMsgNewListToTifTilDetailAction.do?tilcod=2002222280681</v>
      </c>
    </row>
    <row r="4572" spans="1:9" x14ac:dyDescent="0.4">
      <c r="A4572" t="str">
        <f>"ｈｏｐｅｆｕｌ（ホープフル）"</f>
        <v>ｈｏｐｅｆｕｌ（ホープフル）</v>
      </c>
      <c r="B4572" s="1" t="str">
        <f t="shared" si="230"/>
        <v>ｈｏｐｅｆｕｌ（ホープフル）</v>
      </c>
      <c r="C4572" t="str">
        <f>"ホープフル"</f>
        <v>ホープフル</v>
      </c>
      <c r="D4572" t="str">
        <f>"Ｔａｍａｎｏ　Ｐｏｓｔ　Ｏｆｆｉｃｅ"</f>
        <v>Ｔａｍａｎｏ　Ｐｏｓｔ　Ｏｆｆｉｃｅ</v>
      </c>
      <c r="E4572" t="str">
        <f>"タマノポストオフィス"</f>
        <v>タマノポストオフィス</v>
      </c>
      <c r="F4572" t="str">
        <f>"玉野"</f>
        <v>玉野</v>
      </c>
      <c r="G4572" t="str">
        <f>"不定期刊"</f>
        <v>不定期刊</v>
      </c>
      <c r="H4572" t="str">
        <f>"2002222280711"</f>
        <v>2002222280711</v>
      </c>
      <c r="I4572" t="str">
        <f>HYPERLINK("#", "https://opac.libnet.pref.okayama.jp/licsxp-opac/WOpacMsgNewListToTifTilDetailAction.do?tilcod=2002222280711")</f>
        <v>https://opac.libnet.pref.okayama.jp/licsxp-opac/WOpacMsgNewListToTifTilDetailAction.do?tilcod=2002222280711</v>
      </c>
    </row>
    <row r="4573" spans="1:9" x14ac:dyDescent="0.4">
      <c r="A4573" t="str">
        <f>"Ｈｏ；Ｍｅ（ホーミィ）；ステップハウス"</f>
        <v>Ｈｏ；Ｍｅ（ホーミィ）；ステップハウス</v>
      </c>
      <c r="B4573" s="1" t="str">
        <f t="shared" si="230"/>
        <v>Ｈｏ；Ｍｅ（ホーミィ）；ステップハウス</v>
      </c>
      <c r="C4573" t="str">
        <f>"ホーミィ＊ステップ　ハウス"</f>
        <v>ホーミィ＊ステップ　ハウス</v>
      </c>
      <c r="D4573" t="str">
        <f>"ＫＧ情報"</f>
        <v>ＫＧ情報</v>
      </c>
      <c r="E4573" t="str">
        <f>"ケージージョウホウ"</f>
        <v>ケージージョウホウ</v>
      </c>
      <c r="F4573" t="str">
        <f t="shared" ref="F4573:F4578" si="231">"岡山"</f>
        <v>岡山</v>
      </c>
      <c r="G4573" t="str">
        <f>"月刊"</f>
        <v>月刊</v>
      </c>
      <c r="H4573" t="str">
        <f>"2002222300470"</f>
        <v>2002222300470</v>
      </c>
      <c r="I4573" t="str">
        <f>HYPERLINK("#", "https://opac.libnet.pref.okayama.jp/licsxp-opac/WOpacMsgNewListToTifTilDetailAction.do?tilcod=2002222300470")</f>
        <v>https://opac.libnet.pref.okayama.jp/licsxp-opac/WOpacMsgNewListToTifTilDetailAction.do?tilcod=2002222300470</v>
      </c>
    </row>
    <row r="4574" spans="1:9" x14ac:dyDescent="0.4">
      <c r="A4574" t="str">
        <f>"ぽ?れぽ?れ　岡山県支部版；「認知症」になっても安心して暮らせる社会を"</f>
        <v>ぽ?れぽ?れ　岡山県支部版；「認知症」になっても安心して暮らせる社会を</v>
      </c>
      <c r="B4574" s="1" t="str">
        <f t="shared" si="230"/>
        <v>ぽ?れぽ?れ　岡山県支部版；「認知症」になっても安心して暮らせる社会を</v>
      </c>
      <c r="C4574" t="str">
        <f>"ポーレ　ポーレ　オカヤマケン　シブ　バン＊ニンチショウニ　ナッテモ　アンシン　シテ　クラセル　シャカイ　オ"</f>
        <v>ポーレ　ポーレ　オカヤマケン　シブ　バン＊ニンチショウニ　ナッテモ　アンシン　シテ　クラセル　シャカイ　オ</v>
      </c>
      <c r="D4574" t="str">
        <f>"認知症の人と家族の会岡山県支部"</f>
        <v>認知症の人と家族の会岡山県支部</v>
      </c>
      <c r="E4574" t="str">
        <f>"ニンチショウ ノ ヒト ト カゾク ノ カイ オカヤマケン シブ"</f>
        <v>ニンチショウ ノ ヒト ト カゾク ノ カイ オカヤマケン シブ</v>
      </c>
      <c r="F4574" t="str">
        <f t="shared" si="231"/>
        <v>岡山</v>
      </c>
      <c r="G4574" t="str">
        <f>"月刊"</f>
        <v>月刊</v>
      </c>
      <c r="H4574" t="str">
        <f>"2002222300200"</f>
        <v>2002222300200</v>
      </c>
      <c r="I4574" t="str">
        <f>HYPERLINK("#", "https://opac.libnet.pref.okayama.jp/licsxp-opac/WOpacMsgNewListToTifTilDetailAction.do?tilcod=2002222300200")</f>
        <v>https://opac.libnet.pref.okayama.jp/licsxp-opac/WOpacMsgNewListToTifTilDetailAction.do?tilcod=2002222300200</v>
      </c>
    </row>
    <row r="4575" spans="1:9" x14ac:dyDescent="0.4">
      <c r="A4575" t="str">
        <f>"北進"</f>
        <v>北進</v>
      </c>
      <c r="B4575" s="1" t="str">
        <f t="shared" si="230"/>
        <v>北進</v>
      </c>
      <c r="C4575" t="str">
        <f>"ホクシン"</f>
        <v>ホクシン</v>
      </c>
      <c r="D4575" t="str">
        <f>"岡柔会"</f>
        <v>岡柔会</v>
      </c>
      <c r="E4575" t="str">
        <f>"オカジュウカイ"</f>
        <v>オカジュウカイ</v>
      </c>
      <c r="F4575" t="str">
        <f t="shared" si="231"/>
        <v>岡山</v>
      </c>
      <c r="G4575" t="str">
        <f>"年刊"</f>
        <v>年刊</v>
      </c>
      <c r="H4575" t="str">
        <f>"2002222301359"</f>
        <v>2002222301359</v>
      </c>
      <c r="I4575" t="str">
        <f>HYPERLINK("#", "https://opac.libnet.pref.okayama.jp/licsxp-opac/WOpacMsgNewListToTifTilDetailAction.do?tilcod=2002222301359")</f>
        <v>https://opac.libnet.pref.okayama.jp/licsxp-opac/WOpacMsgNewListToTifTilDetailAction.do?tilcod=2002222301359</v>
      </c>
    </row>
    <row r="4576" spans="1:9" x14ac:dyDescent="0.4">
      <c r="A4576" t="str">
        <f>"北進；抜粋版"</f>
        <v>北進；抜粋版</v>
      </c>
      <c r="B4576" s="1" t="str">
        <f t="shared" si="230"/>
        <v>北進；抜粋版</v>
      </c>
      <c r="C4576" t="str">
        <f>"ホクシン＊バッスイバン"</f>
        <v>ホクシン＊バッスイバン</v>
      </c>
      <c r="D4576" t="str">
        <f>"岡柔会"</f>
        <v>岡柔会</v>
      </c>
      <c r="E4576" t="str">
        <f>"オカジュウカイ"</f>
        <v>オカジュウカイ</v>
      </c>
      <c r="F4576" t="str">
        <f t="shared" si="231"/>
        <v>岡山</v>
      </c>
      <c r="G4576" t="str">
        <f>"年刊"</f>
        <v>年刊</v>
      </c>
      <c r="H4576" t="str">
        <f>"2002222301506"</f>
        <v>2002222301506</v>
      </c>
      <c r="I4576" t="str">
        <f>HYPERLINK("#", "https://opac.libnet.pref.okayama.jp/licsxp-opac/WOpacMsgNewListToTifTilDetailAction.do?tilcod=2002222301506")</f>
        <v>https://opac.libnet.pref.okayama.jp/licsxp-opac/WOpacMsgNewListToTifTilDetailAction.do?tilcod=2002222301506</v>
      </c>
    </row>
    <row r="4577" spans="1:9" x14ac:dyDescent="0.4">
      <c r="A4577" t="str">
        <f>"墨潮"</f>
        <v>墨潮</v>
      </c>
      <c r="B4577" s="1" t="str">
        <f t="shared" si="230"/>
        <v>墨潮</v>
      </c>
      <c r="C4577" t="str">
        <f>"ボクチョウ"</f>
        <v>ボクチョウ</v>
      </c>
      <c r="D4577" t="str">
        <f>"岡山書道学院"</f>
        <v>岡山書道学院</v>
      </c>
      <c r="E4577" t="str">
        <f>"オカヤマショドウガクイン"</f>
        <v>オカヤマショドウガクイン</v>
      </c>
      <c r="F4577" t="str">
        <f t="shared" si="231"/>
        <v>岡山</v>
      </c>
      <c r="G4577" t="str">
        <f>"月刊"</f>
        <v>月刊</v>
      </c>
      <c r="H4577" t="str">
        <f>"2002222293261"</f>
        <v>2002222293261</v>
      </c>
      <c r="I4577" t="str">
        <f>HYPERLINK("#", "https://opac.libnet.pref.okayama.jp/licsxp-opac/WOpacMsgNewListToTifTilDetailAction.do?tilcod=2002222293261")</f>
        <v>https://opac.libnet.pref.okayama.jp/licsxp-opac/WOpacMsgNewListToTifTilDetailAction.do?tilcod=2002222293261</v>
      </c>
    </row>
    <row r="4578" spans="1:9" x14ac:dyDescent="0.4">
      <c r="A4578" t="str">
        <f>"北東アジア経済研究"</f>
        <v>北東アジア経済研究</v>
      </c>
      <c r="B4578" s="1" t="str">
        <f t="shared" si="230"/>
        <v>北東アジア経済研究</v>
      </c>
      <c r="C4578" t="str">
        <f>"ホクトウ　アジア　ケイザイ　ケンキュウ"</f>
        <v>ホクトウ　アジア　ケイザイ　ケンキュウ</v>
      </c>
      <c r="D4578" t="str">
        <f>"岡山大学大学院社会文化科学研究科"</f>
        <v>岡山大学大学院社会文化科学研究科</v>
      </c>
      <c r="E4578" t="str">
        <f>"オカヤマ ダイガク ダイガクイン シャカイ ブンカ カガク ケンキュウカ"</f>
        <v>オカヤマ ダイガク ダイガクイン シャカイ ブンカ カガク ケンキュウカ</v>
      </c>
      <c r="F4578" t="str">
        <f t="shared" si="231"/>
        <v>岡山</v>
      </c>
      <c r="G4578" t="str">
        <f>"年刊"</f>
        <v>年刊</v>
      </c>
      <c r="H4578" t="str">
        <f>"2002222300025"</f>
        <v>2002222300025</v>
      </c>
      <c r="I4578" t="str">
        <f>HYPERLINK("#", "https://opac.libnet.pref.okayama.jp/licsxp-opac/WOpacMsgNewListToTifTilDetailAction.do?tilcod=2002222300025")</f>
        <v>https://opac.libnet.pref.okayama.jp/licsxp-opac/WOpacMsgNewListToTifTilDetailAction.do?tilcod=2002222300025</v>
      </c>
    </row>
    <row r="4579" spans="1:9" x14ac:dyDescent="0.4">
      <c r="A4579" t="str">
        <f>"木堂雑誌"</f>
        <v>木堂雑誌</v>
      </c>
      <c r="B4579" s="1" t="str">
        <f t="shared" si="230"/>
        <v>木堂雑誌</v>
      </c>
      <c r="C4579" t="str">
        <f>"ボクドウ　ザッシ"</f>
        <v>ボクドウ　ザッシ</v>
      </c>
      <c r="D4579" t="str">
        <f>"木堂雑誌発行所"</f>
        <v>木堂雑誌発行所</v>
      </c>
      <c r="E4579" t="str">
        <f>"ボクドウザッシハッコウジョ"</f>
        <v>ボクドウザッシハッコウジョ</v>
      </c>
      <c r="F4579" t="str">
        <f>"東京"</f>
        <v>東京</v>
      </c>
      <c r="G4579" t="str">
        <f>"頻度不明"</f>
        <v>頻度不明</v>
      </c>
      <c r="H4579" t="str">
        <f>"2002222284933"</f>
        <v>2002222284933</v>
      </c>
      <c r="I4579" t="str">
        <f>HYPERLINK("#", "https://opac.libnet.pref.okayama.jp/licsxp-opac/WOpacMsgNewListToTifTilDetailAction.do?tilcod=2002222284933")</f>
        <v>https://opac.libnet.pref.okayama.jp/licsxp-opac/WOpacMsgNewListToTifTilDetailAction.do?tilcod=2002222284933</v>
      </c>
    </row>
    <row r="4580" spans="1:9" x14ac:dyDescent="0.4">
      <c r="A4580" t="str">
        <f>"北房文化協会だより"</f>
        <v>北房文化協会だより</v>
      </c>
      <c r="B4580" s="1" t="str">
        <f t="shared" si="230"/>
        <v>北房文化協会だより</v>
      </c>
      <c r="C4580" t="str">
        <f>"ホクボウ ブンカ キョウカイ ダヨリ"</f>
        <v>ホクボウ ブンカ キョウカイ ダヨリ</v>
      </c>
      <c r="D4580" t="str">
        <f>"北房文化協会"</f>
        <v>北房文化協会</v>
      </c>
      <c r="E4580" t="str">
        <f>"ホクボウ ブンカ キョウカイ"</f>
        <v>ホクボウ ブンカ キョウカイ</v>
      </c>
      <c r="F4580" t="str">
        <f>"真庭"</f>
        <v>真庭</v>
      </c>
      <c r="G4580" t="str">
        <f>"隔年刊"</f>
        <v>隔年刊</v>
      </c>
      <c r="H4580" t="str">
        <f>"2002222341530"</f>
        <v>2002222341530</v>
      </c>
      <c r="I4580" t="str">
        <f>HYPERLINK("#", "https://opac.libnet.pref.okayama.jp/licsxp-opac/WOpacMsgNewListToTifTilDetailAction.do?tilcod=2002222341530")</f>
        <v>https://opac.libnet.pref.okayama.jp/licsxp-opac/WOpacMsgNewListToTifTilDetailAction.do?tilcod=2002222341530</v>
      </c>
    </row>
    <row r="4581" spans="1:9" x14ac:dyDescent="0.4">
      <c r="A4581" t="str">
        <f>"北陵のある風景；吉備北陵高等学校広報誌"</f>
        <v>北陵のある風景；吉備北陵高等学校広報誌</v>
      </c>
      <c r="B4581" s="1" t="str">
        <f t="shared" si="230"/>
        <v>北陵のある風景；吉備北陵高等学校広報誌</v>
      </c>
      <c r="C4581" t="str">
        <f>"ホクリョウ　ノ　アル　フウケイ＊キビ　ホクリョウ　コウトウ　ガッコウ　コウホウシ"</f>
        <v>ホクリョウ　ノ　アル　フウケイ＊キビ　ホクリョウ　コウトウ　ガッコウ　コウホウシ</v>
      </c>
      <c r="D4581" t="str">
        <f>"吉備北陵高等学校"</f>
        <v>吉備北陵高等学校</v>
      </c>
      <c r="E4581" t="str">
        <f>"キビホクリョウコウトウガッコウ"</f>
        <v>キビホクリョウコウトウガッコウ</v>
      </c>
      <c r="F4581" t="str">
        <f>"吉備中央町（加賀郡）"</f>
        <v>吉備中央町（加賀郡）</v>
      </c>
      <c r="G4581" t="str">
        <f>"頻度不明"</f>
        <v>頻度不明</v>
      </c>
      <c r="H4581" t="str">
        <f>"2002222301770"</f>
        <v>2002222301770</v>
      </c>
      <c r="I4581" t="str">
        <f>HYPERLINK("#", "https://opac.libnet.pref.okayama.jp/licsxp-opac/WOpacMsgNewListToTifTilDetailAction.do?tilcod=2002222301770")</f>
        <v>https://opac.libnet.pref.okayama.jp/licsxp-opac/WOpacMsgNewListToTifTilDetailAction.do?tilcod=2002222301770</v>
      </c>
    </row>
    <row r="4582" spans="1:9" x14ac:dyDescent="0.4">
      <c r="A4582" t="str">
        <f>"木瓜"</f>
        <v>木瓜</v>
      </c>
      <c r="B4582" s="1" t="str">
        <f t="shared" si="230"/>
        <v>木瓜</v>
      </c>
      <c r="C4582" t="str">
        <f>"ボケ"</f>
        <v>ボケ</v>
      </c>
      <c r="D4582" t="str">
        <f>"児島市味野中学校啓明会"</f>
        <v>児島市味野中学校啓明会</v>
      </c>
      <c r="E4582" t="str">
        <f>"コジマシアジノチュウガッコウケイメイカイ"</f>
        <v>コジマシアジノチュウガッコウケイメイカイ</v>
      </c>
      <c r="F4582" t="str">
        <f>"児島"</f>
        <v>児島</v>
      </c>
      <c r="G4582" t="str">
        <f>"頻度不明"</f>
        <v>頻度不明</v>
      </c>
      <c r="H4582" t="str">
        <f>"2002222284953"</f>
        <v>2002222284953</v>
      </c>
      <c r="I4582" t="str">
        <f>HYPERLINK("#", "https://opac.libnet.pref.okayama.jp/licsxp-opac/WOpacMsgNewListToTifTilDetailAction.do?tilcod=2002222284953")</f>
        <v>https://opac.libnet.pref.okayama.jp/licsxp-opac/WOpacMsgNewListToTifTilDetailAction.do?tilcod=2002222284953</v>
      </c>
    </row>
    <row r="4583" spans="1:9" x14ac:dyDescent="0.4">
      <c r="A4583" t="str">
        <f>"ポケパラJ"</f>
        <v>ポケパラJ</v>
      </c>
      <c r="B4583" s="1" t="str">
        <f t="shared" si="230"/>
        <v>ポケパラJ</v>
      </c>
      <c r="C4583" t="str">
        <f>"ポケパラ ジェイ"</f>
        <v>ポケパラ ジェイ</v>
      </c>
      <c r="D4583" t="str">
        <f>"ポケパラ"</f>
        <v>ポケパラ</v>
      </c>
      <c r="E4583" t="str">
        <f>"ポケパラ"</f>
        <v>ポケパラ</v>
      </c>
      <c r="F4583" t="str">
        <f>""</f>
        <v/>
      </c>
      <c r="G4583" t="str">
        <f>"頻度不明"</f>
        <v>頻度不明</v>
      </c>
      <c r="H4583" t="str">
        <f>"2002222335528"</f>
        <v>2002222335528</v>
      </c>
      <c r="I4583" t="str">
        <f>HYPERLINK("#", "https://opac.libnet.pref.okayama.jp/licsxp-opac/WOpacMsgNewListToTifTilDetailAction.do?tilcod=2002222335528")</f>
        <v>https://opac.libnet.pref.okayama.jp/licsxp-opac/WOpacMsgNewListToTifTilDetailAction.do?tilcod=2002222335528</v>
      </c>
    </row>
    <row r="4584" spans="1:9" x14ac:dyDescent="0.4">
      <c r="A4584" t="str">
        <f>"保健師通信"</f>
        <v>保健師通信</v>
      </c>
      <c r="B4584" s="1" t="str">
        <f t="shared" si="230"/>
        <v>保健師通信</v>
      </c>
      <c r="C4584" t="str">
        <f>"ホケンシ　ツウシン"</f>
        <v>ホケンシ　ツウシン</v>
      </c>
      <c r="D4584" t="str">
        <f>"岡山県教育庁福利課健康管理班"</f>
        <v>岡山県教育庁福利課健康管理班</v>
      </c>
      <c r="E4584" t="str">
        <f>"オカヤマケンキョウイクチョウフクリカケンコウカンリハン"</f>
        <v>オカヤマケンキョウイクチョウフクリカケンコウカンリハン</v>
      </c>
      <c r="F4584" t="str">
        <f>"岡山"</f>
        <v>岡山</v>
      </c>
      <c r="G4584" t="str">
        <f>"月刊"</f>
        <v>月刊</v>
      </c>
      <c r="H4584" t="str">
        <f>"2002222301381"</f>
        <v>2002222301381</v>
      </c>
      <c r="I4584" t="str">
        <f>HYPERLINK("#", "https://opac.libnet.pref.okayama.jp/licsxp-opac/WOpacMsgNewListToTifTilDetailAction.do?tilcod=2002222301381")</f>
        <v>https://opac.libnet.pref.okayama.jp/licsxp-opac/WOpacMsgNewListToTifTilDetailAction.do?tilcod=2002222301381</v>
      </c>
    </row>
    <row r="4585" spans="1:9" x14ac:dyDescent="0.4">
      <c r="A4585" t="str">
        <f>"ほこり"</f>
        <v>ほこり</v>
      </c>
      <c r="B4585" s="1" t="str">
        <f t="shared" si="230"/>
        <v>ほこり</v>
      </c>
      <c r="C4585" t="str">
        <f>"ホコリ"</f>
        <v>ホコリ</v>
      </c>
      <c r="D4585" t="str">
        <f>"関西高等学校郷土研究部"</f>
        <v>関西高等学校郷土研究部</v>
      </c>
      <c r="E4585" t="str">
        <f>"カンゼイコウトウガッコウキョウドケンキュウブ"</f>
        <v>カンゼイコウトウガッコウキョウドケンキュウブ</v>
      </c>
      <c r="F4585" t="str">
        <f>"岡山"</f>
        <v>岡山</v>
      </c>
      <c r="G4585" t="str">
        <f>"年刊"</f>
        <v>年刊</v>
      </c>
      <c r="H4585" t="str">
        <f>"2002222280651"</f>
        <v>2002222280651</v>
      </c>
      <c r="I4585" t="str">
        <f>HYPERLINK("#", "https://opac.libnet.pref.okayama.jp/licsxp-opac/WOpacMsgNewListToTifTilDetailAction.do?tilcod=2002222280651")</f>
        <v>https://opac.libnet.pref.okayama.jp/licsxp-opac/WOpacMsgNewListToTifTilDetailAction.do?tilcod=2002222280651</v>
      </c>
    </row>
    <row r="4586" spans="1:9" x14ac:dyDescent="0.4">
      <c r="A4586" t="str">
        <f>"星"</f>
        <v>星</v>
      </c>
      <c r="B4586" s="1" t="str">
        <f t="shared" si="230"/>
        <v>星</v>
      </c>
      <c r="C4586" t="str">
        <f>"ホシ"</f>
        <v>ホシ</v>
      </c>
      <c r="D4586" t="str">
        <f>"星の会"</f>
        <v>星の会</v>
      </c>
      <c r="E4586" t="str">
        <f>"ホシ ノ カイ"</f>
        <v>ホシ ノ カイ</v>
      </c>
      <c r="F4586" t="str">
        <f>"岡山"</f>
        <v>岡山</v>
      </c>
      <c r="G4586" t="str">
        <f>"年刊"</f>
        <v>年刊</v>
      </c>
      <c r="H4586" t="str">
        <f>"2002222293271"</f>
        <v>2002222293271</v>
      </c>
      <c r="I4586" t="str">
        <f>HYPERLINK("#", "https://opac.libnet.pref.okayama.jp/licsxp-opac/WOpacMsgNewListToTifTilDetailAction.do?tilcod=2002222293271")</f>
        <v>https://opac.libnet.pref.okayama.jp/licsxp-opac/WOpacMsgNewListToTifTilDetailAction.do?tilcod=2002222293271</v>
      </c>
    </row>
    <row r="4587" spans="1:9" x14ac:dyDescent="0.4">
      <c r="A4587" t="str">
        <f>"星空の探検"</f>
        <v>星空の探検</v>
      </c>
      <c r="B4587" s="1" t="str">
        <f t="shared" si="230"/>
        <v>星空の探検</v>
      </c>
      <c r="C4587" t="str">
        <f>"ホシゾラ　ノ　タンケン"</f>
        <v>ホシゾラ　ノ　タンケン</v>
      </c>
      <c r="D4587" t="str">
        <f>"岡山の自然教育会"</f>
        <v>岡山の自然教育会</v>
      </c>
      <c r="E4587" t="str">
        <f>"オカヤマノシゼンキョウイクカイ"</f>
        <v>オカヤマノシゼンキョウイクカイ</v>
      </c>
      <c r="F4587" t="str">
        <f>"岡山"</f>
        <v>岡山</v>
      </c>
      <c r="G4587" t="str">
        <f>"年刊"</f>
        <v>年刊</v>
      </c>
      <c r="H4587" t="str">
        <f>"2002222280661"</f>
        <v>2002222280661</v>
      </c>
      <c r="I4587" t="str">
        <f>HYPERLINK("#", "https://opac.libnet.pref.okayama.jp/licsxp-opac/WOpacMsgNewListToTifTilDetailAction.do?tilcod=2002222280661")</f>
        <v>https://opac.libnet.pref.okayama.jp/licsxp-opac/WOpacMsgNewListToTifTilDetailAction.do?tilcod=2002222280661</v>
      </c>
    </row>
    <row r="4588" spans="1:9" x14ac:dyDescent="0.4">
      <c r="A4588" t="str">
        <f>"星見だより"</f>
        <v>星見だより</v>
      </c>
      <c r="B4588" s="1" t="str">
        <f t="shared" si="230"/>
        <v>星見だより</v>
      </c>
      <c r="C4588" t="str">
        <f>"ホシミ　ダヨリ"</f>
        <v>ホシミ　ダヨリ</v>
      </c>
      <c r="D4588" t="str">
        <f>"美星天文台"</f>
        <v>美星天文台</v>
      </c>
      <c r="E4588" t="str">
        <f>"ビセイ テンモンダイ"</f>
        <v>ビセイ テンモンダイ</v>
      </c>
      <c r="F4588" t="str">
        <f>"小田郡美星町"</f>
        <v>小田郡美星町</v>
      </c>
      <c r="G4588" t="str">
        <f>"不定期刊"</f>
        <v>不定期刊</v>
      </c>
      <c r="H4588" t="str">
        <f>"2002222282873"</f>
        <v>2002222282873</v>
      </c>
      <c r="I4588" t="str">
        <f>HYPERLINK("#", "https://opac.libnet.pref.okayama.jp/licsxp-opac/WOpacMsgNewListToTifTilDetailAction.do?tilcod=2002222282873")</f>
        <v>https://opac.libnet.pref.okayama.jp/licsxp-opac/WOpacMsgNewListToTifTilDetailAction.do?tilcod=2002222282873</v>
      </c>
    </row>
    <row r="4589" spans="1:9" x14ac:dyDescent="0.4">
      <c r="A4589" t="str">
        <f>"保証会社だより"</f>
        <v>保証会社だより</v>
      </c>
      <c r="B4589" s="1" t="str">
        <f t="shared" si="230"/>
        <v>保証会社だより</v>
      </c>
      <c r="C4589" t="str">
        <f>"ホショウ　ガイシャ　ダヨリ"</f>
        <v>ホショウ　ガイシャ　ダヨリ</v>
      </c>
      <c r="D4589" t="str">
        <f>"西日本建設業保証岡山支店"</f>
        <v>西日本建設業保証岡山支店</v>
      </c>
      <c r="E4589" t="str">
        <f>"ニシニホンケンセツギョウホショウオカヤマシテン"</f>
        <v>ニシニホンケンセツギョウホショウオカヤマシテン</v>
      </c>
      <c r="F4589" t="str">
        <f>""</f>
        <v/>
      </c>
      <c r="G4589" t="str">
        <f>"頻度不明"</f>
        <v>頻度不明</v>
      </c>
      <c r="H4589" t="str">
        <f>"2002222284973"</f>
        <v>2002222284973</v>
      </c>
      <c r="I4589" t="str">
        <f>HYPERLINK("#", "https://opac.libnet.pref.okayama.jp/licsxp-opac/WOpacMsgNewListToTifTilDetailAction.do?tilcod=2002222284973")</f>
        <v>https://opac.libnet.pref.okayama.jp/licsxp-opac/WOpacMsgNewListToTifTilDetailAction.do?tilcod=2002222284973</v>
      </c>
    </row>
    <row r="4590" spans="1:9" x14ac:dyDescent="0.4">
      <c r="A4590" t="str">
        <f>"ＦＯＳだより（岡山県ＦＯＳ少年団連盟機関誌）"</f>
        <v>ＦＯＳだより（岡山県ＦＯＳ少年団連盟機関誌）</v>
      </c>
      <c r="B4590" s="1" t="str">
        <f t="shared" si="230"/>
        <v>ＦＯＳだより（岡山県ＦＯＳ少年団連盟機関誌）</v>
      </c>
      <c r="C4590" t="str">
        <f>"ホス　ダヨリ"</f>
        <v>ホス　ダヨリ</v>
      </c>
      <c r="D4590" t="str">
        <f>"岡山県ＦＯＳ少年団連盟"</f>
        <v>岡山県ＦＯＳ少年団連盟</v>
      </c>
      <c r="E4590" t="str">
        <f>"オカヤマケンホスショウネンダンレンメイ"</f>
        <v>オカヤマケンホスショウネンダンレンメイ</v>
      </c>
      <c r="F4590" t="str">
        <f>"岡山"</f>
        <v>岡山</v>
      </c>
      <c r="G4590" t="str">
        <f>"年刊"</f>
        <v>年刊</v>
      </c>
      <c r="H4590" t="str">
        <f>"2002222282971"</f>
        <v>2002222282971</v>
      </c>
      <c r="I4590" t="str">
        <f>HYPERLINK("#", "https://opac.libnet.pref.okayama.jp/licsxp-opac/WOpacMsgNewListToTifTilDetailAction.do?tilcod=2002222282971")</f>
        <v>https://opac.libnet.pref.okayama.jp/licsxp-opac/WOpacMsgNewListToTifTilDetailAction.do?tilcod=2002222282971</v>
      </c>
    </row>
    <row r="4591" spans="1:9" x14ac:dyDescent="0.4">
      <c r="A4591" t="str">
        <f>"菩提樹"</f>
        <v>菩提樹</v>
      </c>
      <c r="B4591" s="1" t="str">
        <f t="shared" si="230"/>
        <v>菩提樹</v>
      </c>
      <c r="C4591" t="str">
        <f>"ボダイジュ"</f>
        <v>ボダイジュ</v>
      </c>
      <c r="D4591" t="str">
        <f>"竜華新報社"</f>
        <v>竜華新報社</v>
      </c>
      <c r="E4591" t="str">
        <f>"リュウゲ シンポウシャ"</f>
        <v>リュウゲ シンポウシャ</v>
      </c>
      <c r="F4591" t="str">
        <f>""</f>
        <v/>
      </c>
      <c r="G4591" t="str">
        <f>"頻度不明"</f>
        <v>頻度不明</v>
      </c>
      <c r="H4591" t="str">
        <f>"2002222284983"</f>
        <v>2002222284983</v>
      </c>
      <c r="I4591" t="str">
        <f>HYPERLINK("#", "https://opac.libnet.pref.okayama.jp/licsxp-opac/WOpacMsgNewListToTifTilDetailAction.do?tilcod=2002222284983")</f>
        <v>https://opac.libnet.pref.okayama.jp/licsxp-opac/WOpacMsgNewListToTifTilDetailAction.do?tilcod=2002222284983</v>
      </c>
    </row>
    <row r="4592" spans="1:9" x14ac:dyDescent="0.4">
      <c r="A4592" t="str">
        <f>"ボダイズ"</f>
        <v>ボダイズ</v>
      </c>
      <c r="B4592" s="1" t="str">
        <f t="shared" si="230"/>
        <v>ボダイズ</v>
      </c>
      <c r="C4592" t="str">
        <f>"ボダイズ"</f>
        <v>ボダイズ</v>
      </c>
      <c r="D4592" t="str">
        <f>"ボダイズ社"</f>
        <v>ボダイズ社</v>
      </c>
      <c r="E4592" t="str">
        <f>"ボダイズシャ"</f>
        <v>ボダイズシャ</v>
      </c>
      <c r="F4592" t="str">
        <f>""</f>
        <v/>
      </c>
      <c r="G4592" t="str">
        <f>"頻度不明"</f>
        <v>頻度不明</v>
      </c>
      <c r="H4592" t="str">
        <f>"2002222284993"</f>
        <v>2002222284993</v>
      </c>
      <c r="I4592" t="str">
        <f>HYPERLINK("#", "https://opac.libnet.pref.okayama.jp/licsxp-opac/WOpacMsgNewListToTifTilDetailAction.do?tilcod=2002222284993")</f>
        <v>https://opac.libnet.pref.okayama.jp/licsxp-opac/WOpacMsgNewListToTifTilDetailAction.do?tilcod=2002222284993</v>
      </c>
    </row>
    <row r="4593" spans="1:9" x14ac:dyDescent="0.4">
      <c r="A4593" t="str">
        <f>"榾柮火"</f>
        <v>榾柮火</v>
      </c>
      <c r="B4593" s="1" t="str">
        <f t="shared" si="230"/>
        <v>榾柮火</v>
      </c>
      <c r="C4593" t="str">
        <f>"ホタビ"</f>
        <v>ホタビ</v>
      </c>
      <c r="D4593" t="str">
        <f>"金光学園高等学校文芸部"</f>
        <v>金光学園高等学校文芸部</v>
      </c>
      <c r="E4593" t="str">
        <f>"コンコウガクエンコウトウガッコウブンゲイブ"</f>
        <v>コンコウガクエンコウトウガッコウブンゲイブ</v>
      </c>
      <c r="F4593" t="str">
        <f>"金光町（浅口郡）"</f>
        <v>金光町（浅口郡）</v>
      </c>
      <c r="G4593" t="str">
        <f>"年刊"</f>
        <v>年刊</v>
      </c>
      <c r="H4593" t="str">
        <f>"2002222280671"</f>
        <v>2002222280671</v>
      </c>
      <c r="I4593" t="str">
        <f>HYPERLINK("#", "https://opac.libnet.pref.okayama.jp/licsxp-opac/WOpacMsgNewListToTifTilDetailAction.do?tilcod=2002222280671")</f>
        <v>https://opac.libnet.pref.okayama.jp/licsxp-opac/WOpacMsgNewListToTifTilDetailAction.do?tilcod=2002222280671</v>
      </c>
    </row>
    <row r="4594" spans="1:9" x14ac:dyDescent="0.4">
      <c r="A4594" t="str">
        <f>"蛍の光"</f>
        <v>蛍の光</v>
      </c>
      <c r="B4594" s="1" t="str">
        <f t="shared" si="230"/>
        <v>蛍の光</v>
      </c>
      <c r="C4594" t="str">
        <f>"ホタル　ノ　ヒカリ"</f>
        <v>ホタル　ノ　ヒカリ</v>
      </c>
      <c r="D4594" t="str">
        <f>"岡山職業補導所"</f>
        <v>岡山職業補導所</v>
      </c>
      <c r="E4594" t="str">
        <f>"オカヤマショクギョウホドウショ"</f>
        <v>オカヤマショクギョウホドウショ</v>
      </c>
      <c r="F4594" t="str">
        <f>"〔岡山〕"</f>
        <v>〔岡山〕</v>
      </c>
      <c r="G4594" t="str">
        <f>"頻度不明"</f>
        <v>頻度不明</v>
      </c>
      <c r="H4594" t="str">
        <f>"2002222301372"</f>
        <v>2002222301372</v>
      </c>
      <c r="I4594" t="str">
        <f>HYPERLINK("#", "https://opac.libnet.pref.okayama.jp/licsxp-opac/WOpacMsgNewListToTifTilDetailAction.do?tilcod=2002222301372")</f>
        <v>https://opac.libnet.pref.okayama.jp/licsxp-opac/WOpacMsgNewListToTifTilDetailAction.do?tilcod=2002222301372</v>
      </c>
    </row>
    <row r="4595" spans="1:9" x14ac:dyDescent="0.4">
      <c r="A4595" t="str">
        <f>"北極星"</f>
        <v>北極星</v>
      </c>
      <c r="B4595" s="1" t="str">
        <f t="shared" si="230"/>
        <v>北極星</v>
      </c>
      <c r="C4595" t="str">
        <f>"ホッキョクセイ"</f>
        <v>ホッキョクセイ</v>
      </c>
      <c r="D4595" t="str">
        <f>"大原高等学校"</f>
        <v>大原高等学校</v>
      </c>
      <c r="E4595" t="str">
        <f>"オオハラコウトウガッコウ"</f>
        <v>オオハラコウトウガッコウ</v>
      </c>
      <c r="F4595" t="str">
        <f>"大原町（英田郡）"</f>
        <v>大原町（英田郡）</v>
      </c>
      <c r="G4595" t="str">
        <f>"年刊"</f>
        <v>年刊</v>
      </c>
      <c r="H4595" t="str">
        <f>"2002222288273"</f>
        <v>2002222288273</v>
      </c>
      <c r="I4595" t="str">
        <f>HYPERLINK("#", "https://opac.libnet.pref.okayama.jp/licsxp-opac/WOpacMsgNewListToTifTilDetailAction.do?tilcod=2002222288273")</f>
        <v>https://opac.libnet.pref.okayama.jp/licsxp-opac/WOpacMsgNewListToTifTilDetailAction.do?tilcod=2002222288273</v>
      </c>
    </row>
    <row r="4596" spans="1:9" x14ac:dyDescent="0.4">
      <c r="A4596" t="str">
        <f>"ぼっけえかさおか；みんなでつくる子ども情報誌"</f>
        <v>ぼっけえかさおか；みんなでつくる子ども情報誌</v>
      </c>
      <c r="B4596" s="1" t="str">
        <f t="shared" si="230"/>
        <v>ぼっけえかさおか；みんなでつくる子ども情報誌</v>
      </c>
      <c r="C4596" t="str">
        <f>"ボッケエ　カサオカ＊ミンナデ　ツクル　コドモ　ジョウホウシ"</f>
        <v>ボッケエ　カサオカ＊ミンナデ　ツクル　コドモ　ジョウホウシ</v>
      </c>
      <c r="D4596" t="str">
        <f>"かさおか子どもセンター"</f>
        <v>かさおか子どもセンター</v>
      </c>
      <c r="E4596" t="str">
        <f>"カサオカコドモセンター"</f>
        <v>カサオカコドモセンター</v>
      </c>
      <c r="F4596" t="str">
        <f>"笠岡"</f>
        <v>笠岡</v>
      </c>
      <c r="G4596" t="str">
        <f>"隔月刊"</f>
        <v>隔月刊</v>
      </c>
      <c r="H4596" t="str">
        <f>"2002222281994"</f>
        <v>2002222281994</v>
      </c>
      <c r="I4596" t="str">
        <f>HYPERLINK("#", "https://opac.libnet.pref.okayama.jp/licsxp-opac/WOpacMsgNewListToTifTilDetailAction.do?tilcod=2002222281994")</f>
        <v>https://opac.libnet.pref.okayama.jp/licsxp-opac/WOpacMsgNewListToTifTilDetailAction.do?tilcod=2002222281994</v>
      </c>
    </row>
    <row r="4597" spans="1:9" x14ac:dyDescent="0.4">
      <c r="A4597" t="str">
        <f>"ボッケーノ"</f>
        <v>ボッケーノ</v>
      </c>
      <c r="B4597" s="1" t="str">
        <f t="shared" si="230"/>
        <v>ボッケーノ</v>
      </c>
      <c r="C4597" t="str">
        <f>"ボッケーノ"</f>
        <v>ボッケーノ</v>
      </c>
      <c r="D4597" t="str">
        <f>"岡山県知事室広聴広報課"</f>
        <v>岡山県知事室広聴広報課</v>
      </c>
      <c r="E4597" t="str">
        <f>"オカヤマケン チジシツ コウチョウ コウホウカ"</f>
        <v>オカヤマケン チジシツ コウチョウ コウホウカ</v>
      </c>
      <c r="F4597" t="str">
        <f>"岡山"</f>
        <v>岡山</v>
      </c>
      <c r="G4597" t="str">
        <f>"季刊"</f>
        <v>季刊</v>
      </c>
      <c r="H4597" t="str">
        <f>"2002222301803"</f>
        <v>2002222301803</v>
      </c>
      <c r="I4597" t="str">
        <f>HYPERLINK("#", "https://opac.libnet.pref.okayama.jp/licsxp-opac/WOpacMsgNewListToTifTilDetailAction.do?tilcod=2002222301803")</f>
        <v>https://opac.libnet.pref.okayama.jp/licsxp-opac/WOpacMsgNewListToTifTilDetailAction.do?tilcod=2002222301803</v>
      </c>
    </row>
    <row r="4598" spans="1:9" x14ac:dyDescent="0.4">
      <c r="A4598" t="str">
        <f>"ホッとなださき"</f>
        <v>ホッとなださき</v>
      </c>
      <c r="B4598" s="1" t="str">
        <f t="shared" si="230"/>
        <v>ホッとなださき</v>
      </c>
      <c r="C4598" t="str">
        <f>"ホット　ナダサキ"</f>
        <v>ホット　ナダサキ</v>
      </c>
      <c r="D4598" t="str">
        <f>"ホッと灘崎ボランティアネット"</f>
        <v>ホッと灘崎ボランティアネット</v>
      </c>
      <c r="E4598" t="str">
        <f>"ホット ナダサキ ボランティア ネット"</f>
        <v>ホット ナダサキ ボランティア ネット</v>
      </c>
      <c r="F4598" t="str">
        <f>"岡山"</f>
        <v>岡山</v>
      </c>
      <c r="G4598" t="str">
        <f>"隔月刊"</f>
        <v>隔月刊</v>
      </c>
      <c r="H4598" t="str">
        <f>"2002222301051"</f>
        <v>2002222301051</v>
      </c>
      <c r="I4598" t="str">
        <f>HYPERLINK("#", "https://opac.libnet.pref.okayama.jp/licsxp-opac/WOpacMsgNewListToTifTilDetailAction.do?tilcod=2002222301051")</f>
        <v>https://opac.libnet.pref.okayama.jp/licsxp-opac/WOpacMsgNewListToTifTilDetailAction.do?tilcod=2002222301051</v>
      </c>
    </row>
    <row r="4599" spans="1:9" x14ac:dyDescent="0.4">
      <c r="A4599" t="str">
        <f>"Ｈｏｔ　Ｐｅｐｐｅｒ岡山・倉敷版（ホットペッパー岡山・倉敷版）"</f>
        <v>Ｈｏｔ　Ｐｅｐｐｅｒ岡山・倉敷版（ホットペッパー岡山・倉敷版）</v>
      </c>
      <c r="B4599" s="1" t="str">
        <f t="shared" si="230"/>
        <v>Ｈｏｔ　Ｐｅｐｐｅｒ岡山・倉敷版（ホットペッパー岡山・倉敷版）</v>
      </c>
      <c r="C4599" t="str">
        <f>"ホット　ペッパー　オカヤマ　クラシキ　バン"</f>
        <v>ホット　ペッパー　オカヤマ　クラシキ　バン</v>
      </c>
      <c r="D4599" t="str">
        <f>"リクルートホールディングス"</f>
        <v>リクルートホールディングス</v>
      </c>
      <c r="E4599" t="str">
        <f>"リクルート ホールディングス"</f>
        <v>リクルート ホールディングス</v>
      </c>
      <c r="F4599" t="str">
        <f>"岡山"</f>
        <v>岡山</v>
      </c>
      <c r="G4599" t="str">
        <f>"月刊"</f>
        <v>月刊</v>
      </c>
      <c r="H4599" t="str">
        <f>"2002222289853"</f>
        <v>2002222289853</v>
      </c>
      <c r="I4599" t="str">
        <f>HYPERLINK("#", "https://opac.libnet.pref.okayama.jp/licsxp-opac/WOpacMsgNewListToTifTilDetailAction.do?tilcod=2002222289853")</f>
        <v>https://opac.libnet.pref.okayama.jp/licsxp-opac/WOpacMsgNewListToTifTilDetailAction.do?tilcod=2002222289853</v>
      </c>
    </row>
    <row r="4600" spans="1:9" x14ac:dyDescent="0.4">
      <c r="A4600" t="str">
        <f>"Ｈｏｔ　Ｐｅｐｐｅｒ岡山版（ホットペッパー岡山版）"</f>
        <v>Ｈｏｔ　Ｐｅｐｐｅｒ岡山版（ホットペッパー岡山版）</v>
      </c>
      <c r="B4600" s="1" t="str">
        <f t="shared" si="230"/>
        <v>Ｈｏｔ　Ｐｅｐｐｅｒ岡山版（ホットペッパー岡山版）</v>
      </c>
      <c r="C4600" t="str">
        <f>"ホット　ペッパー　オカヤマバン"</f>
        <v>ホット　ペッパー　オカヤマバン</v>
      </c>
      <c r="D4600" t="str">
        <f>"リクルートＨｏｔＰｅｐｐｅｒ岡山編集部"</f>
        <v>リクルートＨｏｔＰｅｐｐｅｒ岡山編集部</v>
      </c>
      <c r="E4600" t="str">
        <f>"リクルートホットペッパーオカヤマヘンシュウブ"</f>
        <v>リクルートホットペッパーオカヤマヘンシュウブ</v>
      </c>
      <c r="F4600" t="str">
        <f>"岡山"</f>
        <v>岡山</v>
      </c>
      <c r="G4600" t="str">
        <f>"月刊"</f>
        <v>月刊</v>
      </c>
      <c r="H4600" t="str">
        <f>"2002222285671"</f>
        <v>2002222285671</v>
      </c>
      <c r="I4600" t="str">
        <f>HYPERLINK("#", "https://opac.libnet.pref.okayama.jp/licsxp-opac/WOpacMsgNewListToTifTilDetailAction.do?tilcod=2002222285671")</f>
        <v>https://opac.libnet.pref.okayama.jp/licsxp-opac/WOpacMsgNewListToTifTilDetailAction.do?tilcod=2002222285671</v>
      </c>
    </row>
    <row r="4601" spans="1:9" x14ac:dyDescent="0.4">
      <c r="A4601" t="str">
        <f>"ほつま"</f>
        <v>ほつま</v>
      </c>
      <c r="B4601" s="1" t="str">
        <f t="shared" si="230"/>
        <v>ほつま</v>
      </c>
      <c r="C4601" t="str">
        <f>"ホツマ"</f>
        <v>ホツマ</v>
      </c>
      <c r="D4601" t="str">
        <f>"金光中学校秀真報国団"</f>
        <v>金光中学校秀真報国団</v>
      </c>
      <c r="E4601" t="str">
        <f>"コンコウチュウガッコウホツマホウコクダン"</f>
        <v>コンコウチュウガッコウホツマホウコクダン</v>
      </c>
      <c r="F4601" t="str">
        <f>"岡山"</f>
        <v>岡山</v>
      </c>
      <c r="G4601" t="str">
        <f>"頻度不明"</f>
        <v>頻度不明</v>
      </c>
      <c r="H4601" t="str">
        <f>"2002222281084"</f>
        <v>2002222281084</v>
      </c>
      <c r="I4601" t="str">
        <f>HYPERLINK("#", "https://opac.libnet.pref.okayama.jp/licsxp-opac/WOpacMsgNewListToTifTilDetailAction.do?tilcod=2002222281084")</f>
        <v>https://opac.libnet.pref.okayama.jp/licsxp-opac/WOpacMsgNewListToTifTilDetailAction.do?tilcod=2002222281084</v>
      </c>
    </row>
    <row r="4602" spans="1:9" x14ac:dyDescent="0.4">
      <c r="A4602" t="str">
        <f>"ほつま新聞"</f>
        <v>ほつま新聞</v>
      </c>
      <c r="B4602" s="1" t="str">
        <f t="shared" si="230"/>
        <v>ほつま新聞</v>
      </c>
      <c r="C4602" t="str">
        <f>"ホツマ　シンブン"</f>
        <v>ホツマ　シンブン</v>
      </c>
      <c r="D4602" t="str">
        <f>"金光学園高等学校中学校ほつま新聞部"</f>
        <v>金光学園高等学校中学校ほつま新聞部</v>
      </c>
      <c r="E4602" t="str">
        <f>"コンコウ　ガクエン　コウトウ　ガッコウ　チュウ　ガッコウ　ホツマ　シンブン"</f>
        <v>コンコウ　ガクエン　コウトウ　ガッコウ　チュウ　ガッコウ　ホツマ　シンブン</v>
      </c>
      <c r="F4602" t="str">
        <f>"浅口"</f>
        <v>浅口</v>
      </c>
      <c r="G4602" t="str">
        <f>"年２回刊"</f>
        <v>年２回刊</v>
      </c>
      <c r="H4602" t="str">
        <f>"2002222301839"</f>
        <v>2002222301839</v>
      </c>
      <c r="I4602" t="str">
        <f>HYPERLINK("#", "https://opac.libnet.pref.okayama.jp/licsxp-opac/WOpacMsgNewListToTifTilDetailAction.do?tilcod=2002222301839")</f>
        <v>https://opac.libnet.pref.okayama.jp/licsxp-opac/WOpacMsgNewListToTifTilDetailAction.do?tilcod=2002222301839</v>
      </c>
    </row>
    <row r="4603" spans="1:9" x14ac:dyDescent="0.4">
      <c r="A4603" t="str">
        <f>"秀真文集"</f>
        <v>秀真文集</v>
      </c>
      <c r="B4603" s="1" t="str">
        <f t="shared" si="230"/>
        <v>秀真文集</v>
      </c>
      <c r="C4603" t="str">
        <f>"ホツマ ブンシュウ"</f>
        <v>ホツマ ブンシュウ</v>
      </c>
      <c r="D4603" t="str">
        <f>"金光学園中学・高等学校"</f>
        <v>金光学園中学・高等学校</v>
      </c>
      <c r="E4603" t="str">
        <f>"コンコウ ガクエン チュウガク コウトウ ガッコウ"</f>
        <v>コンコウ ガクエン チュウガク コウトウ ガッコウ</v>
      </c>
      <c r="F4603" t="str">
        <f>""</f>
        <v/>
      </c>
      <c r="G4603" t="str">
        <f>"年刊"</f>
        <v>年刊</v>
      </c>
      <c r="H4603" t="str">
        <f>"2002222319736"</f>
        <v>2002222319736</v>
      </c>
      <c r="I4603" t="str">
        <f>HYPERLINK("#", "https://opac.libnet.pref.okayama.jp/licsxp-opac/WOpacMsgNewListToTifTilDetailAction.do?tilcod=2002222319736")</f>
        <v>https://opac.libnet.pref.okayama.jp/licsxp-opac/WOpacMsgNewListToTifTilDetailAction.do?tilcod=2002222319736</v>
      </c>
    </row>
    <row r="4604" spans="1:9" x14ac:dyDescent="0.4">
      <c r="A4604" t="str">
        <f>"補導"</f>
        <v>補導</v>
      </c>
      <c r="B4604" s="1" t="str">
        <f t="shared" si="230"/>
        <v>補導</v>
      </c>
      <c r="C4604" t="str">
        <f>"ホドウ"</f>
        <v>ホドウ</v>
      </c>
      <c r="D4604" t="str">
        <f>"岡山青少年補導センター"</f>
        <v>岡山青少年補導センター</v>
      </c>
      <c r="E4604" t="str">
        <f>"オカヤマ セイショウネン ホドウ センター"</f>
        <v>オカヤマ セイショウネン ホドウ センター</v>
      </c>
      <c r="F4604" t="str">
        <f>"岡山"</f>
        <v>岡山</v>
      </c>
      <c r="G4604" t="str">
        <f>"年刊"</f>
        <v>年刊</v>
      </c>
      <c r="H4604" t="str">
        <f>"2002222280701"</f>
        <v>2002222280701</v>
      </c>
      <c r="I4604" t="str">
        <f>HYPERLINK("#", "https://opac.libnet.pref.okayama.jp/licsxp-opac/WOpacMsgNewListToTifTilDetailAction.do?tilcod=2002222280701")</f>
        <v>https://opac.libnet.pref.okayama.jp/licsxp-opac/WOpacMsgNewListToTifTilDetailAction.do?tilcod=2002222280701</v>
      </c>
    </row>
    <row r="4605" spans="1:9" x14ac:dyDescent="0.4">
      <c r="A4605" t="str">
        <f>"補導"</f>
        <v>補導</v>
      </c>
      <c r="B4605" s="1" t="str">
        <f t="shared" si="230"/>
        <v>補導</v>
      </c>
      <c r="C4605" t="str">
        <f>"ホドウ"</f>
        <v>ホドウ</v>
      </c>
      <c r="D4605" t="str">
        <f>"倉敷市青少年育成センター"</f>
        <v>倉敷市青少年育成センター</v>
      </c>
      <c r="E4605" t="str">
        <f>"クラシキシセイショウネンイクセイセンター"</f>
        <v>クラシキシセイショウネンイクセイセンター</v>
      </c>
      <c r="F4605" t="str">
        <f>"倉敷"</f>
        <v>倉敷</v>
      </c>
      <c r="G4605" t="str">
        <f>"頻度不明"</f>
        <v>頻度不明</v>
      </c>
      <c r="H4605" t="str">
        <f>"2002222286013"</f>
        <v>2002222286013</v>
      </c>
      <c r="I4605" t="str">
        <f>HYPERLINK("#", "https://opac.libnet.pref.okayama.jp/licsxp-opac/WOpacMsgNewListToTifTilDetailAction.do?tilcod=2002222286013")</f>
        <v>https://opac.libnet.pref.okayama.jp/licsxp-opac/WOpacMsgNewListToTifTilDetailAction.do?tilcod=2002222286013</v>
      </c>
    </row>
    <row r="4606" spans="1:9" x14ac:dyDescent="0.4">
      <c r="A4606" t="str">
        <f>"補導センター活動のあらまし"</f>
        <v>補導センター活動のあらまし</v>
      </c>
      <c r="B4606" s="1" t="str">
        <f t="shared" si="230"/>
        <v>補導センター活動のあらまし</v>
      </c>
      <c r="C4606" t="str">
        <f>"ホドウ　センター　カツドウ　ノ　アラマシ"</f>
        <v>ホドウ　センター　カツドウ　ノ　アラマシ</v>
      </c>
      <c r="D4606" t="str">
        <f>"岡山青少年補導センター"</f>
        <v>岡山青少年補導センター</v>
      </c>
      <c r="E4606" t="str">
        <f>"オカヤマ セイショウネン ホドウ センター"</f>
        <v>オカヤマ セイショウネン ホドウ センター</v>
      </c>
      <c r="F4606" t="str">
        <f>""</f>
        <v/>
      </c>
      <c r="G4606" t="str">
        <f>"頻度不明"</f>
        <v>頻度不明</v>
      </c>
      <c r="H4606" t="str">
        <f>"2002222286023"</f>
        <v>2002222286023</v>
      </c>
      <c r="I4606" t="str">
        <f>HYPERLINK("#", "https://opac.libnet.pref.okayama.jp/licsxp-opac/WOpacMsgNewListToTifTilDetailAction.do?tilcod=2002222286023")</f>
        <v>https://opac.libnet.pref.okayama.jp/licsxp-opac/WOpacMsgNewListToTifTilDetailAction.do?tilcod=2002222286023</v>
      </c>
    </row>
    <row r="4607" spans="1:9" x14ac:dyDescent="0.4">
      <c r="A4607" t="str">
        <f>"補導センターの活動状況"</f>
        <v>補導センターの活動状況</v>
      </c>
      <c r="B4607" s="1" t="str">
        <f t="shared" si="230"/>
        <v>補導センターの活動状況</v>
      </c>
      <c r="C4607" t="str">
        <f>"ホドウ　センター　ノ　カツドウ　ジョウキョウ"</f>
        <v>ホドウ　センター　ノ　カツドウ　ジョウキョウ</v>
      </c>
      <c r="D4607" t="str">
        <f>"岡山青少年補導センター"</f>
        <v>岡山青少年補導センター</v>
      </c>
      <c r="E4607" t="str">
        <f>"オカヤマ セイショウネン ホドウ センター"</f>
        <v>オカヤマ セイショウネン ホドウ センター</v>
      </c>
      <c r="F4607" t="str">
        <f>""</f>
        <v/>
      </c>
      <c r="G4607" t="str">
        <f>"頻度不明"</f>
        <v>頻度不明</v>
      </c>
      <c r="H4607" t="str">
        <f>"2002222280834"</f>
        <v>2002222280834</v>
      </c>
      <c r="I4607" t="str">
        <f>HYPERLINK("#", "https://opac.libnet.pref.okayama.jp/licsxp-opac/WOpacMsgNewListToTifTilDetailAction.do?tilcod=2002222280834")</f>
        <v>https://opac.libnet.pref.okayama.jp/licsxp-opac/WOpacMsgNewListToTifTilDetailAction.do?tilcod=2002222280834</v>
      </c>
    </row>
    <row r="4608" spans="1:9" x14ac:dyDescent="0.4">
      <c r="A4608" t="str">
        <f>"Ｂｏｎｉｆｉｃａ（ボニフィカ）"</f>
        <v>Ｂｏｎｉｆｉｃａ（ボニフィカ）</v>
      </c>
      <c r="B4608" s="1" t="str">
        <f t="shared" si="230"/>
        <v>Ｂｏｎｉｆｉｃａ（ボニフィカ）</v>
      </c>
      <c r="C4608" t="str">
        <f>"ボニフィカ"</f>
        <v>ボニフィカ</v>
      </c>
      <c r="D4608" t="str">
        <f>"岡山南商工会"</f>
        <v>岡山南商工会</v>
      </c>
      <c r="E4608" t="str">
        <f>"オカヤマ ミナミ ショウコウカイ"</f>
        <v>オカヤマ ミナミ ショウコウカイ</v>
      </c>
      <c r="F4608" t="str">
        <f>"岡山"</f>
        <v>岡山</v>
      </c>
      <c r="G4608" t="str">
        <f>"季刊"</f>
        <v>季刊</v>
      </c>
      <c r="H4608" t="str">
        <f>"2002222302343"</f>
        <v>2002222302343</v>
      </c>
      <c r="I4608" t="str">
        <f>HYPERLINK("#", "https://opac.libnet.pref.okayama.jp/licsxp-opac/WOpacMsgNewListToTifTilDetailAction.do?tilcod=2002222302343")</f>
        <v>https://opac.libnet.pref.okayama.jp/licsxp-opac/WOpacMsgNewListToTifTilDetailAction.do?tilcod=2002222302343</v>
      </c>
    </row>
    <row r="4609" spans="1:9" x14ac:dyDescent="0.4">
      <c r="A4609" t="str">
        <f>"Ｂｏｂ＆Ａｎｇｉｅ；ボブとアンジー"</f>
        <v>Ｂｏｂ＆Ａｎｇｉｅ；ボブとアンジー</v>
      </c>
      <c r="B4609" s="1" t="str">
        <f t="shared" si="230"/>
        <v>Ｂｏｂ＆Ａｎｇｉｅ；ボブとアンジー</v>
      </c>
      <c r="C4609" t="str">
        <f>"ボブ　アンド　アンジー＊ボブ　ト　アンジー"</f>
        <v>ボブ　アンド　アンジー＊ボブ　ト　アンジー</v>
      </c>
      <c r="D4609" t="str">
        <f>"阪神ぱど岡山営業部"</f>
        <v>阪神ぱど岡山営業部</v>
      </c>
      <c r="E4609" t="str">
        <f>"ハンシンパドオカヤマエイギョウブ"</f>
        <v>ハンシンパドオカヤマエイギョウブ</v>
      </c>
      <c r="F4609" t="str">
        <f>"岡山"</f>
        <v>岡山</v>
      </c>
      <c r="G4609" t="str">
        <f>"月刊"</f>
        <v>月刊</v>
      </c>
      <c r="H4609" t="str">
        <f>"2002222301776"</f>
        <v>2002222301776</v>
      </c>
      <c r="I4609" t="str">
        <f>HYPERLINK("#", "https://opac.libnet.pref.okayama.jp/licsxp-opac/WOpacMsgNewListToTifTilDetailAction.do?tilcod=2002222301776")</f>
        <v>https://opac.libnet.pref.okayama.jp/licsxp-opac/WOpacMsgNewListToTifTilDetailAction.do?tilcod=2002222301776</v>
      </c>
    </row>
    <row r="4610" spans="1:9" x14ac:dyDescent="0.4">
      <c r="A4610" t="str">
        <f>"ほゝえみ"</f>
        <v>ほゝえみ</v>
      </c>
      <c r="B4610" s="1" t="str">
        <f t="shared" si="230"/>
        <v>ほゝえみ</v>
      </c>
      <c r="C4610" t="str">
        <f>"ホホエミ"</f>
        <v>ホホエミ</v>
      </c>
      <c r="D4610" t="str">
        <f>"ほゝえみの会"</f>
        <v>ほゝえみの会</v>
      </c>
      <c r="E4610" t="str">
        <f>"ホホエミノカイ"</f>
        <v>ホホエミノカイ</v>
      </c>
      <c r="F4610" t="str">
        <f>""</f>
        <v/>
      </c>
      <c r="G4610" t="str">
        <f>"頻度不明"</f>
        <v>頻度不明</v>
      </c>
      <c r="H4610" t="str">
        <f>"2002222286033"</f>
        <v>2002222286033</v>
      </c>
      <c r="I4610" t="str">
        <f>HYPERLINK("#", "https://opac.libnet.pref.okayama.jp/licsxp-opac/WOpacMsgNewListToTifTilDetailAction.do?tilcod=2002222286033")</f>
        <v>https://opac.libnet.pref.okayama.jp/licsxp-opac/WOpacMsgNewListToTifTilDetailAction.do?tilcod=2002222286033</v>
      </c>
    </row>
    <row r="4611" spans="1:9" x14ac:dyDescent="0.4">
      <c r="A4611" t="str">
        <f>"ボランティア新聞"</f>
        <v>ボランティア新聞</v>
      </c>
      <c r="B4611" s="1" t="str">
        <f t="shared" si="230"/>
        <v>ボランティア新聞</v>
      </c>
      <c r="C4611" t="str">
        <f>"ボランティア　シンブン"</f>
        <v>ボランティア　シンブン</v>
      </c>
      <c r="D4611" t="str">
        <f>"早島町ボランティアセンター"</f>
        <v>早島町ボランティアセンター</v>
      </c>
      <c r="E4611" t="str">
        <f>"ハヤシマチョウボランティアセンター"</f>
        <v>ハヤシマチョウボランティアセンター</v>
      </c>
      <c r="F4611" t="str">
        <f>"〔早島町〕"</f>
        <v>〔早島町〕</v>
      </c>
      <c r="G4611" t="str">
        <f>"頻度不明"</f>
        <v>頻度不明</v>
      </c>
      <c r="H4611" t="str">
        <f>"2002222282024"</f>
        <v>2002222282024</v>
      </c>
      <c r="I4611" t="str">
        <f>HYPERLINK("#", "https://opac.libnet.pref.okayama.jp/licsxp-opac/WOpacMsgNewListToTifTilDetailAction.do?tilcod=2002222282024")</f>
        <v>https://opac.libnet.pref.okayama.jp/licsxp-opac/WOpacMsgNewListToTifTilDetailAction.do?tilcod=2002222282024</v>
      </c>
    </row>
    <row r="4612" spans="1:9" x14ac:dyDescent="0.4">
      <c r="A4612" t="str">
        <f>"ＶＯＬＵＮＴＥＥＲ　ＳＰＩＲＩＴ（ボランティア　スピリット）；林野高等学校ボランティア活動資料"</f>
        <v>ＶＯＬＵＮＴＥＥＲ　ＳＰＩＲＩＴ（ボランティア　スピリット）；林野高等学校ボランティア活動資料</v>
      </c>
      <c r="B4612" s="1" t="str">
        <f t="shared" ref="B4612:B4675" si="232">HYPERLINK("#", A4612)</f>
        <v>ＶＯＬＵＮＴＥＥＲ　ＳＰＩＲＩＴ（ボランティア　スピリット）；林野高等学校ボランティア活動資料</v>
      </c>
      <c r="C4612" t="str">
        <f>"ボランティア　スピリット＊ハヤシノ　コウトウ　ガッコウ　ボランティア　カツドウ　シリョウ"</f>
        <v>ボランティア　スピリット＊ハヤシノ　コウトウ　ガッコウ　ボランティア　カツドウ　シリョウ</v>
      </c>
      <c r="D4612" t="str">
        <f>"林野高等学校"</f>
        <v>林野高等学校</v>
      </c>
      <c r="E4612" t="str">
        <f>"ハヤシノ コウトウ ガッコウ"</f>
        <v>ハヤシノ コウトウ ガッコウ</v>
      </c>
      <c r="F4612" t="str">
        <f>"美作"</f>
        <v>美作</v>
      </c>
      <c r="G4612" t="str">
        <f>"年刊"</f>
        <v>年刊</v>
      </c>
      <c r="H4612" t="str">
        <f>"2002222301480"</f>
        <v>2002222301480</v>
      </c>
      <c r="I4612" t="str">
        <f>HYPERLINK("#", "https://opac.libnet.pref.okayama.jp/licsxp-opac/WOpacMsgNewListToTifTilDetailAction.do?tilcod=2002222301480")</f>
        <v>https://opac.libnet.pref.okayama.jp/licsxp-opac/WOpacMsgNewListToTifTilDetailAction.do?tilcod=2002222301480</v>
      </c>
    </row>
    <row r="4613" spans="1:9" x14ac:dyDescent="0.4">
      <c r="A4613" t="str">
        <f>"ボランティアバンザイ"</f>
        <v>ボランティアバンザイ</v>
      </c>
      <c r="B4613" s="1" t="str">
        <f t="shared" si="232"/>
        <v>ボランティアバンザイ</v>
      </c>
      <c r="C4613" t="str">
        <f>"ボランティア　バンザイ"</f>
        <v>ボランティア　バンザイ</v>
      </c>
      <c r="D4613" t="str">
        <f>"鏡野町社会福祉協議会"</f>
        <v>鏡野町社会福祉協議会</v>
      </c>
      <c r="E4613" t="str">
        <f>"カガミノチョウ シャカイ フクシ キョウギカイ"</f>
        <v>カガミノチョウ シャカイ フクシ キョウギカイ</v>
      </c>
      <c r="F4613" t="str">
        <f>"鏡野町（苫田郡）"</f>
        <v>鏡野町（苫田郡）</v>
      </c>
      <c r="G4613" t="str">
        <f>"年刊"</f>
        <v>年刊</v>
      </c>
      <c r="H4613" t="str">
        <f>"2002222281231"</f>
        <v>2002222281231</v>
      </c>
      <c r="I4613" t="str">
        <f>HYPERLINK("#", "https://opac.libnet.pref.okayama.jp/licsxp-opac/WOpacMsgNewListToTifTilDetailAction.do?tilcod=2002222281231")</f>
        <v>https://opac.libnet.pref.okayama.jp/licsxp-opac/WOpacMsgNewListToTifTilDetailAction.do?tilcod=2002222281231</v>
      </c>
    </row>
    <row r="4614" spans="1:9" x14ac:dyDescent="0.4">
      <c r="A4614" t="str">
        <f>"ボランパレット；ぼらんてぃあ・ＮＰＯ情報誌"</f>
        <v>ボランパレット；ぼらんてぃあ・ＮＰＯ情報誌</v>
      </c>
      <c r="B4614" s="1" t="str">
        <f t="shared" si="232"/>
        <v>ボランパレット；ぼらんてぃあ・ＮＰＯ情報誌</v>
      </c>
      <c r="C4614" t="str">
        <f>"ボランパレット；ボランティア　エヌピーオー　ジョウホウシ"</f>
        <v>ボランパレット；ボランティア　エヌピーオー　ジョウホウシ</v>
      </c>
      <c r="D4614" t="str">
        <f>"岡山県社会福祉協議会ボランティア・ＮＰＯ活動支援センター"</f>
        <v>岡山県社会福祉協議会ボランティア・ＮＰＯ活動支援センター</v>
      </c>
      <c r="E4614" t="str">
        <f>"オカヤマケンシャカイフクシキョウギカイボランティアエヌピーオーカツドウシエンセンター"</f>
        <v>オカヤマケンシャカイフクシキョウギカイボランティアエヌピーオーカツドウシエンセンター</v>
      </c>
      <c r="F4614" t="str">
        <f>"岡山"</f>
        <v>岡山</v>
      </c>
      <c r="G4614" t="str">
        <f>"月刊"</f>
        <v>月刊</v>
      </c>
      <c r="H4614" t="str">
        <f>"2002222300347"</f>
        <v>2002222300347</v>
      </c>
      <c r="I4614" t="str">
        <f>HYPERLINK("#", "https://opac.libnet.pref.okayama.jp/licsxp-opac/WOpacMsgNewListToTifTilDetailAction.do?tilcod=2002222300347")</f>
        <v>https://opac.libnet.pref.okayama.jp/licsxp-opac/WOpacMsgNewListToTifTilDetailAction.do?tilcod=2002222300347</v>
      </c>
    </row>
    <row r="4615" spans="1:9" x14ac:dyDescent="0.4">
      <c r="A4615" t="str">
        <f>"ボランピオ"</f>
        <v>ボランピオ</v>
      </c>
      <c r="B4615" s="1" t="str">
        <f t="shared" si="232"/>
        <v>ボランピオ</v>
      </c>
      <c r="C4615" t="str">
        <f>"ボランピオ"</f>
        <v>ボランピオ</v>
      </c>
      <c r="D4615" t="str">
        <f>"ゆうあいセンター"</f>
        <v>ゆうあいセンター</v>
      </c>
      <c r="E4615" t="str">
        <f>"ユウアイセンター"</f>
        <v>ユウアイセンター</v>
      </c>
      <c r="F4615" t="str">
        <f>"岡山"</f>
        <v>岡山</v>
      </c>
      <c r="G4615" t="str">
        <f>"季刊"</f>
        <v>季刊</v>
      </c>
      <c r="H4615" t="str">
        <f>"2002222281314"</f>
        <v>2002222281314</v>
      </c>
      <c r="I4615" t="str">
        <f>HYPERLINK("#", "https://opac.libnet.pref.okayama.jp/licsxp-opac/WOpacMsgNewListToTifTilDetailAction.do?tilcod=2002222281314")</f>
        <v>https://opac.libnet.pref.okayama.jp/licsxp-opac/WOpacMsgNewListToTifTilDetailAction.do?tilcod=2002222281314</v>
      </c>
    </row>
    <row r="4616" spans="1:9" x14ac:dyDescent="0.4">
      <c r="A4616" t="str">
        <f>"ホワイエ；倉敷市立美術館ニュース"</f>
        <v>ホワイエ；倉敷市立美術館ニュース</v>
      </c>
      <c r="B4616" s="1" t="str">
        <f t="shared" si="232"/>
        <v>ホワイエ；倉敷市立美術館ニュース</v>
      </c>
      <c r="C4616" t="str">
        <f>"ホワイエ＊クラシキシリツ　ビジュツカン　ニュース"</f>
        <v>ホワイエ＊クラシキシリツ　ビジュツカン　ニュース</v>
      </c>
      <c r="D4616" t="str">
        <f>"倉敷市立美術館"</f>
        <v>倉敷市立美術館</v>
      </c>
      <c r="E4616" t="str">
        <f>"クラシキシリツ ビジュツカン"</f>
        <v>クラシキシリツ ビジュツカン</v>
      </c>
      <c r="F4616" t="str">
        <f>""</f>
        <v/>
      </c>
      <c r="G4616" t="str">
        <f>"頻度不明"</f>
        <v>頻度不明</v>
      </c>
      <c r="H4616" t="str">
        <f>"2002222287693"</f>
        <v>2002222287693</v>
      </c>
      <c r="I4616" t="str">
        <f>HYPERLINK("#", "https://opac.libnet.pref.okayama.jp/licsxp-opac/WOpacMsgNewListToTifTilDetailAction.do?tilcod=2002222287693")</f>
        <v>https://opac.libnet.pref.okayama.jp/licsxp-opac/WOpacMsgNewListToTifTilDetailAction.do?tilcod=2002222287693</v>
      </c>
    </row>
    <row r="4617" spans="1:9" x14ac:dyDescent="0.4">
      <c r="A4617" t="str">
        <f>"ほんのお通し"</f>
        <v>ほんのお通し</v>
      </c>
      <c r="B4617" s="1" t="str">
        <f t="shared" si="232"/>
        <v>ほんのお通し</v>
      </c>
      <c r="C4617" t="str">
        <f>"ホン ノ オトオシ"</f>
        <v>ホン ノ オトオシ</v>
      </c>
      <c r="D4617" t="str">
        <f>"古書五車堂"</f>
        <v>古書五車堂</v>
      </c>
      <c r="E4617" t="str">
        <f>"コショ ゴシャドウ"</f>
        <v>コショ ゴシャドウ</v>
      </c>
      <c r="F4617" t="str">
        <f>"岡山"</f>
        <v>岡山</v>
      </c>
      <c r="G4617" t="str">
        <f>"月刊"</f>
        <v>月刊</v>
      </c>
      <c r="H4617" t="str">
        <f>"2002222317986"</f>
        <v>2002222317986</v>
      </c>
      <c r="I4617" t="str">
        <f>HYPERLINK("#", "https://opac.libnet.pref.okayama.jp/licsxp-opac/WOpacMsgNewListToTifTilDetailAction.do?tilcod=2002222317986")</f>
        <v>https://opac.libnet.pref.okayama.jp/licsxp-opac/WOpacMsgNewListToTifTilDetailAction.do?tilcod=2002222317986</v>
      </c>
    </row>
    <row r="4618" spans="1:9" x14ac:dyDescent="0.4">
      <c r="A4618" t="str">
        <f>"本下大サーカス"</f>
        <v>本下大サーカス</v>
      </c>
      <c r="B4618" s="1" t="str">
        <f t="shared" si="232"/>
        <v>本下大サーカス</v>
      </c>
      <c r="C4618" t="str">
        <f>"ホン ノ シタ ダイ サーカス"</f>
        <v>ホン ノ シタ ダイ サーカス</v>
      </c>
      <c r="D4618" t="str">
        <f>"山陽女子中学校・高等学校図書委員会"</f>
        <v>山陽女子中学校・高等学校図書委員会</v>
      </c>
      <c r="E4618" t="str">
        <f>"サンヨウ ジョシ チュウガッコウ コウトウ ガッコウ トショ イインカイ"</f>
        <v>サンヨウ ジョシ チュウガッコウ コウトウ ガッコウ トショ イインカイ</v>
      </c>
      <c r="F4618" t="str">
        <f>"岡山"</f>
        <v>岡山</v>
      </c>
      <c r="G4618" t="str">
        <f>"不定期刊"</f>
        <v>不定期刊</v>
      </c>
      <c r="H4618" t="str">
        <f>"2002222322826"</f>
        <v>2002222322826</v>
      </c>
      <c r="I4618" t="str">
        <f>HYPERLINK("#", "https://opac.libnet.pref.okayama.jp/licsxp-opac/WOpacMsgNewListToTifTilDetailAction.do?tilcod=2002222322826")</f>
        <v>https://opac.libnet.pref.okayama.jp/licsxp-opac/WOpacMsgNewListToTifTilDetailAction.do?tilcod=2002222322826</v>
      </c>
    </row>
    <row r="4619" spans="1:9" x14ac:dyDescent="0.4">
      <c r="A4619" t="str">
        <f>"ほんの趣味"</f>
        <v>ほんの趣味</v>
      </c>
      <c r="B4619" s="1" t="str">
        <f t="shared" si="232"/>
        <v>ほんの趣味</v>
      </c>
      <c r="C4619" t="str">
        <f>"ホン ノ シュミ"</f>
        <v>ホン ノ シュミ</v>
      </c>
      <c r="D4619" t="str">
        <f>"しげを書店"</f>
        <v>しげを書店</v>
      </c>
      <c r="E4619" t="str">
        <f>"シゲオ ショテン"</f>
        <v>シゲオ ショテン</v>
      </c>
      <c r="F4619" t="str">
        <f>"岡山"</f>
        <v>岡山</v>
      </c>
      <c r="G4619" t="str">
        <f>"頻度不明"</f>
        <v>頻度不明</v>
      </c>
      <c r="H4619" t="str">
        <f>"2002222333149"</f>
        <v>2002222333149</v>
      </c>
      <c r="I4619" t="str">
        <f>HYPERLINK("#", "https://opac.libnet.pref.okayama.jp/licsxp-opac/WOpacMsgNewListToTifTilDetailAction.do?tilcod=2002222333149")</f>
        <v>https://opac.libnet.pref.okayama.jp/licsxp-opac/WOpacMsgNewListToTifTilDetailAction.do?tilcod=2002222333149</v>
      </c>
    </row>
    <row r="4620" spans="1:9" x14ac:dyDescent="0.4">
      <c r="A4620" t="str">
        <f>"ほんの愉しみ"</f>
        <v>ほんの愉しみ</v>
      </c>
      <c r="B4620" s="1" t="str">
        <f t="shared" si="232"/>
        <v>ほんの愉しみ</v>
      </c>
      <c r="C4620" t="str">
        <f>"ホン ノ タノシミ"</f>
        <v>ホン ノ タノシミ</v>
      </c>
      <c r="D4620" t="str">
        <f>"本の会"</f>
        <v>本の会</v>
      </c>
      <c r="E4620" t="str">
        <f>"ホン ノ カイ"</f>
        <v>ホン ノ カイ</v>
      </c>
      <c r="F4620" t="str">
        <f>"倉敷"</f>
        <v>倉敷</v>
      </c>
      <c r="G4620" t="str">
        <f>"年刊"</f>
        <v>年刊</v>
      </c>
      <c r="H4620" t="str">
        <f>"2002222319612"</f>
        <v>2002222319612</v>
      </c>
      <c r="I4620" t="str">
        <f>HYPERLINK("#", "https://opac.libnet.pref.okayama.jp/licsxp-opac/WOpacMsgNewListToTifTilDetailAction.do?tilcod=2002222319612")</f>
        <v>https://opac.libnet.pref.okayama.jp/licsxp-opac/WOpacMsgNewListToTifTilDetailAction.do?tilcod=2002222319612</v>
      </c>
    </row>
    <row r="4621" spans="1:9" x14ac:dyDescent="0.4">
      <c r="A4621" t="str">
        <f>"[本庄村青年会]会誌 "</f>
        <v xml:space="preserve">[本庄村青年会]会誌 </v>
      </c>
      <c r="B4621" s="1" t="str">
        <f t="shared" si="232"/>
        <v xml:space="preserve">[本庄村青年会]会誌 </v>
      </c>
      <c r="C4621" t="str">
        <f>"ホンジョウソン セイネンカイ カイシ"</f>
        <v>ホンジョウソン セイネンカイ カイシ</v>
      </c>
      <c r="D4621" t="str">
        <f>"本庄村青年会"</f>
        <v>本庄村青年会</v>
      </c>
      <c r="E4621" t="str">
        <f>"ホンジョウソン セイネンカイ"</f>
        <v>ホンジョウソン セイネンカイ</v>
      </c>
      <c r="F4621" t="str">
        <f>"本庄村(邑久郡)"</f>
        <v>本庄村(邑久郡)</v>
      </c>
      <c r="G4621" t="str">
        <f>"頻度不明"</f>
        <v>頻度不明</v>
      </c>
      <c r="H4621" t="str">
        <f>"2002222336808"</f>
        <v>2002222336808</v>
      </c>
      <c r="I4621" t="str">
        <f>HYPERLINK("#", "https://opac.libnet.pref.okayama.jp/licsxp-opac/WOpacMsgNewListToTifTilDetailAction.do?tilcod=2002222336808")</f>
        <v>https://opac.libnet.pref.okayama.jp/licsxp-opac/WOpacMsgNewListToTifTilDetailAction.do?tilcod=2002222336808</v>
      </c>
    </row>
    <row r="4622" spans="1:9" x14ac:dyDescent="0.4">
      <c r="A4622" t="str">
        <f>"凡人"</f>
        <v>凡人</v>
      </c>
      <c r="B4622" s="1" t="str">
        <f t="shared" si="232"/>
        <v>凡人</v>
      </c>
      <c r="C4622" t="str">
        <f>"ボンジン"</f>
        <v>ボンジン</v>
      </c>
      <c r="D4622" t="str">
        <f>"岡山大学凡人会"</f>
        <v>岡山大学凡人会</v>
      </c>
      <c r="E4622" t="str">
        <f>"オカヤマ ダイガク ボンジンカイ"</f>
        <v>オカヤマ ダイガク ボンジンカイ</v>
      </c>
      <c r="F4622" t="str">
        <f>"岡山"</f>
        <v>岡山</v>
      </c>
      <c r="G4622" t="str">
        <f>"頻度不明"</f>
        <v>頻度不明</v>
      </c>
      <c r="H4622" t="str">
        <f>"2002222344011"</f>
        <v>2002222344011</v>
      </c>
      <c r="I4622" t="str">
        <f>HYPERLINK("#", "https://opac.libnet.pref.okayama.jp/licsxp-opac/WOpacMsgNewListToTifTilDetailAction.do?tilcod=2002222344011")</f>
        <v>https://opac.libnet.pref.okayama.jp/licsxp-opac/WOpacMsgNewListToTifTilDetailAction.do?tilcod=2002222344011</v>
      </c>
    </row>
    <row r="4623" spans="1:9" x14ac:dyDescent="0.4">
      <c r="A4623" t="str">
        <f>"本楽；本屋に行くと、楽しいことがある。"</f>
        <v>本楽；本屋に行くと、楽しいことがある。</v>
      </c>
      <c r="B4623" s="1" t="str">
        <f t="shared" si="232"/>
        <v>本楽；本屋に行くと、楽しいことがある。</v>
      </c>
      <c r="C4623" t="str">
        <f>"ホンラク＊ホンヤニ イクト タノシイ コトガ アル"</f>
        <v>ホンラク＊ホンヤニ イクト タノシイ コトガ アル</v>
      </c>
      <c r="D4623" t="str">
        <f>"瀬戸内ブッククルーズ実行委員会"</f>
        <v>瀬戸内ブッククルーズ実行委員会</v>
      </c>
      <c r="E4623" t="str">
        <f>"セトウチ ブック クルーズ ジッコウ イインカイ"</f>
        <v>セトウチ ブック クルーズ ジッコウ イインカイ</v>
      </c>
      <c r="F4623" t="str">
        <f>"岡山"</f>
        <v>岡山</v>
      </c>
      <c r="G4623" t="str">
        <f>"年刊"</f>
        <v>年刊</v>
      </c>
      <c r="H4623" t="str">
        <f>"2002222340351"</f>
        <v>2002222340351</v>
      </c>
      <c r="I4623" t="str">
        <f>HYPERLINK("#", "https://opac.libnet.pref.okayama.jp/licsxp-opac/WOpacMsgNewListToTifTilDetailAction.do?tilcod=2002222340351")</f>
        <v>https://opac.libnet.pref.okayama.jp/licsxp-opac/WOpacMsgNewListToTifTilDetailAction.do?tilcod=2002222340351</v>
      </c>
    </row>
    <row r="4624" spans="1:9" x14ac:dyDescent="0.4">
      <c r="A4624" t="str">
        <f>"ＭＹおかやま（マイおかやま）"</f>
        <v>ＭＹおかやま（マイおかやま）</v>
      </c>
      <c r="B4624" s="1" t="str">
        <f t="shared" si="232"/>
        <v>ＭＹおかやま（マイおかやま）</v>
      </c>
      <c r="C4624" t="str">
        <f>"マイ　オカヤマ"</f>
        <v>マイ　オカヤマ</v>
      </c>
      <c r="D4624" t="str">
        <f>"山陽新聞社"</f>
        <v>山陽新聞社</v>
      </c>
      <c r="E4624" t="str">
        <f>"サンヨウシンブンシャ"</f>
        <v>サンヨウシンブンシャ</v>
      </c>
      <c r="F4624" t="str">
        <f>"岡山"</f>
        <v>岡山</v>
      </c>
      <c r="G4624" t="str">
        <f>"隔月刊"</f>
        <v>隔月刊</v>
      </c>
      <c r="H4624" t="str">
        <f>"2002222219175"</f>
        <v>2002222219175</v>
      </c>
      <c r="I4624" t="str">
        <f>HYPERLINK("#", "https://opac.libnet.pref.okayama.jp/licsxp-opac/WOpacMsgNewListToTifTilDetailAction.do?tilcod=2002222219175")</f>
        <v>https://opac.libnet.pref.okayama.jp/licsxp-opac/WOpacMsgNewListToTifTilDetailAction.do?tilcod=2002222219175</v>
      </c>
    </row>
    <row r="4625" spans="1:9" x14ac:dyDescent="0.4">
      <c r="A4625" t="str">
        <f>"My Stage ; 岡山の就活応援マガジン"</f>
        <v>My Stage ; 岡山の就活応援マガジン</v>
      </c>
      <c r="B4625" s="1" t="str">
        <f t="shared" si="232"/>
        <v>My Stage ; 岡山の就活応援マガジン</v>
      </c>
      <c r="C4625" t="str">
        <f>"マイ ステージ＊オカヤマ ノ シュウカツ オウエン マガジン"</f>
        <v>マイ ステージ＊オカヤマ ノ シュウカツ オウエン マガジン</v>
      </c>
      <c r="D4625" t="str">
        <f>"オーディーエル"</f>
        <v>オーディーエル</v>
      </c>
      <c r="E4625" t="str">
        <f>"オー ディー エル"</f>
        <v>オー ディー エル</v>
      </c>
      <c r="F4625" t="str">
        <f>"[岡山]"</f>
        <v>[岡山]</v>
      </c>
      <c r="G4625" t="str">
        <f>"年刊"</f>
        <v>年刊</v>
      </c>
      <c r="H4625" t="str">
        <f>"2002222334526"</f>
        <v>2002222334526</v>
      </c>
      <c r="I4625" t="str">
        <f>HYPERLINK("#", "https://opac.libnet.pref.okayama.jp/licsxp-opac/WOpacMsgNewListToTifTilDetailAction.do?tilcod=2002222334526")</f>
        <v>https://opac.libnet.pref.okayama.jp/licsxp-opac/WOpacMsgNewListToTifTilDetailAction.do?tilcod=2002222334526</v>
      </c>
    </row>
    <row r="4626" spans="1:9" x14ac:dyDescent="0.4">
      <c r="A4626" t="str">
        <f>"マイらいふ"</f>
        <v>マイらいふ</v>
      </c>
      <c r="B4626" s="1" t="str">
        <f t="shared" si="232"/>
        <v>マイらいふ</v>
      </c>
      <c r="C4626" t="str">
        <f>"マイ　ライフ"</f>
        <v>マイ　ライフ</v>
      </c>
      <c r="D4626" t="str">
        <f>"岡山県生活環境部県民生活課"</f>
        <v>岡山県生活環境部県民生活課</v>
      </c>
      <c r="E4626" t="str">
        <f>"オカヤマケン セイカツ カンキョウブ ケンミン セイカツカ"</f>
        <v>オカヤマケン セイカツ カンキョウブ ケンミン セイカツカ</v>
      </c>
      <c r="F4626" t="str">
        <f>"岡山"</f>
        <v>岡山</v>
      </c>
      <c r="G4626" t="str">
        <f>"隔月刊"</f>
        <v>隔月刊</v>
      </c>
      <c r="H4626" t="str">
        <f>"2002222293281"</f>
        <v>2002222293281</v>
      </c>
      <c r="I4626" t="str">
        <f>HYPERLINK("#", "https://opac.libnet.pref.okayama.jp/licsxp-opac/WOpacMsgNewListToTifTilDetailAction.do?tilcod=2002222293281")</f>
        <v>https://opac.libnet.pref.okayama.jp/licsxp-opac/WOpacMsgNewListToTifTilDetailAction.do?tilcod=2002222293281</v>
      </c>
    </row>
    <row r="4627" spans="1:9" x14ac:dyDescent="0.4">
      <c r="A4627" t="str">
        <f>"マイライフおかやま；物価情報"</f>
        <v>マイライフおかやま；物価情報</v>
      </c>
      <c r="B4627" s="1" t="str">
        <f t="shared" si="232"/>
        <v>マイライフおかやま；物価情報</v>
      </c>
      <c r="C4627" t="str">
        <f>"マイ　ライフ　オカヤマ＊ブッカ　ジョウホウ"</f>
        <v>マイ　ライフ　オカヤマ＊ブッカ　ジョウホウ</v>
      </c>
      <c r="D4627" t="str">
        <f>"岡山県地域振興部県民生活課"</f>
        <v>岡山県地域振興部県民生活課</v>
      </c>
      <c r="E4627" t="str">
        <f>"オカヤマケン チイキ シンコウブ ケンミン セイカツカ"</f>
        <v>オカヤマケン チイキ シンコウブ ケンミン セイカツカ</v>
      </c>
      <c r="F4627" t="str">
        <f>"岡山"</f>
        <v>岡山</v>
      </c>
      <c r="G4627" t="str">
        <f>"頻度不明"</f>
        <v>頻度不明</v>
      </c>
      <c r="H4627" t="str">
        <f>"2002222286073"</f>
        <v>2002222286073</v>
      </c>
      <c r="I4627" t="str">
        <f>HYPERLINK("#", "https://opac.libnet.pref.okayama.jp/licsxp-opac/WOpacMsgNewListToTifTilDetailAction.do?tilcod=2002222286073")</f>
        <v>https://opac.libnet.pref.okayama.jp/licsxp-opac/WOpacMsgNewListToTifTilDetailAction.do?tilcod=2002222286073</v>
      </c>
    </row>
    <row r="4628" spans="1:9" x14ac:dyDescent="0.4">
      <c r="A4628" t="str">
        <f>"マイクはなれて"</f>
        <v>マイクはなれて</v>
      </c>
      <c r="B4628" s="1" t="str">
        <f t="shared" si="232"/>
        <v>マイクはなれて</v>
      </c>
      <c r="C4628" t="str">
        <f>"マイク　ハナレテ"</f>
        <v>マイク　ハナレテ</v>
      </c>
      <c r="D4628" t="str">
        <f>"ＮＨＫ岡山放送局"</f>
        <v>ＮＨＫ岡山放送局</v>
      </c>
      <c r="E4628" t="str">
        <f>"エヌエイチケー オカヤマ ホウソウキョク"</f>
        <v>エヌエイチケー オカヤマ ホウソウキョク</v>
      </c>
      <c r="F4628" t="str">
        <f>""</f>
        <v/>
      </c>
      <c r="G4628" t="str">
        <f>"頻度不明"</f>
        <v>頻度不明</v>
      </c>
      <c r="H4628" t="str">
        <f>"2002222286053"</f>
        <v>2002222286053</v>
      </c>
      <c r="I4628" t="str">
        <f>HYPERLINK("#", "https://opac.libnet.pref.okayama.jp/licsxp-opac/WOpacMsgNewListToTifTilDetailAction.do?tilcod=2002222286053")</f>
        <v>https://opac.libnet.pref.okayama.jp/licsxp-opac/WOpacMsgNewListToTifTilDetailAction.do?tilcod=2002222286053</v>
      </c>
    </row>
    <row r="4629" spans="1:9" x14ac:dyDescent="0.4">
      <c r="A4629" t="str">
        <f>"毎月勤労統計調査地方調査結果速報〔岡山県〕"</f>
        <v>毎月勤労統計調査地方調査結果速報〔岡山県〕</v>
      </c>
      <c r="B4629" s="1" t="str">
        <f t="shared" si="232"/>
        <v>毎月勤労統計調査地方調査結果速報〔岡山県〕</v>
      </c>
      <c r="C4629" t="str">
        <f>"マイツキ　キンロウ　トウケイ　チョウサ　チホウ　チョウサ　ケッカ　ソクホウ　オカヤマケン"</f>
        <v>マイツキ　キンロウ　トウケイ　チョウサ　チホウ　チョウサ　ケッカ　ソクホウ　オカヤマケン</v>
      </c>
      <c r="D4629" t="str">
        <f>"岡山県企画部統計課"</f>
        <v>岡山県企画部統計課</v>
      </c>
      <c r="E4629" t="str">
        <f>"オカヤマケン キカクブ トウケイカ"</f>
        <v>オカヤマケン キカクブ トウケイカ</v>
      </c>
      <c r="F4629" t="str">
        <f>"岡山"</f>
        <v>岡山</v>
      </c>
      <c r="G4629" t="str">
        <f>"月刊"</f>
        <v>月刊</v>
      </c>
      <c r="H4629" t="str">
        <f>"2002222286063"</f>
        <v>2002222286063</v>
      </c>
      <c r="I4629" t="str">
        <f>HYPERLINK("#", "https://opac.libnet.pref.okayama.jp/licsxp-opac/WOpacMsgNewListToTifTilDetailAction.do?tilcod=2002222286063")</f>
        <v>https://opac.libnet.pref.okayama.jp/licsxp-opac/WOpacMsgNewListToTifTilDetailAction.do?tilcod=2002222286063</v>
      </c>
    </row>
    <row r="4630" spans="1:9" x14ac:dyDescent="0.4">
      <c r="A4630" t="str">
        <f>"M'通信[マイホーム通信]"</f>
        <v>M'通信[マイホーム通信]</v>
      </c>
      <c r="B4630" s="1" t="str">
        <f t="shared" si="232"/>
        <v>M'通信[マイホーム通信]</v>
      </c>
      <c r="C4630" t="str">
        <f>"マイホーム ツウシン"</f>
        <v>マイホーム ツウシン</v>
      </c>
      <c r="D4630" t="str">
        <f>"OHKハウジングPARK"</f>
        <v>OHKハウジングPARK</v>
      </c>
      <c r="E4630" t="str">
        <f>"オーエイチケー ハウジング パーク"</f>
        <v>オーエイチケー ハウジング パーク</v>
      </c>
      <c r="F4630" t="str">
        <f>"岡山"</f>
        <v>岡山</v>
      </c>
      <c r="G4630" t="str">
        <f>"隔月刊"</f>
        <v>隔月刊</v>
      </c>
      <c r="H4630" t="str">
        <f>"2002222322246"</f>
        <v>2002222322246</v>
      </c>
      <c r="I4630" t="str">
        <f>HYPERLINK("#", "https://opac.libnet.pref.okayama.jp/licsxp-opac/WOpacMsgNewListToTifTilDetailAction.do?tilcod=2002222322246")</f>
        <v>https://opac.libnet.pref.okayama.jp/licsxp-opac/WOpacMsgNewListToTifTilDetailAction.do?tilcod=2002222322246</v>
      </c>
    </row>
    <row r="4631" spans="1:9" x14ac:dyDescent="0.4">
      <c r="A4631" t="str">
        <f>"maimai(マイマイ):イオンモール倉敷マガジン"</f>
        <v>maimai(マイマイ):イオンモール倉敷マガジン</v>
      </c>
      <c r="B4631" s="1" t="str">
        <f t="shared" si="232"/>
        <v>maimai(マイマイ):イオンモール倉敷マガジン</v>
      </c>
      <c r="C4631" t="str">
        <f>"マイマイ イオン モール クラシキ マガジン"</f>
        <v>マイマイ イオン モール クラシキ マガジン</v>
      </c>
      <c r="D4631" t="str">
        <f>"HUL"</f>
        <v>HUL</v>
      </c>
      <c r="E4631" t="str">
        <f>"エイチ ユー エル"</f>
        <v>エイチ ユー エル</v>
      </c>
      <c r="F4631" t="str">
        <f>"[高松]"</f>
        <v>[高松]</v>
      </c>
      <c r="G4631" t="str">
        <f>"隔月刊"</f>
        <v>隔月刊</v>
      </c>
      <c r="H4631" t="str">
        <f>"2002222332429"</f>
        <v>2002222332429</v>
      </c>
      <c r="I4631" t="str">
        <f>HYPERLINK("#", "https://opac.libnet.pref.okayama.jp/licsxp-opac/WOpacMsgNewListToTifTilDetailAction.do?tilcod=2002222332429")</f>
        <v>https://opac.libnet.pref.okayama.jp/licsxp-opac/WOpacMsgNewListToTifTilDetailAction.do?tilcod=2002222332429</v>
      </c>
    </row>
    <row r="4632" spans="1:9" x14ac:dyDescent="0.4">
      <c r="A4632" t="str">
        <f>"まかね"</f>
        <v>まかね</v>
      </c>
      <c r="B4632" s="1" t="str">
        <f t="shared" si="232"/>
        <v>まかね</v>
      </c>
      <c r="C4632" t="str">
        <f>"マカネ"</f>
        <v>マカネ</v>
      </c>
      <c r="D4632" t="str">
        <f>"吉備短歌研究会"</f>
        <v>吉備短歌研究会</v>
      </c>
      <c r="E4632" t="str">
        <f>"キビタンカケンキュウカイ"</f>
        <v>キビタンカケンキュウカイ</v>
      </c>
      <c r="F4632" t="str">
        <f>"西江原町（後月郡）"</f>
        <v>西江原町（後月郡）</v>
      </c>
      <c r="G4632" t="str">
        <f>"月刊"</f>
        <v>月刊</v>
      </c>
      <c r="H4632" t="str">
        <f>"2002222300400"</f>
        <v>2002222300400</v>
      </c>
      <c r="I4632" t="str">
        <f>HYPERLINK("#", "https://opac.libnet.pref.okayama.jp/licsxp-opac/WOpacMsgNewListToTifTilDetailAction.do?tilcod=2002222300400")</f>
        <v>https://opac.libnet.pref.okayama.jp/licsxp-opac/WOpacMsgNewListToTifTilDetailAction.do?tilcod=2002222300400</v>
      </c>
    </row>
    <row r="4633" spans="1:9" x14ac:dyDescent="0.4">
      <c r="A4633" t="str">
        <f>"まがね"</f>
        <v>まがね</v>
      </c>
      <c r="B4633" s="1" t="str">
        <f t="shared" si="232"/>
        <v>まがね</v>
      </c>
      <c r="C4633" t="str">
        <f>"マガネ"</f>
        <v>マガネ</v>
      </c>
      <c r="D4633" t="str">
        <f>"日本民主主義文学会岡山支部"</f>
        <v>日本民主主義文学会岡山支部</v>
      </c>
      <c r="E4633" t="str">
        <f>"ニホンミンシュシュギブンガクカイオカヤマシブ"</f>
        <v>ニホンミンシュシュギブンガクカイオカヤマシブ</v>
      </c>
      <c r="F4633" t="str">
        <f>"岡山"</f>
        <v>岡山</v>
      </c>
      <c r="G4633" t="str">
        <f>"年刊"</f>
        <v>年刊</v>
      </c>
      <c r="H4633" t="str">
        <f>"2002222294181"</f>
        <v>2002222294181</v>
      </c>
      <c r="I4633" t="str">
        <f>HYPERLINK("#", "https://opac.libnet.pref.okayama.jp/licsxp-opac/WOpacMsgNewListToTifTilDetailAction.do?tilcod=2002222294181")</f>
        <v>https://opac.libnet.pref.okayama.jp/licsxp-opac/WOpacMsgNewListToTifTilDetailAction.do?tilcod=2002222294181</v>
      </c>
    </row>
    <row r="4634" spans="1:9" x14ac:dyDescent="0.4">
      <c r="A4634" t="str">
        <f>"真金倶楽部"</f>
        <v>真金倶楽部</v>
      </c>
      <c r="B4634" s="1" t="str">
        <f t="shared" si="232"/>
        <v>真金倶楽部</v>
      </c>
      <c r="C4634" t="str">
        <f>"マカネ　クラブ"</f>
        <v>マカネ　クラブ</v>
      </c>
      <c r="D4634" t="str">
        <f>"岡山県立図書館郷土資料部門"</f>
        <v>岡山県立図書館郷土資料部門</v>
      </c>
      <c r="E4634" t="str">
        <f>"オカヤマケンリツトショカンキョウドシリョウブモン"</f>
        <v>オカヤマケンリツトショカンキョウドシリョウブモン</v>
      </c>
      <c r="F4634" t="str">
        <f>"岡山"</f>
        <v>岡山</v>
      </c>
      <c r="G4634" t="str">
        <f>"頻度不明"</f>
        <v>頻度不明</v>
      </c>
      <c r="H4634" t="str">
        <f>"2002222285681"</f>
        <v>2002222285681</v>
      </c>
      <c r="I4634" t="str">
        <f>HYPERLINK("#", "https://opac.libnet.pref.okayama.jp/licsxp-opac/WOpacMsgNewListToTifTilDetailAction.do?tilcod=2002222285681")</f>
        <v>https://opac.libnet.pref.okayama.jp/licsxp-opac/WOpacMsgNewListToTifTilDetailAction.do?tilcod=2002222285681</v>
      </c>
    </row>
    <row r="4635" spans="1:9" x14ac:dyDescent="0.4">
      <c r="A4635" t="str">
        <f>"真金響"</f>
        <v>真金響</v>
      </c>
      <c r="B4635" s="1" t="str">
        <f t="shared" si="232"/>
        <v>真金響</v>
      </c>
      <c r="C4635" t="str">
        <f>"マガネ ノ ヒビキ"</f>
        <v>マガネ ノ ヒビキ</v>
      </c>
      <c r="D4635" t="str">
        <f>"進学会"</f>
        <v>進学会</v>
      </c>
      <c r="E4635" t="str">
        <f>"シンガクカイ"</f>
        <v>シンガクカイ</v>
      </c>
      <c r="F4635" t="str">
        <f>""</f>
        <v/>
      </c>
      <c r="G4635" t="str">
        <f>"月刊"</f>
        <v>月刊</v>
      </c>
      <c r="H4635" t="str">
        <f>"2002222280774"</f>
        <v>2002222280774</v>
      </c>
      <c r="I4635" t="str">
        <f>HYPERLINK("#", "https://opac.libnet.pref.okayama.jp/licsxp-opac/WOpacMsgNewListToTifTilDetailAction.do?tilcod=2002222280774")</f>
        <v>https://opac.libnet.pref.okayama.jp/licsxp-opac/WOpacMsgNewListToTifTilDetailAction.do?tilcod=2002222280774</v>
      </c>
    </row>
    <row r="4636" spans="1:9" x14ac:dyDescent="0.4">
      <c r="A4636" t="str">
        <f>"牧石校だより"</f>
        <v>牧石校だより</v>
      </c>
      <c r="B4636" s="1" t="str">
        <f t="shared" si="232"/>
        <v>牧石校だより</v>
      </c>
      <c r="C4636" t="str">
        <f>"マキイシコウ ダヨリ"</f>
        <v>マキイシコウ ダヨリ</v>
      </c>
      <c r="D4636" t="str">
        <f>"[岡山市立牧石小学校]"</f>
        <v>[岡山市立牧石小学校]</v>
      </c>
      <c r="E4636" t="str">
        <f>"オカヤマシリツ マキイシ ショウガッコウ"</f>
        <v>オカヤマシリツ マキイシ ショウガッコウ</v>
      </c>
      <c r="F4636" t="str">
        <f>"[岡山]"</f>
        <v>[岡山]</v>
      </c>
      <c r="G4636" t="str">
        <f>"頻度不明"</f>
        <v>頻度不明</v>
      </c>
      <c r="H4636" t="str">
        <f>"2002222328506"</f>
        <v>2002222328506</v>
      </c>
      <c r="I4636" t="str">
        <f>HYPERLINK("#", "https://opac.libnet.pref.okayama.jp/licsxp-opac/WOpacMsgNewListToTifTilDetailAction.do?tilcod=2002222328506")</f>
        <v>https://opac.libnet.pref.okayama.jp/licsxp-opac/WOpacMsgNewListToTifTilDetailAction.do?tilcod=2002222328506</v>
      </c>
    </row>
    <row r="4637" spans="1:9" x14ac:dyDescent="0.4">
      <c r="A4637" t="str">
        <f>"まきび"</f>
        <v>まきび</v>
      </c>
      <c r="B4637" s="1" t="str">
        <f t="shared" si="232"/>
        <v>まきび</v>
      </c>
      <c r="C4637" t="str">
        <f>"マキビ"</f>
        <v>マキビ</v>
      </c>
      <c r="D4637" t="str">
        <f>"まきび会"</f>
        <v>まきび会</v>
      </c>
      <c r="E4637" t="str">
        <f>"マキビカイ"</f>
        <v>マキビカイ</v>
      </c>
      <c r="F4637" t="str">
        <f>"岡山"</f>
        <v>岡山</v>
      </c>
      <c r="G4637" t="str">
        <f>"隔月刊"</f>
        <v>隔月刊</v>
      </c>
      <c r="H4637" t="str">
        <f>"2002222293291"</f>
        <v>2002222293291</v>
      </c>
      <c r="I4637" t="str">
        <f>HYPERLINK("#", "https://opac.libnet.pref.okayama.jp/licsxp-opac/WOpacMsgNewListToTifTilDetailAction.do?tilcod=2002222293291")</f>
        <v>https://opac.libnet.pref.okayama.jp/licsxp-opac/WOpacMsgNewListToTifTilDetailAction.do?tilcod=2002222293291</v>
      </c>
    </row>
    <row r="4638" spans="1:9" x14ac:dyDescent="0.4">
      <c r="A4638" t="str">
        <f>"mug"</f>
        <v>mug</v>
      </c>
      <c r="B4638" s="1" t="str">
        <f t="shared" si="232"/>
        <v>mug</v>
      </c>
      <c r="C4638" t="str">
        <f>"マグ"</f>
        <v>マグ</v>
      </c>
      <c r="D4638" t="str">
        <f>"onestore.Lab design office"</f>
        <v>onestore.Lab design office</v>
      </c>
      <c r="E4638" t="str">
        <f>"ワンストア ラボ デザイン オフィス"</f>
        <v>ワンストア ラボ デザイン オフィス</v>
      </c>
      <c r="F4638" t="str">
        <f>"倉敷"</f>
        <v>倉敷</v>
      </c>
      <c r="G4638" t="str">
        <f>"季刊"</f>
        <v>季刊</v>
      </c>
      <c r="H4638" t="str">
        <f>"2002222329749"</f>
        <v>2002222329749</v>
      </c>
      <c r="I4638" t="str">
        <f>HYPERLINK("#", "https://opac.libnet.pref.okayama.jp/licsxp-opac/WOpacMsgNewListToTifTilDetailAction.do?tilcod=2002222329749")</f>
        <v>https://opac.libnet.pref.okayama.jp/licsxp-opac/WOpacMsgNewListToTifTilDetailAction.do?tilcod=2002222329749</v>
      </c>
    </row>
    <row r="4639" spans="1:9" x14ac:dyDescent="0.4">
      <c r="A4639" t="str">
        <f>"まぐろ通信"</f>
        <v>まぐろ通信</v>
      </c>
      <c r="B4639" s="1" t="str">
        <f t="shared" si="232"/>
        <v>まぐろ通信</v>
      </c>
      <c r="C4639" t="str">
        <f>"マグロ ツウシン"</f>
        <v>マグロ ツウシン</v>
      </c>
      <c r="D4639" t="str">
        <f>"山中 美幸"</f>
        <v>山中 美幸</v>
      </c>
      <c r="E4639" t="str">
        <f>"ヤマナカ ミユキ"</f>
        <v>ヤマナカ ミユキ</v>
      </c>
      <c r="F4639" t="str">
        <f>"井原"</f>
        <v>井原</v>
      </c>
      <c r="G4639" t="str">
        <f>"週刊"</f>
        <v>週刊</v>
      </c>
      <c r="H4639" t="str">
        <f>"2002222316326"</f>
        <v>2002222316326</v>
      </c>
      <c r="I4639" t="str">
        <f>HYPERLINK("#", "https://opac.libnet.pref.okayama.jp/licsxp-opac/WOpacMsgNewListToTifTilDetailAction.do?tilcod=2002222316326")</f>
        <v>https://opac.libnet.pref.okayama.jp/licsxp-opac/WOpacMsgNewListToTifTilDetailAction.do?tilcod=2002222316326</v>
      </c>
    </row>
    <row r="4640" spans="1:9" x14ac:dyDescent="0.4">
      <c r="A4640" t="str">
        <f>"まこと:中国鉄道社内誌"</f>
        <v>まこと:中国鉄道社内誌</v>
      </c>
      <c r="B4640" s="1" t="str">
        <f t="shared" si="232"/>
        <v>まこと:中国鉄道社内誌</v>
      </c>
      <c r="C4640" t="str">
        <f>"マコト　チュウゴク　テツドウ　シャナイシ"</f>
        <v>マコト　チュウゴク　テツドウ　シャナイシ</v>
      </c>
      <c r="D4640" t="str">
        <f>"中国鉄道"</f>
        <v>中国鉄道</v>
      </c>
      <c r="E4640" t="str">
        <f>"チュウゴク テツドウ"</f>
        <v>チュウゴク テツドウ</v>
      </c>
      <c r="F4640" t="str">
        <f>"岡山"</f>
        <v>岡山</v>
      </c>
      <c r="G4640" t="str">
        <f>"月刊"</f>
        <v>月刊</v>
      </c>
      <c r="H4640" t="str">
        <f>"2002222323706"</f>
        <v>2002222323706</v>
      </c>
      <c r="I4640" t="str">
        <f>HYPERLINK("#", "https://opac.libnet.pref.okayama.jp/licsxp-opac/WOpacMsgNewListToTifTilDetailAction.do?tilcod=2002222323706")</f>
        <v>https://opac.libnet.pref.okayama.jp/licsxp-opac/WOpacMsgNewListToTifTilDetailAction.do?tilcod=2002222323706</v>
      </c>
    </row>
    <row r="4641" spans="1:9" x14ac:dyDescent="0.4">
      <c r="A4641" t="str">
        <f>"まさご；真砂"</f>
        <v>まさご；真砂</v>
      </c>
      <c r="B4641" s="1" t="str">
        <f t="shared" si="232"/>
        <v>まさご；真砂</v>
      </c>
      <c r="C4641" t="str">
        <f>"マサゴ"</f>
        <v>マサゴ</v>
      </c>
      <c r="D4641" t="str">
        <f>"瀬戸高等女学校真砂会"</f>
        <v>瀬戸高等女学校真砂会</v>
      </c>
      <c r="E4641" t="str">
        <f>"セトコウトウジョガッコウマサゴカイ"</f>
        <v>セトコウトウジョガッコウマサゴカイ</v>
      </c>
      <c r="F4641" t="str">
        <f>"瀬戸町（赤磐郡）"</f>
        <v>瀬戸町（赤磐郡）</v>
      </c>
      <c r="G4641" t="str">
        <f>"頻度不明"</f>
        <v>頻度不明</v>
      </c>
      <c r="H4641" t="str">
        <f>"2002222286093"</f>
        <v>2002222286093</v>
      </c>
      <c r="I4641" t="str">
        <f>HYPERLINK("#", "https://opac.libnet.pref.okayama.jp/licsxp-opac/WOpacMsgNewListToTifTilDetailAction.do?tilcod=2002222286093")</f>
        <v>https://opac.libnet.pref.okayama.jp/licsxp-opac/WOpacMsgNewListToTifTilDetailAction.do?tilcod=2002222286093</v>
      </c>
    </row>
    <row r="4642" spans="1:9" x14ac:dyDescent="0.4">
      <c r="A4642" t="str">
        <f>"まさご（真砂）"</f>
        <v>まさご（真砂）</v>
      </c>
      <c r="B4642" s="1" t="str">
        <f t="shared" si="232"/>
        <v>まさご（真砂）</v>
      </c>
      <c r="C4642" t="str">
        <f>"マサゴ"</f>
        <v>マサゴ</v>
      </c>
      <c r="D4642" t="str">
        <f>"岡山県第一岡山高等女学校文芸部"</f>
        <v>岡山県第一岡山高等女学校文芸部</v>
      </c>
      <c r="E4642" t="str">
        <f>"オカヤマケン　ダイイチ　オカヤマ　コウトウ　ジョガッコウ　ブンゲイブ"</f>
        <v>オカヤマケン　ダイイチ　オカヤマ　コウトウ　ジョガッコウ　ブンゲイブ</v>
      </c>
      <c r="F4642" t="str">
        <f>"岡山"</f>
        <v>岡山</v>
      </c>
      <c r="G4642" t="str">
        <f>"頻度不明"</f>
        <v>頻度不明</v>
      </c>
      <c r="H4642" t="str">
        <f>"2002222323647"</f>
        <v>2002222323647</v>
      </c>
      <c r="I4642" t="str">
        <f>HYPERLINK("#", "https://opac.libnet.pref.okayama.jp/licsxp-opac/WOpacMsgNewListToTifTilDetailAction.do?tilcod=2002222323647")</f>
        <v>https://opac.libnet.pref.okayama.jp/licsxp-opac/WOpacMsgNewListToTifTilDetailAction.do?tilcod=2002222323647</v>
      </c>
    </row>
    <row r="4643" spans="1:9" x14ac:dyDescent="0.4">
      <c r="A4643" t="str">
        <f>"マストマガジン；マスマガ；More Amenity STation magazine"</f>
        <v>マストマガジン；マスマガ；More Amenity STation magazine</v>
      </c>
      <c r="B4643" s="1" t="str">
        <f t="shared" si="232"/>
        <v>マストマガジン；マスマガ；More Amenity STation magazine</v>
      </c>
      <c r="C4643" t="str">
        <f>"マスト マガジン*マスマガ*モア アメニティー ステーション マガジン "</f>
        <v xml:space="preserve">マスト マガジン*マスマガ*モア アメニティー ステーション マガジン </v>
      </c>
      <c r="D4643" t="str">
        <f>"積和不動産中国株式会社岡山営業所"</f>
        <v>積和不動産中国株式会社岡山営業所</v>
      </c>
      <c r="E4643" t="str">
        <f>"セキワフドウサンチュウゴクカブシキガイシャオカヤマエイギョウショ"</f>
        <v>セキワフドウサンチュウゴクカブシキガイシャオカヤマエイギョウショ</v>
      </c>
      <c r="F4643" t="str">
        <f>"岡山"</f>
        <v>岡山</v>
      </c>
      <c r="G4643" t="str">
        <f>"頻度不明"</f>
        <v>頻度不明</v>
      </c>
      <c r="H4643" t="str">
        <f>"2002222302280"</f>
        <v>2002222302280</v>
      </c>
      <c r="I4643" t="str">
        <f>HYPERLINK("#", "https://opac.libnet.pref.okayama.jp/licsxp-opac/WOpacMsgNewListToTifTilDetailAction.do?tilcod=2002222302280")</f>
        <v>https://opac.libnet.pref.okayama.jp/licsxp-opac/WOpacMsgNewListToTifTilDetailAction.do?tilcod=2002222302280</v>
      </c>
    </row>
    <row r="4644" spans="1:9" x14ac:dyDescent="0.4">
      <c r="A4644" t="str">
        <f>"町のたよりかもがた"</f>
        <v>町のたよりかもがた</v>
      </c>
      <c r="B4644" s="1" t="str">
        <f t="shared" si="232"/>
        <v>町のたよりかもがた</v>
      </c>
      <c r="C4644" t="str">
        <f>"マチ　ノ　タヨリ　カモガタ"</f>
        <v>マチ　ノ　タヨリ　カモガタ</v>
      </c>
      <c r="D4644" t="str">
        <f>"鴨方町"</f>
        <v>鴨方町</v>
      </c>
      <c r="E4644" t="str">
        <f>"カモガタチョウ"</f>
        <v>カモガタチョウ</v>
      </c>
      <c r="F4644" t="str">
        <f>"鴨方町（浅口郡）"</f>
        <v>鴨方町（浅口郡）</v>
      </c>
      <c r="G4644" t="str">
        <f>"月刊"</f>
        <v>月刊</v>
      </c>
      <c r="H4644" t="str">
        <f>"2002222301635"</f>
        <v>2002222301635</v>
      </c>
      <c r="I4644" t="str">
        <f>HYPERLINK("#", "https://opac.libnet.pref.okayama.jp/licsxp-opac/WOpacMsgNewListToTifTilDetailAction.do?tilcod=2002222301635")</f>
        <v>https://opac.libnet.pref.okayama.jp/licsxp-opac/WOpacMsgNewListToTifTilDetailAction.do?tilcod=2002222301635</v>
      </c>
    </row>
    <row r="4645" spans="1:9" x14ac:dyDescent="0.4">
      <c r="A4645" t="str">
        <f>"松の声"</f>
        <v>松の声</v>
      </c>
      <c r="B4645" s="1" t="str">
        <f t="shared" si="232"/>
        <v>松の声</v>
      </c>
      <c r="C4645" t="str">
        <f>"マツ　ノ　コエ"</f>
        <v>マツ　ノ　コエ</v>
      </c>
      <c r="D4645" t="str">
        <f>"春靄高等女学校松柏会"</f>
        <v>春靄高等女学校松柏会</v>
      </c>
      <c r="E4645" t="str">
        <f>"シュンアイ コウトウ ジョガッコウ ショウハクカイ"</f>
        <v>シュンアイ コウトウ ジョガッコウ ショウハクカイ</v>
      </c>
      <c r="F4645" t="str">
        <f>""</f>
        <v/>
      </c>
      <c r="G4645" t="str">
        <f>"頻度不明"</f>
        <v>頻度不明</v>
      </c>
      <c r="H4645" t="str">
        <f>"2002222281144"</f>
        <v>2002222281144</v>
      </c>
      <c r="I4645" t="str">
        <f>HYPERLINK("#", "https://opac.libnet.pref.okayama.jp/licsxp-opac/WOpacMsgNewListToTifTilDetailAction.do?tilcod=2002222281144")</f>
        <v>https://opac.libnet.pref.okayama.jp/licsxp-opac/WOpacMsgNewListToTifTilDetailAction.do?tilcod=2002222281144</v>
      </c>
    </row>
    <row r="4646" spans="1:9" x14ac:dyDescent="0.4">
      <c r="A4646" t="str">
        <f>"松の友"</f>
        <v>松の友</v>
      </c>
      <c r="B4646" s="1" t="str">
        <f t="shared" si="232"/>
        <v>松の友</v>
      </c>
      <c r="C4646" t="str">
        <f>"マツ ノ トモ "</f>
        <v xml:space="preserve">マツ ノ トモ </v>
      </c>
      <c r="D4646" t="str">
        <f>"松友会"</f>
        <v>松友会</v>
      </c>
      <c r="E4646" t="str">
        <f>"ショウユウカイ"</f>
        <v>ショウユウカイ</v>
      </c>
      <c r="F4646" t="str">
        <f>"東苫田村(苫田郡)"</f>
        <v>東苫田村(苫田郡)</v>
      </c>
      <c r="G4646" t="str">
        <f>"頻度不明"</f>
        <v>頻度不明</v>
      </c>
      <c r="H4646" t="str">
        <f>"2002222324406"</f>
        <v>2002222324406</v>
      </c>
      <c r="I4646" t="str">
        <f>HYPERLINK("#", "https://opac.libnet.pref.okayama.jp/licsxp-opac/WOpacMsgNewListToTifTilDetailAction.do?tilcod=2002222324406")</f>
        <v>https://opac.libnet.pref.okayama.jp/licsxp-opac/WOpacMsgNewListToTifTilDetailAction.do?tilcod=2002222324406</v>
      </c>
    </row>
    <row r="4647" spans="1:9" x14ac:dyDescent="0.4">
      <c r="A4647" t="str">
        <f>"まつかぜ ; 高松公民館だより"</f>
        <v>まつかぜ ; 高松公民館だより</v>
      </c>
      <c r="B4647" s="1" t="str">
        <f t="shared" si="232"/>
        <v>まつかぜ ; 高松公民館だより</v>
      </c>
      <c r="C4647" t="str">
        <f>"マツカゼ ; タカマツ コウミンカン ダヨリ"</f>
        <v>マツカゼ ; タカマツ コウミンカン ダヨリ</v>
      </c>
      <c r="D4647" t="str">
        <f>"岡山市立高松公民館"</f>
        <v>岡山市立高松公民館</v>
      </c>
      <c r="E4647" t="str">
        <f>"オカヤマシリツ タカマツ コウミンカン"</f>
        <v>オカヤマシリツ タカマツ コウミンカン</v>
      </c>
      <c r="F4647" t="str">
        <f>"岡山"</f>
        <v>岡山</v>
      </c>
      <c r="G4647" t="str">
        <f>"隔月刊"</f>
        <v>隔月刊</v>
      </c>
      <c r="H4647" t="str">
        <f>"2002222341370"</f>
        <v>2002222341370</v>
      </c>
      <c r="I4647" t="str">
        <f>HYPERLINK("#", "https://opac.libnet.pref.okayama.jp/licsxp-opac/WOpacMsgNewListToTifTilDetailAction.do?tilcod=2002222341370")</f>
        <v>https://opac.libnet.pref.okayama.jp/licsxp-opac/WOpacMsgNewListToTifTilDetailAction.do?tilcod=2002222341370</v>
      </c>
    </row>
    <row r="4648" spans="1:9" x14ac:dyDescent="0.4">
      <c r="A4648" t="str">
        <f>"MATCHDAY PROGRAM；ファジアーノ岡山マッチデープログラム"</f>
        <v>MATCHDAY PROGRAM；ファジアーノ岡山マッチデープログラム</v>
      </c>
      <c r="B4648" s="1" t="str">
        <f t="shared" si="232"/>
        <v>MATCHDAY PROGRAM；ファジアーノ岡山マッチデープログラム</v>
      </c>
      <c r="C4648" t="str">
        <f>"マッチデー プログラム＊ファジアーノ オカヤマ マッチデー プログラム"</f>
        <v>マッチデー プログラム＊ファジアーノ オカヤマ マッチデー プログラム</v>
      </c>
      <c r="D4648" t="str">
        <f>"ファジアーノ岡山スポーツクラブ"</f>
        <v>ファジアーノ岡山スポーツクラブ</v>
      </c>
      <c r="E4648" t="str">
        <f>"ファジアーノ オカヤマ スポーツ クラブ"</f>
        <v>ファジアーノ オカヤマ スポーツ クラブ</v>
      </c>
      <c r="F4648" t="str">
        <f>""</f>
        <v/>
      </c>
      <c r="G4648" t="str">
        <f>"不定期刊"</f>
        <v>不定期刊</v>
      </c>
      <c r="H4648" t="str">
        <f>"2002222316786"</f>
        <v>2002222316786</v>
      </c>
      <c r="I4648" t="str">
        <f>HYPERLINK("#", "https://opac.libnet.pref.okayama.jp/licsxp-opac/WOpacMsgNewListToTifTilDetailAction.do?tilcod=2002222316786")</f>
        <v>https://opac.libnet.pref.okayama.jp/licsxp-opac/WOpacMsgNewListToTifTilDetailAction.do?tilcod=2002222316786</v>
      </c>
    </row>
    <row r="4649" spans="1:9" x14ac:dyDescent="0.4">
      <c r="A4649" t="str">
        <f>"松原ギネス・私が一番！！"</f>
        <v>松原ギネス・私が一番！！</v>
      </c>
      <c r="B4649" s="1" t="str">
        <f t="shared" si="232"/>
        <v>松原ギネス・私が一番！！</v>
      </c>
      <c r="C4649" t="str">
        <f>"マツバラ　ギネス　ワタクシ　ガ　イチバン"</f>
        <v>マツバラ　ギネス　ワタクシ　ガ　イチバン</v>
      </c>
      <c r="D4649" t="str">
        <f>"松原町商工会私が一番！！部会"</f>
        <v>松原町商工会私が一番！！部会</v>
      </c>
      <c r="E4649" t="str">
        <f>"マツバラチウショウコウカイワタクシガイチバンブカイ"</f>
        <v>マツバラチウショウコウカイワタクシガイチバンブカイ</v>
      </c>
      <c r="F4649" t="str">
        <f>"高梁"</f>
        <v>高梁</v>
      </c>
      <c r="G4649" t="str">
        <f>"月刊"</f>
        <v>月刊</v>
      </c>
      <c r="H4649" t="str">
        <f>"2002222300972"</f>
        <v>2002222300972</v>
      </c>
      <c r="I4649" t="str">
        <f>HYPERLINK("#", "https://opac.libnet.pref.okayama.jp/licsxp-opac/WOpacMsgNewListToTifTilDetailAction.do?tilcod=2002222300972")</f>
        <v>https://opac.libnet.pref.okayama.jp/licsxp-opac/WOpacMsgNewListToTifTilDetailAction.do?tilcod=2002222300972</v>
      </c>
    </row>
    <row r="4650" spans="1:9" x14ac:dyDescent="0.4">
      <c r="A4650" t="str">
        <f>"ｍａｐ"</f>
        <v>ｍａｐ</v>
      </c>
      <c r="B4650" s="1" t="str">
        <f t="shared" si="232"/>
        <v>ｍａｐ</v>
      </c>
      <c r="C4650" t="str">
        <f>"マップ"</f>
        <v>マップ</v>
      </c>
      <c r="D4650" t="str">
        <f>"建築遊迷塾"</f>
        <v>建築遊迷塾</v>
      </c>
      <c r="E4650" t="str">
        <f>"ケンチクユウメイジュク"</f>
        <v>ケンチクユウメイジュク</v>
      </c>
      <c r="F4650" t="str">
        <f>"岡山"</f>
        <v>岡山</v>
      </c>
      <c r="G4650" t="str">
        <f>"月刊"</f>
        <v>月刊</v>
      </c>
      <c r="H4650" t="str">
        <f>"2002222293301"</f>
        <v>2002222293301</v>
      </c>
      <c r="I4650" t="str">
        <f>HYPERLINK("#", "https://opac.libnet.pref.okayama.jp/licsxp-opac/WOpacMsgNewListToTifTilDetailAction.do?tilcod=2002222293301")</f>
        <v>https://opac.libnet.pref.okayama.jp/licsxp-opac/WOpacMsgNewListToTifTilDetailAction.do?tilcod=2002222293301</v>
      </c>
    </row>
    <row r="4651" spans="1:9" x14ac:dyDescent="0.4">
      <c r="A4651" t="str">
        <f>"松ぼっくり；岡山児童文学会機関誌"</f>
        <v>松ぼっくり；岡山児童文学会機関誌</v>
      </c>
      <c r="B4651" s="1" t="str">
        <f t="shared" si="232"/>
        <v>松ぼっくり；岡山児童文学会機関誌</v>
      </c>
      <c r="C4651" t="str">
        <f>"マツボックリ＊オカヤマ　ジドウ　ブンガクカイ　キカンシ"</f>
        <v>マツボックリ＊オカヤマ　ジドウ　ブンガクカイ　キカンシ</v>
      </c>
      <c r="D4651" t="str">
        <f>"岡山児童文学会"</f>
        <v>岡山児童文学会</v>
      </c>
      <c r="E4651" t="str">
        <f>"オカヤマ ジドウ ブンガクカイ"</f>
        <v>オカヤマ ジドウ ブンガクカイ</v>
      </c>
      <c r="F4651" t="str">
        <f>""</f>
        <v/>
      </c>
      <c r="G4651" t="str">
        <f>"年刊"</f>
        <v>年刊</v>
      </c>
      <c r="H4651" t="str">
        <f>"2002222280721"</f>
        <v>2002222280721</v>
      </c>
      <c r="I4651" t="str">
        <f>HYPERLINK("#", "https://opac.libnet.pref.okayama.jp/licsxp-opac/WOpacMsgNewListToTifTilDetailAction.do?tilcod=2002222280721")</f>
        <v>https://opac.libnet.pref.okayama.jp/licsxp-opac/WOpacMsgNewListToTifTilDetailAction.do?tilcod=2002222280721</v>
      </c>
    </row>
    <row r="4652" spans="1:9" x14ac:dyDescent="0.4">
      <c r="A4652" t="str">
        <f>"松山高校新聞"</f>
        <v>松山高校新聞</v>
      </c>
      <c r="B4652" s="1" t="str">
        <f t="shared" si="232"/>
        <v>松山高校新聞</v>
      </c>
      <c r="C4652" t="str">
        <f>"マツヤマ　コウコウ　シンブン"</f>
        <v>マツヤマ　コウコウ　シンブン</v>
      </c>
      <c r="D4652" t="str">
        <f>"岡山県松山高等学校"</f>
        <v>岡山県松山高等学校</v>
      </c>
      <c r="E4652" t="str">
        <f>"オカヤマケンマツヤマコウトウガッコウ"</f>
        <v>オカヤマケンマツヤマコウトウガッコウ</v>
      </c>
      <c r="F4652" t="str">
        <f>"高梁"</f>
        <v>高梁</v>
      </c>
      <c r="G4652" t="str">
        <f>"頻度不明"</f>
        <v>頻度不明</v>
      </c>
      <c r="H4652" t="str">
        <f>"2002222301966"</f>
        <v>2002222301966</v>
      </c>
      <c r="I4652" t="str">
        <f>HYPERLINK("#", "https://opac.libnet.pref.okayama.jp/licsxp-opac/WOpacMsgNewListToTifTilDetailAction.do?tilcod=2002222301966")</f>
        <v>https://opac.libnet.pref.okayama.jp/licsxp-opac/WOpacMsgNewListToTifTilDetailAction.do?tilcod=2002222301966</v>
      </c>
    </row>
    <row r="4653" spans="1:9" x14ac:dyDescent="0.4">
      <c r="A4653" t="str">
        <f>"窓"</f>
        <v>窓</v>
      </c>
      <c r="B4653" s="1" t="str">
        <f t="shared" si="232"/>
        <v>窓</v>
      </c>
      <c r="C4653" t="str">
        <f>"マド"</f>
        <v>マド</v>
      </c>
      <c r="D4653" t="str">
        <f>"夕刊岡山社"</f>
        <v>夕刊岡山社</v>
      </c>
      <c r="E4653" t="str">
        <f>"ユウカン オカヤマシャ"</f>
        <v>ユウカン オカヤマシャ</v>
      </c>
      <c r="F4653" t="str">
        <f>"岡山"</f>
        <v>岡山</v>
      </c>
      <c r="G4653" t="str">
        <f>"頻度不明"</f>
        <v>頻度不明</v>
      </c>
      <c r="H4653" t="str">
        <f>"2002222319621"</f>
        <v>2002222319621</v>
      </c>
      <c r="I4653" t="str">
        <f>HYPERLINK("#", "https://opac.libnet.pref.okayama.jp/licsxp-opac/WOpacMsgNewListToTifTilDetailAction.do?tilcod=2002222319621")</f>
        <v>https://opac.libnet.pref.okayama.jp/licsxp-opac/WOpacMsgNewListToTifTilDetailAction.do?tilcod=2002222319621</v>
      </c>
    </row>
    <row r="4654" spans="1:9" x14ac:dyDescent="0.4">
      <c r="A4654" t="str">
        <f>"MANNA"</f>
        <v>MANNA</v>
      </c>
      <c r="B4654" s="1" t="str">
        <f t="shared" si="232"/>
        <v>MANNA</v>
      </c>
      <c r="C4654" t="str">
        <f>"マナ"</f>
        <v>マナ</v>
      </c>
      <c r="D4654" t="str">
        <f>"MANNA同人会"</f>
        <v>MANNA同人会</v>
      </c>
      <c r="E4654" t="str">
        <f>"マナ ドウジンカイ"</f>
        <v>マナ ドウジンカイ</v>
      </c>
      <c r="F4654" t="str">
        <f>"[岡山]"</f>
        <v>[岡山]</v>
      </c>
      <c r="G4654" t="str">
        <f>"頻度不明"</f>
        <v>頻度不明</v>
      </c>
      <c r="H4654" t="str">
        <f>"2002222319617"</f>
        <v>2002222319617</v>
      </c>
      <c r="I4654" t="str">
        <f>HYPERLINK("#", "https://opac.libnet.pref.okayama.jp/licsxp-opac/WOpacMsgNewListToTifTilDetailAction.do?tilcod=2002222319617")</f>
        <v>https://opac.libnet.pref.okayama.jp/licsxp-opac/WOpacMsgNewListToTifTilDetailAction.do?tilcod=2002222319617</v>
      </c>
    </row>
    <row r="4655" spans="1:9" x14ac:dyDescent="0.4">
      <c r="A4655" t="str">
        <f>"Manap! ; マナップ岡山版"</f>
        <v>Manap! ; マナップ岡山版</v>
      </c>
      <c r="B4655" s="1" t="str">
        <f t="shared" si="232"/>
        <v>Manap! ; マナップ岡山版</v>
      </c>
      <c r="C4655" t="str">
        <f>"マナップ オカヤマバン"</f>
        <v>マナップ オカヤマバン</v>
      </c>
      <c r="D4655" t="str">
        <f>"マナップ岡山版編集室"</f>
        <v>マナップ岡山版編集室</v>
      </c>
      <c r="E4655" t="str">
        <f>"マナップ オカヤマバン ヘンシュウシツ"</f>
        <v>マナップ オカヤマバン ヘンシュウシツ</v>
      </c>
      <c r="F4655" t="str">
        <f>"岡山"</f>
        <v>岡山</v>
      </c>
      <c r="G4655" t="str">
        <f>"隔月刊"</f>
        <v>隔月刊</v>
      </c>
      <c r="H4655" t="str">
        <f>"2002222331770"</f>
        <v>2002222331770</v>
      </c>
      <c r="I4655" t="str">
        <f>HYPERLINK("#", "https://opac.libnet.pref.okayama.jp/licsxp-opac/WOpacMsgNewListToTifTilDetailAction.do?tilcod=2002222331770")</f>
        <v>https://opac.libnet.pref.okayama.jp/licsxp-opac/WOpacMsgNewListToTifTilDetailAction.do?tilcod=2002222331770</v>
      </c>
    </row>
    <row r="4656" spans="1:9" x14ac:dyDescent="0.4">
      <c r="A4656" t="str">
        <f>"学びの枝折(複製)"</f>
        <v>学びの枝折(複製)</v>
      </c>
      <c r="B4656" s="1" t="str">
        <f t="shared" si="232"/>
        <v>学びの枝折(複製)</v>
      </c>
      <c r="C4656" t="str">
        <f>"マナビ ノ シオリ＊フクセイ"</f>
        <v>マナビ ノ シオリ＊フクセイ</v>
      </c>
      <c r="D4656" t="str">
        <f>"平岡書房"</f>
        <v>平岡書房</v>
      </c>
      <c r="E4656" t="str">
        <f>"ヒラオカ ショボウ"</f>
        <v>ヒラオカ ショボウ</v>
      </c>
      <c r="F4656" t="str">
        <f>"津山町（苫田郡） "</f>
        <v xml:space="preserve">津山町（苫田郡） </v>
      </c>
      <c r="G4656" t="str">
        <f>"月刊"</f>
        <v>月刊</v>
      </c>
      <c r="H4656" t="str">
        <f>"2002222334788"</f>
        <v>2002222334788</v>
      </c>
      <c r="I4656" t="str">
        <f>HYPERLINK("#", "https://opac.libnet.pref.okayama.jp/licsxp-opac/WOpacMsgNewListToTifTilDetailAction.do?tilcod=2002222334788")</f>
        <v>https://opac.libnet.pref.okayama.jp/licsxp-opac/WOpacMsgNewListToTifTilDetailAction.do?tilcod=2002222334788</v>
      </c>
    </row>
    <row r="4657" spans="1:9" x14ac:dyDescent="0.4">
      <c r="A4657" t="str">
        <f>"学之園"</f>
        <v>学之園</v>
      </c>
      <c r="B4657" s="1" t="str">
        <f t="shared" si="232"/>
        <v>学之園</v>
      </c>
      <c r="C4657" t="str">
        <f>"マナビ　ノ　ソノ"</f>
        <v>マナビ　ノ　ソノ</v>
      </c>
      <c r="D4657" t="str">
        <f>"有志競学会"</f>
        <v>有志競学会</v>
      </c>
      <c r="E4657" t="str">
        <f>"ユウシ キョウガクカイ"</f>
        <v>ユウシ キョウガクカイ</v>
      </c>
      <c r="F4657" t="str">
        <f>""</f>
        <v/>
      </c>
      <c r="G4657" t="str">
        <f>"頻度不明"</f>
        <v>頻度不明</v>
      </c>
      <c r="H4657" t="str">
        <f>"2002222286103"</f>
        <v>2002222286103</v>
      </c>
      <c r="I4657" t="str">
        <f>HYPERLINK("#", "https://opac.libnet.pref.okayama.jp/licsxp-opac/WOpacMsgNewListToTifTilDetailAction.do?tilcod=2002222286103")</f>
        <v>https://opac.libnet.pref.okayama.jp/licsxp-opac/WOpacMsgNewListToTifTilDetailAction.do?tilcod=2002222286103</v>
      </c>
    </row>
    <row r="4658" spans="1:9" x14ac:dyDescent="0.4">
      <c r="A4658" t="str">
        <f>"まなびの友"</f>
        <v>まなびの友</v>
      </c>
      <c r="B4658" s="1" t="str">
        <f t="shared" si="232"/>
        <v>まなびの友</v>
      </c>
      <c r="C4658" t="str">
        <f>"マナビ　ノ　トモ"</f>
        <v>マナビ　ノ　トモ</v>
      </c>
      <c r="D4658" t="str">
        <f>"小田郡教育会"</f>
        <v>小田郡教育会</v>
      </c>
      <c r="E4658" t="str">
        <f>"オダグンキョウイクカイ"</f>
        <v>オダグンキョウイクカイ</v>
      </c>
      <c r="F4658" t="str">
        <f>""</f>
        <v/>
      </c>
      <c r="G4658" t="str">
        <f>"頻度不明"</f>
        <v>頻度不明</v>
      </c>
      <c r="H4658" t="str">
        <f>"2002222286113"</f>
        <v>2002222286113</v>
      </c>
      <c r="I4658" t="str">
        <f>HYPERLINK("#", "https://opac.libnet.pref.okayama.jp/licsxp-opac/WOpacMsgNewListToTifTilDetailAction.do?tilcod=2002222286113")</f>
        <v>https://opac.libnet.pref.okayama.jp/licsxp-opac/WOpacMsgNewListToTifTilDetailAction.do?tilcod=2002222286113</v>
      </c>
    </row>
    <row r="4659" spans="1:9" x14ac:dyDescent="0.4">
      <c r="A4659" t="str">
        <f>"まなび；総社市生涯学習情報紙"</f>
        <v>まなび；総社市生涯学習情報紙</v>
      </c>
      <c r="B4659" s="1" t="str">
        <f t="shared" si="232"/>
        <v>まなび；総社市生涯学習情報紙</v>
      </c>
      <c r="C4659" t="str">
        <f>"マナビ＊ソウジャシ　ショウガイ　ガクシュウ　ジョウホウシ"</f>
        <v>マナビ＊ソウジャシ　ショウガイ　ガクシュウ　ジョウホウシ</v>
      </c>
      <c r="D4659" t="str">
        <f>"総社市生涯学習推進本部"</f>
        <v>総社市生涯学習推進本部</v>
      </c>
      <c r="E4659" t="str">
        <f>"ソウジャシショウガイガクシュウスイシンホンブ"</f>
        <v>ソウジャシショウガイガクシュウスイシンホンブ</v>
      </c>
      <c r="F4659" t="str">
        <f>"総社"</f>
        <v>総社</v>
      </c>
      <c r="G4659" t="str">
        <f>"頻度不明"</f>
        <v>頻度不明</v>
      </c>
      <c r="H4659" t="str">
        <f>"2002222281381"</f>
        <v>2002222281381</v>
      </c>
      <c r="I4659" t="str">
        <f>HYPERLINK("#", "https://opac.libnet.pref.okayama.jp/licsxp-opac/WOpacMsgNewListToTifTilDetailAction.do?tilcod=2002222281381")</f>
        <v>https://opac.libnet.pref.okayama.jp/licsxp-opac/WOpacMsgNewListToTifTilDetailAction.do?tilcod=2002222281381</v>
      </c>
    </row>
    <row r="4660" spans="1:9" x14ac:dyDescent="0.4">
      <c r="A4660" t="str">
        <f>"まなびらんど"</f>
        <v>まなびらんど</v>
      </c>
      <c r="B4660" s="1" t="str">
        <f t="shared" si="232"/>
        <v>まなびらんど</v>
      </c>
      <c r="C4660" t="str">
        <f>"マナビランド"</f>
        <v>マナビランド</v>
      </c>
      <c r="D4660" t="str">
        <f>"加茂川町"</f>
        <v>加茂川町</v>
      </c>
      <c r="E4660" t="str">
        <f>"カモガワチョウ"</f>
        <v>カモガワチョウ</v>
      </c>
      <c r="F4660" t="str">
        <f>"御津郡加茂川町"</f>
        <v>御津郡加茂川町</v>
      </c>
      <c r="G4660" t="str">
        <f>"頻度不明"</f>
        <v>頻度不明</v>
      </c>
      <c r="H4660" t="str">
        <f>"2002222281271"</f>
        <v>2002222281271</v>
      </c>
      <c r="I4660" t="str">
        <f>HYPERLINK("#", "https://opac.libnet.pref.okayama.jp/licsxp-opac/WOpacMsgNewListToTifTilDetailAction.do?tilcod=2002222281271")</f>
        <v>https://opac.libnet.pref.okayama.jp/licsxp-opac/WOpacMsgNewListToTifTilDetailAction.do?tilcod=2002222281271</v>
      </c>
    </row>
    <row r="4661" spans="1:9" x14ac:dyDescent="0.4">
      <c r="A4661" t="str">
        <f>"まなべしま新聞"</f>
        <v>まなべしま新聞</v>
      </c>
      <c r="B4661" s="1" t="str">
        <f t="shared" si="232"/>
        <v>まなべしま新聞</v>
      </c>
      <c r="C4661" t="str">
        <f>"マナベシマ シンブン"</f>
        <v>マナベシマ シンブン</v>
      </c>
      <c r="D4661" t="str">
        <f>"真鍋島編集会議"</f>
        <v>真鍋島編集会議</v>
      </c>
      <c r="E4661" t="str">
        <f>"マナベシマ ヘンシュウ カイギ"</f>
        <v>マナベシマ ヘンシュウ カイギ</v>
      </c>
      <c r="F4661" t="str">
        <f>"笠岡"</f>
        <v>笠岡</v>
      </c>
      <c r="G4661" t="str">
        <f>"月刊"</f>
        <v>月刊</v>
      </c>
      <c r="H4661" t="str">
        <f>"2002222317887"</f>
        <v>2002222317887</v>
      </c>
      <c r="I4661" t="str">
        <f>HYPERLINK("#", "https://opac.libnet.pref.okayama.jp/licsxp-opac/WOpacMsgNewListToTifTilDetailAction.do?tilcod=2002222317887")</f>
        <v>https://opac.libnet.pref.okayama.jp/licsxp-opac/WOpacMsgNewListToTifTilDetailAction.do?tilcod=2002222317887</v>
      </c>
    </row>
    <row r="4662" spans="1:9" x14ac:dyDescent="0.4">
      <c r="A4662" t="str">
        <f>"まにわ"</f>
        <v>まにわ</v>
      </c>
      <c r="B4662" s="1" t="str">
        <f t="shared" si="232"/>
        <v>まにわ</v>
      </c>
      <c r="C4662" t="str">
        <f>"マニワ"</f>
        <v>マニワ</v>
      </c>
      <c r="D4662" t="str">
        <f>"まにわ女性セミナー"</f>
        <v>まにわ女性セミナー</v>
      </c>
      <c r="E4662" t="str">
        <f>"マニワジョセイセミナー"</f>
        <v>マニワジョセイセミナー</v>
      </c>
      <c r="F4662" t="str">
        <f>"勝山町（真庭郡）"</f>
        <v>勝山町（真庭郡）</v>
      </c>
      <c r="G4662" t="str">
        <f>"頻度不明"</f>
        <v>頻度不明</v>
      </c>
      <c r="H4662" t="str">
        <f>"2002222300310"</f>
        <v>2002222300310</v>
      </c>
      <c r="I4662" t="str">
        <f>HYPERLINK("#", "https://opac.libnet.pref.okayama.jp/licsxp-opac/WOpacMsgNewListToTifTilDetailAction.do?tilcod=2002222300310")</f>
        <v>https://opac.libnet.pref.okayama.jp/licsxp-opac/WOpacMsgNewListToTifTilDetailAction.do?tilcod=2002222300310</v>
      </c>
    </row>
    <row r="4663" spans="1:9" x14ac:dyDescent="0.4">
      <c r="A4663" t="str">
        <f>"真庭・季節のイベント情報Gift"</f>
        <v>真庭・季節のイベント情報Gift</v>
      </c>
      <c r="B4663" s="1" t="str">
        <f t="shared" si="232"/>
        <v>真庭・季節のイベント情報Gift</v>
      </c>
      <c r="C4663" t="str">
        <f>"マニワ キセツ ノ イベント ジョウホウ ギフト"</f>
        <v>マニワ キセツ ノ イベント ジョウホウ ギフト</v>
      </c>
      <c r="D4663" t="str">
        <f>"真庭観光局"</f>
        <v>真庭観光局</v>
      </c>
      <c r="E4663" t="str">
        <f>"マニワ カンコウキョク"</f>
        <v>マニワ カンコウキョク</v>
      </c>
      <c r="F4663" t="str">
        <f>"真庭"</f>
        <v>真庭</v>
      </c>
      <c r="G4663" t="str">
        <f>"季刊"</f>
        <v>季刊</v>
      </c>
      <c r="H4663" t="str">
        <f>"2002222331648"</f>
        <v>2002222331648</v>
      </c>
      <c r="I4663" t="str">
        <f>HYPERLINK("#", "https://opac.libnet.pref.okayama.jp/licsxp-opac/WOpacMsgNewListToTifTilDetailAction.do?tilcod=2002222331648")</f>
        <v>https://opac.libnet.pref.okayama.jp/licsxp-opac/WOpacMsgNewListToTifTilDetailAction.do?tilcod=2002222331648</v>
      </c>
    </row>
    <row r="4664" spans="1:9" x14ac:dyDescent="0.4">
      <c r="A4664" t="str">
        <f>"真庭高等学校学校案内"</f>
        <v>真庭高等学校学校案内</v>
      </c>
      <c r="B4664" s="1" t="str">
        <f t="shared" si="232"/>
        <v>真庭高等学校学校案内</v>
      </c>
      <c r="C4664" t="str">
        <f>"マニワ コウトウ ガッコウ ガッコウ アンナイ "</f>
        <v xml:space="preserve">マニワ コウトウ ガッコウ ガッコウ アンナイ </v>
      </c>
      <c r="D4664" t="str">
        <f>"真庭高等学校"</f>
        <v>真庭高等学校</v>
      </c>
      <c r="E4664" t="str">
        <f>"マニワ コウトウ ガッコウ"</f>
        <v>マニワ コウトウ ガッコウ</v>
      </c>
      <c r="F4664" t="str">
        <f>"真庭"</f>
        <v>真庭</v>
      </c>
      <c r="G4664" t="str">
        <f>"年刊"</f>
        <v>年刊</v>
      </c>
      <c r="H4664" t="str">
        <f>"2002222307276"</f>
        <v>2002222307276</v>
      </c>
      <c r="I4664" t="str">
        <f>HYPERLINK("#", "https://opac.libnet.pref.okayama.jp/licsxp-opac/WOpacMsgNewListToTifTilDetailAction.do?tilcod=2002222307276")</f>
        <v>https://opac.libnet.pref.okayama.jp/licsxp-opac/WOpacMsgNewListToTifTilDetailAction.do?tilcod=2002222307276</v>
      </c>
    </row>
    <row r="4665" spans="1:9" x14ac:dyDescent="0.4">
      <c r="A4665" t="str">
        <f>"真庭高等学校学校要覧"</f>
        <v>真庭高等学校学校要覧</v>
      </c>
      <c r="B4665" s="1" t="str">
        <f t="shared" si="232"/>
        <v>真庭高等学校学校要覧</v>
      </c>
      <c r="C4665" t="str">
        <f>"マニワ コウトウ ガッコウ ガッコウ ヨウラン "</f>
        <v xml:space="preserve">マニワ コウトウ ガッコウ ガッコウ ヨウラン </v>
      </c>
      <c r="D4665" t="str">
        <f>"真庭高等学校"</f>
        <v>真庭高等学校</v>
      </c>
      <c r="E4665" t="str">
        <f>"マニワ コウトウ ガッコウ"</f>
        <v>マニワ コウトウ ガッコウ</v>
      </c>
      <c r="F4665" t="str">
        <f>"真庭"</f>
        <v>真庭</v>
      </c>
      <c r="G4665" t="str">
        <f>"年刊"</f>
        <v>年刊</v>
      </c>
      <c r="H4665" t="str">
        <f>"2002222307278"</f>
        <v>2002222307278</v>
      </c>
      <c r="I4665" t="str">
        <f>HYPERLINK("#", "https://opac.libnet.pref.okayama.jp/licsxp-opac/WOpacMsgNewListToTifTilDetailAction.do?tilcod=2002222307278")</f>
        <v>https://opac.libnet.pref.okayama.jp/licsxp-opac/WOpacMsgNewListToTifTilDetailAction.do?tilcod=2002222307278</v>
      </c>
    </row>
    <row r="4666" spans="1:9" x14ac:dyDescent="0.4">
      <c r="A4666" t="str">
        <f>"まにわ社協だより"</f>
        <v>まにわ社協だより</v>
      </c>
      <c r="B4666" s="1" t="str">
        <f t="shared" si="232"/>
        <v>まにわ社協だより</v>
      </c>
      <c r="C4666" t="str">
        <f>"マニワ シャキョウ ダヨリ"</f>
        <v>マニワ シャキョウ ダヨリ</v>
      </c>
      <c r="D4666" t="str">
        <f>"真庭市社会福祉協議会"</f>
        <v>真庭市社会福祉協議会</v>
      </c>
      <c r="E4666" t="str">
        <f>"マニワシ シャカイ フクシ キョウギカイ"</f>
        <v>マニワシ シャカイ フクシ キョウギカイ</v>
      </c>
      <c r="F4666" t="str">
        <f>"真庭"</f>
        <v>真庭</v>
      </c>
      <c r="G4666" t="str">
        <f>"頻度不明"</f>
        <v>頻度不明</v>
      </c>
      <c r="H4666" t="str">
        <f>"2002222334969"</f>
        <v>2002222334969</v>
      </c>
      <c r="I4666" t="str">
        <f>HYPERLINK("#", "https://opac.libnet.pref.okayama.jp/licsxp-opac/WOpacMsgNewListToTifTilDetailAction.do?tilcod=2002222334969")</f>
        <v>https://opac.libnet.pref.okayama.jp/licsxp-opac/WOpacMsgNewListToTifTilDetailAction.do?tilcod=2002222334969</v>
      </c>
    </row>
    <row r="4667" spans="1:9" x14ac:dyDescent="0.4">
      <c r="A4667" t="str">
        <f>"真庭商工会会報"</f>
        <v>真庭商工会会報</v>
      </c>
      <c r="B4667" s="1" t="str">
        <f t="shared" si="232"/>
        <v>真庭商工会会報</v>
      </c>
      <c r="C4667" t="str">
        <f>"マニワ ショウコウカイ カイホウ"</f>
        <v>マニワ ショウコウカイ カイホウ</v>
      </c>
      <c r="D4667" t="str">
        <f>"真庭商工会"</f>
        <v>真庭商工会</v>
      </c>
      <c r="E4667" t="str">
        <f>"マニワ ショウコウカイ"</f>
        <v>マニワ ショウコウカイ</v>
      </c>
      <c r="F4667" t="str">
        <f>"真庭"</f>
        <v>真庭</v>
      </c>
      <c r="G4667" t="str">
        <f>"年２回刊"</f>
        <v>年２回刊</v>
      </c>
      <c r="H4667" t="str">
        <f>"2002222334748"</f>
        <v>2002222334748</v>
      </c>
      <c r="I4667" t="str">
        <f>HYPERLINK("#", "https://opac.libnet.pref.okayama.jp/licsxp-opac/WOpacMsgNewListToTifTilDetailAction.do?tilcod=2002222334748")</f>
        <v>https://opac.libnet.pref.okayama.jp/licsxp-opac/WOpacMsgNewListToTifTilDetailAction.do?tilcod=2002222334748</v>
      </c>
    </row>
    <row r="4668" spans="1:9" x14ac:dyDescent="0.4">
      <c r="A4668" t="str">
        <f>"真庭タイムス"</f>
        <v>真庭タイムス</v>
      </c>
      <c r="B4668" s="1" t="str">
        <f t="shared" si="232"/>
        <v>真庭タイムス</v>
      </c>
      <c r="C4668" t="str">
        <f>"マニワ　タイムス"</f>
        <v>マニワ　タイムス</v>
      </c>
      <c r="D4668" t="str">
        <f>"真庭タイムス社"</f>
        <v>真庭タイムス社</v>
      </c>
      <c r="E4668" t="str">
        <f>"マニワタイムスシャ"</f>
        <v>マニワタイムスシャ</v>
      </c>
      <c r="F4668" t="str">
        <f>"久世町（真庭郡）"</f>
        <v>久世町（真庭郡）</v>
      </c>
      <c r="G4668" t="str">
        <f>"週刊"</f>
        <v>週刊</v>
      </c>
      <c r="H4668" t="str">
        <f>"2002222300973"</f>
        <v>2002222300973</v>
      </c>
      <c r="I4668" t="str">
        <f>HYPERLINK("#", "https://opac.libnet.pref.okayama.jp/licsxp-opac/WOpacMsgNewListToTifTilDetailAction.do?tilcod=2002222300973")</f>
        <v>https://opac.libnet.pref.okayama.jp/licsxp-opac/WOpacMsgNewListToTifTilDetailAction.do?tilcod=2002222300973</v>
      </c>
    </row>
    <row r="4669" spans="1:9" x14ac:dyDescent="0.4">
      <c r="A4669" t="str">
        <f>"真庭市イベント情報"</f>
        <v>真庭市イベント情報</v>
      </c>
      <c r="B4669" s="1" t="str">
        <f t="shared" si="232"/>
        <v>真庭市イベント情報</v>
      </c>
      <c r="C4669" t="str">
        <f>"マニワシ　イベント　ジョウホウ"</f>
        <v>マニワシ　イベント　ジョウホウ</v>
      </c>
      <c r="D4669" t="str">
        <f>"真庭市役所産業政策課"</f>
        <v>真庭市役所産業政策課</v>
      </c>
      <c r="E4669" t="str">
        <f>"マニワ シヤクショ サンギョウ セイサクカ"</f>
        <v>マニワ シヤクショ サンギョウ セイサクカ</v>
      </c>
      <c r="F4669" t="str">
        <f>"真庭"</f>
        <v>真庭</v>
      </c>
      <c r="G4669" t="str">
        <f>"季刊"</f>
        <v>季刊</v>
      </c>
      <c r="H4669" t="str">
        <f>"2002222302273"</f>
        <v>2002222302273</v>
      </c>
      <c r="I4669" t="str">
        <f>HYPERLINK("#", "https://opac.libnet.pref.okayama.jp/licsxp-opac/WOpacMsgNewListToTifTilDetailAction.do?tilcod=2002222302273")</f>
        <v>https://opac.libnet.pref.okayama.jp/licsxp-opac/WOpacMsgNewListToTifTilDetailAction.do?tilcod=2002222302273</v>
      </c>
    </row>
    <row r="4670" spans="1:9" x14ac:dyDescent="0.4">
      <c r="A4670" t="str">
        <f>"真庭市議会広報まにわ"</f>
        <v>真庭市議会広報まにわ</v>
      </c>
      <c r="B4670" s="1" t="str">
        <f t="shared" si="232"/>
        <v>真庭市議会広報まにわ</v>
      </c>
      <c r="C4670" t="str">
        <f>"マニワシ ギカイ コウホウ マニワ"</f>
        <v>マニワシ ギカイ コウホウ マニワ</v>
      </c>
      <c r="D4670" t="str">
        <f>"真庭市議会"</f>
        <v>真庭市議会</v>
      </c>
      <c r="E4670" t="str">
        <f>"マニワシギカイ"</f>
        <v>マニワシギカイ</v>
      </c>
      <c r="F4670" t="str">
        <f>"真庭"</f>
        <v>真庭</v>
      </c>
      <c r="G4670" t="str">
        <f>"季刊"</f>
        <v>季刊</v>
      </c>
      <c r="H4670" t="str">
        <f>"2002222341630"</f>
        <v>2002222341630</v>
      </c>
      <c r="I4670" t="str">
        <f>HYPERLINK("#", "https://opac.libnet.pref.okayama.jp/licsxp-opac/WOpacMsgNewListToTifTilDetailAction.do?tilcod=2002222341630")</f>
        <v>https://opac.libnet.pref.okayama.jp/licsxp-opac/WOpacMsgNewListToTifTilDetailAction.do?tilcod=2002222341630</v>
      </c>
    </row>
    <row r="4671" spans="1:9" x14ac:dyDescent="0.4">
      <c r="A4671" t="str">
        <f>"真庭市議会だより"</f>
        <v>真庭市議会だより</v>
      </c>
      <c r="B4671" s="1" t="str">
        <f t="shared" si="232"/>
        <v>真庭市議会だより</v>
      </c>
      <c r="C4671" t="str">
        <f>"マニワシ　ギカイ　ダヨリ"</f>
        <v>マニワシ　ギカイ　ダヨリ</v>
      </c>
      <c r="D4671" t="str">
        <f>"真庭市議会"</f>
        <v>真庭市議会</v>
      </c>
      <c r="E4671" t="str">
        <f>"マニワシギカイ"</f>
        <v>マニワシギカイ</v>
      </c>
      <c r="F4671" t="str">
        <f>"真庭"</f>
        <v>真庭</v>
      </c>
      <c r="G4671" t="str">
        <f>"季刊"</f>
        <v>季刊</v>
      </c>
      <c r="H4671" t="str">
        <f>"2002222301382"</f>
        <v>2002222301382</v>
      </c>
      <c r="I4671" t="str">
        <f>HYPERLINK("#", "https://opac.libnet.pref.okayama.jp/licsxp-opac/WOpacMsgNewListToTifTilDetailAction.do?tilcod=2002222301382")</f>
        <v>https://opac.libnet.pref.okayama.jp/licsxp-opac/WOpacMsgNewListToTifTilDetailAction.do?tilcod=2002222301382</v>
      </c>
    </row>
    <row r="4672" spans="1:9" x14ac:dyDescent="0.4">
      <c r="A4672" t="str">
        <f>"真庭市生涯学習通信"</f>
        <v>真庭市生涯学習通信</v>
      </c>
      <c r="B4672" s="1" t="str">
        <f t="shared" si="232"/>
        <v>真庭市生涯学習通信</v>
      </c>
      <c r="C4672" t="str">
        <f>"マニワシ ショウガイ ガクシュウ ツウシン"</f>
        <v>マニワシ ショウガイ ガクシュウ ツウシン</v>
      </c>
      <c r="D4672" t="str">
        <f>"真庭市教育委員会生涯学習課"</f>
        <v>真庭市教育委員会生涯学習課</v>
      </c>
      <c r="E4672" t="str">
        <f>"マニワシ キョウイク イインカイ ショウガイ ガクシュウカ"</f>
        <v>マニワシ キョウイク イインカイ ショウガイ ガクシュウカ</v>
      </c>
      <c r="F4672" t="str">
        <f>"真庭"</f>
        <v>真庭</v>
      </c>
      <c r="G4672" t="str">
        <f>"年刊"</f>
        <v>年刊</v>
      </c>
      <c r="H4672" t="str">
        <f>"2002222334968"</f>
        <v>2002222334968</v>
      </c>
      <c r="I4672" t="str">
        <f>HYPERLINK("#", "https://opac.libnet.pref.okayama.jp/licsxp-opac/WOpacMsgNewListToTifTilDetailAction.do?tilcod=2002222334968")</f>
        <v>https://opac.libnet.pref.okayama.jp/licsxp-opac/WOpacMsgNewListToTifTilDetailAction.do?tilcod=2002222334968</v>
      </c>
    </row>
    <row r="4673" spans="1:9" x14ac:dyDescent="0.4">
      <c r="A4673" t="str">
        <f>"まにわっ子ニュース"</f>
        <v>まにわっ子ニュース</v>
      </c>
      <c r="B4673" s="1" t="str">
        <f t="shared" si="232"/>
        <v>まにわっ子ニュース</v>
      </c>
      <c r="C4673" t="str">
        <f>"マニワッコ　ニュース"</f>
        <v>マニワッコ　ニュース</v>
      </c>
      <c r="D4673" t="str">
        <f>"まにわ子ども情報センター"</f>
        <v>まにわ子ども情報センター</v>
      </c>
      <c r="E4673" t="str">
        <f>"マニワコドモジョウホウセンター"</f>
        <v>マニワコドモジョウホウセンター</v>
      </c>
      <c r="F4673" t="str">
        <f>""</f>
        <v/>
      </c>
      <c r="G4673" t="str">
        <f>"頻度不明"</f>
        <v>頻度不明</v>
      </c>
      <c r="H4673" t="str">
        <f>"2002222285801"</f>
        <v>2002222285801</v>
      </c>
      <c r="I4673" t="str">
        <f>HYPERLINK("#", "https://opac.libnet.pref.okayama.jp/licsxp-opac/WOpacMsgNewListToTifTilDetailAction.do?tilcod=2002222285801")</f>
        <v>https://opac.libnet.pref.okayama.jp/licsxp-opac/WOpacMsgNewListToTifTilDetailAction.do?tilcod=2002222285801</v>
      </c>
    </row>
    <row r="4674" spans="1:9" x14ac:dyDescent="0.4">
      <c r="A4674" t="str">
        <f>"まねき新聞；満祢来新聞"</f>
        <v>まねき新聞；満祢来新聞</v>
      </c>
      <c r="B4674" s="1" t="str">
        <f t="shared" si="232"/>
        <v>まねき新聞；満祢来新聞</v>
      </c>
      <c r="C4674" t="str">
        <f>"マネキ シンブン"</f>
        <v>マネキ シンブン</v>
      </c>
      <c r="D4674" t="str">
        <f>"山陽新報社"</f>
        <v>山陽新報社</v>
      </c>
      <c r="E4674" t="str">
        <f>"サンヨウ シンポウシャ"</f>
        <v>サンヨウ シンポウシャ</v>
      </c>
      <c r="F4674" t="str">
        <f>"岡山"</f>
        <v>岡山</v>
      </c>
      <c r="G4674" t="str">
        <f>"日刊"</f>
        <v>日刊</v>
      </c>
      <c r="H4674" t="str">
        <f>"2002222301074"</f>
        <v>2002222301074</v>
      </c>
      <c r="I4674" t="str">
        <f>HYPERLINK("#", "https://opac.libnet.pref.okayama.jp/licsxp-opac/WOpacMsgNewListToTifTilDetailAction.do?tilcod=2002222301074")</f>
        <v>https://opac.libnet.pref.okayama.jp/licsxp-opac/WOpacMsgNewListToTifTilDetailAction.do?tilcod=2002222301074</v>
      </c>
    </row>
    <row r="4675" spans="1:9" x14ac:dyDescent="0.4">
      <c r="A4675" t="str">
        <f>"真備会館だより"</f>
        <v>真備会館だより</v>
      </c>
      <c r="B4675" s="1" t="str">
        <f t="shared" si="232"/>
        <v>真備会館だより</v>
      </c>
      <c r="C4675" t="str">
        <f>"マビ　カイカン　ダヨリ"</f>
        <v>マビ　カイカン　ダヨリ</v>
      </c>
      <c r="D4675" t="str">
        <f>"真備町"</f>
        <v>真備町</v>
      </c>
      <c r="E4675" t="str">
        <f>"マビチョウ"</f>
        <v>マビチョウ</v>
      </c>
      <c r="F4675" t="str">
        <f>"真備町（吉備郡）"</f>
        <v>真備町（吉備郡）</v>
      </c>
      <c r="G4675" t="str">
        <f>"頻度不明"</f>
        <v>頻度不明</v>
      </c>
      <c r="H4675" t="str">
        <f>"2002222281411"</f>
        <v>2002222281411</v>
      </c>
      <c r="I4675" t="str">
        <f>HYPERLINK("#", "https://opac.libnet.pref.okayama.jp/licsxp-opac/WOpacMsgNewListToTifTilDetailAction.do?tilcod=2002222281411")</f>
        <v>https://opac.libnet.pref.okayama.jp/licsxp-opac/WOpacMsgNewListToTifTilDetailAction.do?tilcod=2002222281411</v>
      </c>
    </row>
    <row r="4676" spans="1:9" x14ac:dyDescent="0.4">
      <c r="A4676" t="str">
        <f>"まび復興だより"</f>
        <v>まび復興だより</v>
      </c>
      <c r="B4676" s="1" t="str">
        <f t="shared" ref="B4676:B4739" si="233">HYPERLINK("#", A4676)</f>
        <v>まび復興だより</v>
      </c>
      <c r="C4676" t="str">
        <f>"マビ フッコウ ダヨリ"</f>
        <v>マビ フッコウ ダヨリ</v>
      </c>
      <c r="D4676" t="str">
        <f>"倉敷市くらしき情報発信課"</f>
        <v>倉敷市くらしき情報発信課</v>
      </c>
      <c r="E4676" t="str">
        <f>"クラシキシ クラシキ ジョウホウ ハッシンカ"</f>
        <v>クラシキシ クラシキ ジョウホウ ハッシンカ</v>
      </c>
      <c r="F4676" t="str">
        <f>"倉敷"</f>
        <v>倉敷</v>
      </c>
      <c r="G4676" t="str">
        <f>"月刊"</f>
        <v>月刊</v>
      </c>
      <c r="H4676" t="str">
        <f>"2002222336430"</f>
        <v>2002222336430</v>
      </c>
      <c r="I4676" t="str">
        <f>HYPERLINK("#", "https://opac.libnet.pref.okayama.jp/licsxp-opac/WOpacMsgNewListToTifTilDetailAction.do?tilcod=2002222336430")</f>
        <v>https://opac.libnet.pref.okayama.jp/licsxp-opac/WOpacMsgNewListToTifTilDetailAction.do?tilcod=2002222336430</v>
      </c>
    </row>
    <row r="4677" spans="1:9" x14ac:dyDescent="0.4">
      <c r="A4677" t="str">
        <f>"MABI PAPER"</f>
        <v>MABI PAPER</v>
      </c>
      <c r="B4677" s="1" t="str">
        <f t="shared" si="233"/>
        <v>MABI PAPER</v>
      </c>
      <c r="C4677" t="str">
        <f>"マビ ペーパー"</f>
        <v>マビ ペーパー</v>
      </c>
      <c r="D4677" t="str">
        <f>"#おかやまJKnote"</f>
        <v>#おかやまJKnote</v>
      </c>
      <c r="E4677" t="str">
        <f>"ハッシュタグ オカヤマ ジェーケー ノート"</f>
        <v>ハッシュタグ オカヤマ ジェーケー ノート</v>
      </c>
      <c r="F4677" t="str">
        <f>""</f>
        <v/>
      </c>
      <c r="G4677" t="str">
        <f>"月２回刊"</f>
        <v>月２回刊</v>
      </c>
      <c r="H4677" t="str">
        <f>"2002222332566"</f>
        <v>2002222332566</v>
      </c>
      <c r="I4677" t="str">
        <f>HYPERLINK("#", "https://opac.libnet.pref.okayama.jp/licsxp-opac/WOpacMsgNewListToTifTilDetailAction.do?tilcod=2002222332566")</f>
        <v>https://opac.libnet.pref.okayama.jp/licsxp-opac/WOpacMsgNewListToTifTilDetailAction.do?tilcod=2002222332566</v>
      </c>
    </row>
    <row r="4678" spans="1:9" x14ac:dyDescent="0.4">
      <c r="A4678" t="str">
        <f>"真備町議会だより"</f>
        <v>真備町議会だより</v>
      </c>
      <c r="B4678" s="1" t="str">
        <f t="shared" si="233"/>
        <v>真備町議会だより</v>
      </c>
      <c r="C4678" t="str">
        <f>"マビチヨウ　ギカイ　ダヨリ"</f>
        <v>マビチヨウ　ギカイ　ダヨリ</v>
      </c>
      <c r="D4678" t="str">
        <f>"岡山県真備町議会"</f>
        <v>岡山県真備町議会</v>
      </c>
      <c r="E4678" t="str">
        <f>"オカヤマケンマビチヨウギカイ"</f>
        <v>オカヤマケンマビチヨウギカイ</v>
      </c>
      <c r="F4678" t="str">
        <f>"真備町（吉備郡）"</f>
        <v>真備町（吉備郡）</v>
      </c>
      <c r="G4678" t="str">
        <f>"その他"</f>
        <v>その他</v>
      </c>
      <c r="H4678" t="str">
        <f>"2002222293591"</f>
        <v>2002222293591</v>
      </c>
      <c r="I4678" t="str">
        <f>HYPERLINK("#", "https://opac.libnet.pref.okayama.jp/licsxp-opac/WOpacMsgNewListToTifTilDetailAction.do?tilcod=2002222293591")</f>
        <v>https://opac.libnet.pref.okayama.jp/licsxp-opac/WOpacMsgNewListToTifTilDetailAction.do?tilcod=2002222293591</v>
      </c>
    </row>
    <row r="4679" spans="1:9" x14ac:dyDescent="0.4">
      <c r="A4679" t="str">
        <f>"マルセン"</f>
        <v>マルセン</v>
      </c>
      <c r="B4679" s="1" t="str">
        <f t="shared" si="233"/>
        <v>マルセン</v>
      </c>
      <c r="C4679" t="str">
        <f>"マルセン"</f>
        <v>マルセン</v>
      </c>
      <c r="D4679" t="str">
        <f>"マルセンスポーツ・文化振興財団"</f>
        <v>マルセンスポーツ・文化振興財団</v>
      </c>
      <c r="E4679" t="str">
        <f>"マルセンスポーツブンカシンコウザイダン"</f>
        <v>マルセンスポーツブンカシンコウザイダン</v>
      </c>
      <c r="F4679" t="str">
        <f>"岡山"</f>
        <v>岡山</v>
      </c>
      <c r="G4679" t="str">
        <f>"年刊"</f>
        <v>年刊</v>
      </c>
      <c r="H4679" t="str">
        <f>"2002222300367"</f>
        <v>2002222300367</v>
      </c>
      <c r="I4679" t="str">
        <f>HYPERLINK("#", "https://opac.libnet.pref.okayama.jp/licsxp-opac/WOpacMsgNewListToTifTilDetailAction.do?tilcod=2002222300367")</f>
        <v>https://opac.libnet.pref.okayama.jp/licsxp-opac/WOpacMsgNewListToTifTilDetailAction.do?tilcod=2002222300367</v>
      </c>
    </row>
    <row r="4680" spans="1:9" x14ac:dyDescent="0.4">
      <c r="A4680" t="str">
        <f>"丸之内"</f>
        <v>丸之内</v>
      </c>
      <c r="B4680" s="1" t="str">
        <f t="shared" si="233"/>
        <v>丸之内</v>
      </c>
      <c r="C4680" t="str">
        <f>"マルノウチ"</f>
        <v>マルノウチ</v>
      </c>
      <c r="D4680" t="str">
        <f>"岡山市立丸之内中学校"</f>
        <v>岡山市立丸之内中学校</v>
      </c>
      <c r="E4680" t="str">
        <f>"オカヤマシリツ マルノウチ チュウガッコウ"</f>
        <v>オカヤマシリツ マルノウチ チュウガッコウ</v>
      </c>
      <c r="F4680" t="str">
        <f>"岡山"</f>
        <v>岡山</v>
      </c>
      <c r="G4680" t="str">
        <f>"頻度不明"</f>
        <v>頻度不明</v>
      </c>
      <c r="H4680" t="str">
        <f>"2002222286133"</f>
        <v>2002222286133</v>
      </c>
      <c r="I4680" t="str">
        <f>HYPERLINK("#", "https://opac.libnet.pref.okayama.jp/licsxp-opac/WOpacMsgNewListToTifTilDetailAction.do?tilcod=2002222286133")</f>
        <v>https://opac.libnet.pref.okayama.jp/licsxp-opac/WOpacMsgNewListToTifTilDetailAction.do?tilcod=2002222286133</v>
      </c>
    </row>
    <row r="4681" spans="1:9" x14ac:dyDescent="0.4">
      <c r="A4681" t="str">
        <f>"まんさく"</f>
        <v>まんさく</v>
      </c>
      <c r="B4681" s="1" t="str">
        <f t="shared" si="233"/>
        <v>まんさく</v>
      </c>
      <c r="C4681" t="str">
        <f>"マンサク"</f>
        <v>マンサク</v>
      </c>
      <c r="D4681" t="str">
        <f>"吉備博物同好会"</f>
        <v>吉備博物同好会</v>
      </c>
      <c r="E4681" t="str">
        <f>"キビハクブツドウコウカイ"</f>
        <v>キビハクブツドウコウカイ</v>
      </c>
      <c r="F4681" t="str">
        <f>""</f>
        <v/>
      </c>
      <c r="G4681" t="str">
        <f>"頻度不明"</f>
        <v>頻度不明</v>
      </c>
      <c r="H4681" t="str">
        <f>"2002222286143"</f>
        <v>2002222286143</v>
      </c>
      <c r="I4681" t="str">
        <f>HYPERLINK("#", "https://opac.libnet.pref.okayama.jp/licsxp-opac/WOpacMsgNewListToTifTilDetailAction.do?tilcod=2002222286143")</f>
        <v>https://opac.libnet.pref.okayama.jp/licsxp-opac/WOpacMsgNewListToTifTilDetailAction.do?tilcod=2002222286143</v>
      </c>
    </row>
    <row r="4682" spans="1:9" x14ac:dyDescent="0.4">
      <c r="A4682" t="str">
        <f>"まんさく"</f>
        <v>まんさく</v>
      </c>
      <c r="B4682" s="1" t="str">
        <f t="shared" si="233"/>
        <v>まんさく</v>
      </c>
      <c r="C4682" t="str">
        <f>"マンサク"</f>
        <v>マンサク</v>
      </c>
      <c r="D4682" t="str">
        <f>"新見公立大学・短期大学"</f>
        <v>新見公立大学・短期大学</v>
      </c>
      <c r="E4682" t="str">
        <f>"ニイミ コウリツ ダイガク タンキ ダイガク"</f>
        <v>ニイミ コウリツ ダイガク タンキ ダイガク</v>
      </c>
      <c r="F4682" t="str">
        <f>"新見"</f>
        <v>新見</v>
      </c>
      <c r="G4682" t="str">
        <f>"年２回刊"</f>
        <v>年２回刊</v>
      </c>
      <c r="H4682" t="str">
        <f>"2002222302425"</f>
        <v>2002222302425</v>
      </c>
      <c r="I4682" t="str">
        <f>HYPERLINK("#", "https://opac.libnet.pref.okayama.jp/licsxp-opac/WOpacMsgNewListToTifTilDetailAction.do?tilcod=2002222302425")</f>
        <v>https://opac.libnet.pref.okayama.jp/licsxp-opac/WOpacMsgNewListToTifTilDetailAction.do?tilcod=2002222302425</v>
      </c>
    </row>
    <row r="4683" spans="1:9" x14ac:dyDescent="0.4">
      <c r="A4683" t="str">
        <f>"マンスリー瀬戸内"</f>
        <v>マンスリー瀬戸内</v>
      </c>
      <c r="B4683" s="1" t="str">
        <f t="shared" si="233"/>
        <v>マンスリー瀬戸内</v>
      </c>
      <c r="C4683" t="str">
        <f>"マンスリー　セトウチ"</f>
        <v>マンスリー　セトウチ</v>
      </c>
      <c r="D4683" t="str">
        <f>"マンスリー瀬戸内社"</f>
        <v>マンスリー瀬戸内社</v>
      </c>
      <c r="E4683" t="str">
        <f>"マンスリーセトウチシャ"</f>
        <v>マンスリーセトウチシャ</v>
      </c>
      <c r="F4683" t="str">
        <f>""</f>
        <v/>
      </c>
      <c r="G4683" t="str">
        <f>"頻度不明"</f>
        <v>頻度不明</v>
      </c>
      <c r="H4683" t="str">
        <f>"2002222286153"</f>
        <v>2002222286153</v>
      </c>
      <c r="I4683" t="str">
        <f>HYPERLINK("#", "https://opac.libnet.pref.okayama.jp/licsxp-opac/WOpacMsgNewListToTifTilDetailAction.do?tilcod=2002222286153")</f>
        <v>https://opac.libnet.pref.okayama.jp/licsxp-opac/WOpacMsgNewListToTifTilDetailAction.do?tilcod=2002222286153</v>
      </c>
    </row>
    <row r="4684" spans="1:9" x14ac:dyDescent="0.4">
      <c r="A4684" t="str">
        <f>"MONTHLY SELVA"</f>
        <v>MONTHLY SELVA</v>
      </c>
      <c r="B4684" s="1" t="str">
        <f t="shared" si="233"/>
        <v>MONTHLY SELVA</v>
      </c>
      <c r="C4684" t="str">
        <f>"マンスリー セルバ"</f>
        <v>マンスリー セルバ</v>
      </c>
      <c r="D4684" t="str">
        <f>"SELVA"</f>
        <v>SELVA</v>
      </c>
      <c r="E4684" t="str">
        <f>"セルバ"</f>
        <v>セルバ</v>
      </c>
      <c r="F4684" t="str">
        <f>"岡山"</f>
        <v>岡山</v>
      </c>
      <c r="G4684" t="str">
        <f>"月刊"</f>
        <v>月刊</v>
      </c>
      <c r="H4684" t="str">
        <f>"2002222341270"</f>
        <v>2002222341270</v>
      </c>
      <c r="I4684" t="str">
        <f>HYPERLINK("#", "https://opac.libnet.pref.okayama.jp/licsxp-opac/WOpacMsgNewListToTifTilDetailAction.do?tilcod=2002222341270")</f>
        <v>https://opac.libnet.pref.okayama.jp/licsxp-opac/WOpacMsgNewListToTifTilDetailAction.do?tilcod=2002222341270</v>
      </c>
    </row>
    <row r="4685" spans="1:9" x14ac:dyDescent="0.4">
      <c r="A4685" t="str">
        <f>"ＭＯＮＴＨＬＹ　ＲＥＰＯＲＴ（マンスリーリポート）；東瀬戸内をつなぐ経済情報誌"</f>
        <v>ＭＯＮＴＨＬＹ　ＲＥＰＯＲＴ（マンスリーリポート）；東瀬戸内をつなぐ経済情報誌</v>
      </c>
      <c r="B4685" s="1" t="str">
        <f t="shared" si="233"/>
        <v>ＭＯＮＴＨＬＹ　ＲＥＰＯＲＴ（マンスリーリポート）；東瀬戸内をつなぐ経済情報誌</v>
      </c>
      <c r="C4685" t="str">
        <f>"マンスリー　リポート＊ヒガシセトウチ　オ　ツナグ　ケイザイ　ジョウホウシ"</f>
        <v>マンスリー　リポート＊ヒガシセトウチ　オ　ツナグ　ケイザイ　ジョウホウシ</v>
      </c>
      <c r="D4685" t="str">
        <f>"岡山経済研究所"</f>
        <v>岡山経済研究所</v>
      </c>
      <c r="E4685" t="str">
        <f>"オカヤマケイザイケンキュウショ"</f>
        <v>オカヤマケイザイケンキュウショ</v>
      </c>
      <c r="F4685" t="str">
        <f>"岡山"</f>
        <v>岡山</v>
      </c>
      <c r="G4685" t="str">
        <f>"月刊"</f>
        <v>月刊</v>
      </c>
      <c r="H4685" t="str">
        <f>"2002222302135"</f>
        <v>2002222302135</v>
      </c>
      <c r="I4685" t="str">
        <f>HYPERLINK("#", "https://opac.libnet.pref.okayama.jp/licsxp-opac/WOpacMsgNewListToTifTilDetailAction.do?tilcod=2002222302135")</f>
        <v>https://opac.libnet.pref.okayama.jp/licsxp-opac/WOpacMsgNewListToTifTilDetailAction.do?tilcod=2002222302135</v>
      </c>
    </row>
    <row r="4686" spans="1:9" x14ac:dyDescent="0.4">
      <c r="A4686" t="str">
        <f>"満天星句集"</f>
        <v>満天星句集</v>
      </c>
      <c r="B4686" s="1" t="str">
        <f t="shared" si="233"/>
        <v>満天星句集</v>
      </c>
      <c r="C4686" t="str">
        <f>"マンテンボシ　クシュウ"</f>
        <v>マンテンボシ　クシュウ</v>
      </c>
      <c r="D4686" t="str">
        <f>"天満屋従業員組合文化部"</f>
        <v>天満屋従業員組合文化部</v>
      </c>
      <c r="E4686" t="str">
        <f>"テンマヤジュウギョウインクミアイブンカブ"</f>
        <v>テンマヤジュウギョウインクミアイブンカブ</v>
      </c>
      <c r="F4686" t="str">
        <f>""</f>
        <v/>
      </c>
      <c r="G4686" t="str">
        <f>"年刊"</f>
        <v>年刊</v>
      </c>
      <c r="H4686" t="str">
        <f>"2002222286163"</f>
        <v>2002222286163</v>
      </c>
      <c r="I4686" t="str">
        <f>HYPERLINK("#", "https://opac.libnet.pref.okayama.jp/licsxp-opac/WOpacMsgNewListToTifTilDetailAction.do?tilcod=2002222286163")</f>
        <v>https://opac.libnet.pref.okayama.jp/licsxp-opac/WOpacMsgNewListToTifTilDetailAction.do?tilcod=2002222286163</v>
      </c>
    </row>
    <row r="4687" spans="1:9" x14ac:dyDescent="0.4">
      <c r="A4687" t="str">
        <f>"まんまるとイギーがいくGO GO JINJA"</f>
        <v>まんまるとイギーがいくGO GO JINJA</v>
      </c>
      <c r="B4687" s="1" t="str">
        <f t="shared" si="233"/>
        <v>まんまるとイギーがいくGO GO JINJA</v>
      </c>
      <c r="C4687" t="str">
        <f>"マンマル ト イギー ガ イク ゴー ゴー ジンジャ"</f>
        <v>マンマル ト イギー ガ イク ゴー ゴー ジンジャ</v>
      </c>
      <c r="D4687" t="str">
        <f>"manmaru laboratorio"</f>
        <v>manmaru laboratorio</v>
      </c>
      <c r="E4687" t="str">
        <f>"マンマル ラボラトリオ"</f>
        <v>マンマル ラボラトリオ</v>
      </c>
      <c r="F4687" t="str">
        <f>"岡山"</f>
        <v>岡山</v>
      </c>
      <c r="G4687" t="str">
        <f>"不定期刊"</f>
        <v>不定期刊</v>
      </c>
      <c r="H4687" t="str">
        <f>"2002222319874"</f>
        <v>2002222319874</v>
      </c>
      <c r="I4687" t="str">
        <f>HYPERLINK("#", "https://opac.libnet.pref.okayama.jp/licsxp-opac/WOpacMsgNewListToTifTilDetailAction.do?tilcod=2002222319874")</f>
        <v>https://opac.libnet.pref.okayama.jp/licsxp-opac/WOpacMsgNewListToTifTilDetailAction.do?tilcod=2002222319874</v>
      </c>
    </row>
    <row r="4688" spans="1:9" x14ac:dyDescent="0.4">
      <c r="A4688" t="str">
        <f>"万葉研究"</f>
        <v>万葉研究</v>
      </c>
      <c r="B4688" s="1" t="str">
        <f t="shared" si="233"/>
        <v>万葉研究</v>
      </c>
      <c r="C4688" t="str">
        <f>"マンヨウ　ケンキュウ"</f>
        <v>マンヨウ　ケンキュウ</v>
      </c>
      <c r="D4688" t="str">
        <f>"岡山万葉学会"</f>
        <v>岡山万葉学会</v>
      </c>
      <c r="E4688" t="str">
        <f>"オカヤママンヨウガッカイ"</f>
        <v>オカヤママンヨウガッカイ</v>
      </c>
      <c r="F4688" t="str">
        <f>""</f>
        <v/>
      </c>
      <c r="G4688" t="str">
        <f>"頻度不明"</f>
        <v>頻度不明</v>
      </c>
      <c r="H4688" t="str">
        <f>"2002222286173"</f>
        <v>2002222286173</v>
      </c>
      <c r="I4688" t="str">
        <f>HYPERLINK("#", "https://opac.libnet.pref.okayama.jp/licsxp-opac/WOpacMsgNewListToTifTilDetailAction.do?tilcod=2002222286173")</f>
        <v>https://opac.libnet.pref.okayama.jp/licsxp-opac/WOpacMsgNewListToTifTilDetailAction.do?tilcod=2002222286173</v>
      </c>
    </row>
    <row r="4689" spans="1:9" x14ac:dyDescent="0.4">
      <c r="A4689" t="str">
        <f>"Ｍｅｍｅ（ミーム）"</f>
        <v>Ｍｅｍｅ（ミーム）</v>
      </c>
      <c r="B4689" s="1" t="str">
        <f t="shared" si="233"/>
        <v>Ｍｅｍｅ（ミーム）</v>
      </c>
      <c r="C4689" t="str">
        <f>"ミーム"</f>
        <v>ミーム</v>
      </c>
      <c r="D4689" t="str">
        <f>"岡崎経営事務所"</f>
        <v>岡崎経営事務所</v>
      </c>
      <c r="E4689" t="str">
        <f>"オカザキケイエイジムショ"</f>
        <v>オカザキケイエイジムショ</v>
      </c>
      <c r="F4689" t="str">
        <f>""</f>
        <v/>
      </c>
      <c r="G4689" t="str">
        <f>"隔月刊"</f>
        <v>隔月刊</v>
      </c>
      <c r="H4689" t="str">
        <f>"2002222286413"</f>
        <v>2002222286413</v>
      </c>
      <c r="I4689" t="str">
        <f>HYPERLINK("#", "https://opac.libnet.pref.okayama.jp/licsxp-opac/WOpacMsgNewListToTifTilDetailAction.do?tilcod=2002222286413")</f>
        <v>https://opac.libnet.pref.okayama.jp/licsxp-opac/WOpacMsgNewListToTifTilDetailAction.do?tilcod=2002222286413</v>
      </c>
    </row>
    <row r="4690" spans="1:9" x14ac:dyDescent="0.4">
      <c r="A4690" t="str">
        <f>"Ｍｉｅｌ（ミエル）；フリーマガジンミエル"</f>
        <v>Ｍｉｅｌ（ミエル）；フリーマガジンミエル</v>
      </c>
      <c r="B4690" s="1" t="str">
        <f t="shared" si="233"/>
        <v>Ｍｉｅｌ（ミエル）；フリーマガジンミエル</v>
      </c>
      <c r="C4690" t="str">
        <f>"ミエル＊フリー　マガジン　ミエル"</f>
        <v>ミエル＊フリー　マガジン　ミエル</v>
      </c>
      <c r="D4690" t="str">
        <f>"〔ミエル編集部〕"</f>
        <v>〔ミエル編集部〕</v>
      </c>
      <c r="E4690" t="str">
        <f>"ミエル　ヘンシュウブ"</f>
        <v>ミエル　ヘンシュウブ</v>
      </c>
      <c r="F4690" t="str">
        <f>"［岡山］"</f>
        <v>［岡山］</v>
      </c>
      <c r="G4690" t="str">
        <f>"月刊"</f>
        <v>月刊</v>
      </c>
      <c r="H4690" t="str">
        <f>"2002222302247"</f>
        <v>2002222302247</v>
      </c>
      <c r="I4690" t="str">
        <f>HYPERLINK("#", "https://opac.libnet.pref.okayama.jp/licsxp-opac/WOpacMsgNewListToTifTilDetailAction.do?tilcod=2002222302247")</f>
        <v>https://opac.libnet.pref.okayama.jp/licsxp-opac/WOpacMsgNewListToTifTilDetailAction.do?tilcod=2002222302247</v>
      </c>
    </row>
    <row r="4691" spans="1:9" x14ac:dyDescent="0.4">
      <c r="A4691" t="str">
        <f>"みかげ"</f>
        <v>みかげ</v>
      </c>
      <c r="B4691" s="1" t="str">
        <f t="shared" si="233"/>
        <v>みかげ</v>
      </c>
      <c r="C4691" t="str">
        <f>"ミカゲ"</f>
        <v>ミカゲ</v>
      </c>
      <c r="D4691" t="str">
        <f>"金光教二之樋教会信徒会"</f>
        <v>金光教二之樋教会信徒会</v>
      </c>
      <c r="E4691" t="str">
        <f>"コンコウキョウ ニノトイ キョウカイ シントカイ"</f>
        <v>コンコウキョウ ニノトイ キョウカイ シントカイ</v>
      </c>
      <c r="F4691" t="str">
        <f>"備前"</f>
        <v>備前</v>
      </c>
      <c r="G4691" t="str">
        <f>"頻度不明"</f>
        <v>頻度不明</v>
      </c>
      <c r="H4691" t="str">
        <f>"2002222342631"</f>
        <v>2002222342631</v>
      </c>
      <c r="I4691" t="str">
        <f>HYPERLINK("#", "https://opac.libnet.pref.okayama.jp/licsxp-opac/WOpacMsgNewListToTifTilDetailAction.do?tilcod=2002222342631")</f>
        <v>https://opac.libnet.pref.okayama.jp/licsxp-opac/WOpacMsgNewListToTifTilDetailAction.do?tilcod=2002222342631</v>
      </c>
    </row>
    <row r="4692" spans="1:9" x14ac:dyDescent="0.4">
      <c r="A4692" t="str">
        <f>"ミカド評論"</f>
        <v>ミカド評論</v>
      </c>
      <c r="B4692" s="1" t="str">
        <f t="shared" si="233"/>
        <v>ミカド評論</v>
      </c>
      <c r="C4692" t="str">
        <f>"ミカド　ヒョウロン"</f>
        <v>ミカド　ヒョウロン</v>
      </c>
      <c r="D4692" t="str">
        <f>"ミカド評論社"</f>
        <v>ミカド評論社</v>
      </c>
      <c r="E4692" t="str">
        <f>"ミカドヒョウロンシャ"</f>
        <v>ミカドヒョウロンシャ</v>
      </c>
      <c r="F4692" t="str">
        <f>""</f>
        <v/>
      </c>
      <c r="G4692" t="str">
        <f>"月刊"</f>
        <v>月刊</v>
      </c>
      <c r="H4692" t="str">
        <f>"2002222286183"</f>
        <v>2002222286183</v>
      </c>
      <c r="I4692" t="str">
        <f>HYPERLINK("#", "https://opac.libnet.pref.okayama.jp/licsxp-opac/WOpacMsgNewListToTifTilDetailAction.do?tilcod=2002222286183")</f>
        <v>https://opac.libnet.pref.okayama.jp/licsxp-opac/WOpacMsgNewListToTifTilDetailAction.do?tilcod=2002222286183</v>
      </c>
    </row>
    <row r="4693" spans="1:9" x14ac:dyDescent="0.4">
      <c r="A4693" t="str">
        <f>"みこゑ教会大野伝道所"</f>
        <v>みこゑ教会大野伝道所</v>
      </c>
      <c r="B4693" s="1" t="str">
        <f t="shared" si="233"/>
        <v>みこゑ教会大野伝道所</v>
      </c>
      <c r="C4693" t="str">
        <f>"ミコエ キョウカイ オオノ デンドウ ショ"</f>
        <v>ミコエ キョウカイ オオノ デンドウ ショ</v>
      </c>
      <c r="D4693" t="str">
        <f>"みこゑ教会大野伝道所準備室"</f>
        <v>みこゑ教会大野伝道所準備室</v>
      </c>
      <c r="E4693" t="str">
        <f>"ミコエキョウカイオオノデンドウショジュンビシツ"</f>
        <v>ミコエキョウカイオオノデンドウショジュンビシツ</v>
      </c>
      <c r="F4693" t="str">
        <f>"岡山"</f>
        <v>岡山</v>
      </c>
      <c r="G4693" t="str">
        <f>"週刊"</f>
        <v>週刊</v>
      </c>
      <c r="H4693" t="str">
        <f>"2002222302042"</f>
        <v>2002222302042</v>
      </c>
      <c r="I4693" t="str">
        <f>HYPERLINK("#", "https://opac.libnet.pref.okayama.jp/licsxp-opac/WOpacMsgNewListToTifTilDetailAction.do?tilcod=2002222302042")</f>
        <v>https://opac.libnet.pref.okayama.jp/licsxp-opac/WOpacMsgNewListToTifTilDetailAction.do?tilcod=2002222302042</v>
      </c>
    </row>
    <row r="4694" spans="1:9" x14ac:dyDescent="0.4">
      <c r="A4694" t="str">
        <f>"みさを〔山陽学園同窓会報〕"</f>
        <v>みさを〔山陽学園同窓会報〕</v>
      </c>
      <c r="B4694" s="1" t="str">
        <f t="shared" si="233"/>
        <v>みさを〔山陽学園同窓会報〕</v>
      </c>
      <c r="C4694" t="str">
        <f>"ミサオ"</f>
        <v>ミサオ</v>
      </c>
      <c r="D4694" t="str">
        <f>"山陽学園同窓会"</f>
        <v>山陽学園同窓会</v>
      </c>
      <c r="E4694" t="str">
        <f>"サンヨウ ガクエン ドウソウカイ"</f>
        <v>サンヨウ ガクエン ドウソウカイ</v>
      </c>
      <c r="F4694" t="str">
        <f>"岡山"</f>
        <v>岡山</v>
      </c>
      <c r="G4694" t="str">
        <f>"頻度不明"</f>
        <v>頻度不明</v>
      </c>
      <c r="H4694" t="str">
        <f>"2002222285011"</f>
        <v>2002222285011</v>
      </c>
      <c r="I4694" t="str">
        <f>HYPERLINK("#", "https://opac.libnet.pref.okayama.jp/licsxp-opac/WOpacMsgNewListToTifTilDetailAction.do?tilcod=2002222285011")</f>
        <v>https://opac.libnet.pref.okayama.jp/licsxp-opac/WOpacMsgNewListToTifTilDetailAction.do?tilcod=2002222285011</v>
      </c>
    </row>
    <row r="4695" spans="1:9" x14ac:dyDescent="0.4">
      <c r="A4695" t="str">
        <f>"みさお"</f>
        <v>みさお</v>
      </c>
      <c r="B4695" s="1" t="str">
        <f t="shared" si="233"/>
        <v>みさお</v>
      </c>
      <c r="C4695" t="str">
        <f>"ミサオ"</f>
        <v>ミサオ</v>
      </c>
      <c r="D4695" t="str">
        <f>"湯原内科病院みさお会"</f>
        <v>湯原内科病院みさお会</v>
      </c>
      <c r="E4695" t="str">
        <f>"ユバラナイカビョウインミサオカイ"</f>
        <v>ユバラナイカビョウインミサオカイ</v>
      </c>
      <c r="F4695" t="str">
        <f>""</f>
        <v/>
      </c>
      <c r="G4695" t="str">
        <f>"頻度不明"</f>
        <v>頻度不明</v>
      </c>
      <c r="H4695" t="str">
        <f>"2002222286193"</f>
        <v>2002222286193</v>
      </c>
      <c r="I4695" t="str">
        <f>HYPERLINK("#", "https://opac.libnet.pref.okayama.jp/licsxp-opac/WOpacMsgNewListToTifTilDetailAction.do?tilcod=2002222286193")</f>
        <v>https://opac.libnet.pref.okayama.jp/licsxp-opac/WOpacMsgNewListToTifTilDetailAction.do?tilcod=2002222286193</v>
      </c>
    </row>
    <row r="4696" spans="1:9" x14ac:dyDescent="0.4">
      <c r="A4696" t="str">
        <f>"美佐保"</f>
        <v>美佐保</v>
      </c>
      <c r="B4696" s="1" t="str">
        <f t="shared" si="233"/>
        <v>美佐保</v>
      </c>
      <c r="C4696" t="str">
        <f>"ミサオ"</f>
        <v>ミサオ</v>
      </c>
      <c r="D4696" t="str">
        <f>"[第六高等学校卓球班]"</f>
        <v>[第六高等学校卓球班]</v>
      </c>
      <c r="E4696" t="str">
        <f>"ダイロク コウトウ ガッコウ タッキュウハン"</f>
        <v>ダイロク コウトウ ガッコウ タッキュウハン</v>
      </c>
      <c r="F4696" t="str">
        <f>""</f>
        <v/>
      </c>
      <c r="G4696" t="str">
        <f>"頻度不明"</f>
        <v>頻度不明</v>
      </c>
      <c r="H4696" t="str">
        <f>"2002222336432"</f>
        <v>2002222336432</v>
      </c>
      <c r="I4696" t="str">
        <f>HYPERLINK("#", "https://opac.libnet.pref.okayama.jp/licsxp-opac/WOpacMsgNewListToTifTilDetailAction.do?tilcod=2002222336432")</f>
        <v>https://opac.libnet.pref.okayama.jp/licsxp-opac/WOpacMsgNewListToTifTilDetailAction.do?tilcod=2002222336432</v>
      </c>
    </row>
    <row r="4697" spans="1:9" x14ac:dyDescent="0.4">
      <c r="A4697" t="str">
        <f>"操"</f>
        <v>操</v>
      </c>
      <c r="B4697" s="1" t="str">
        <f t="shared" si="233"/>
        <v>操</v>
      </c>
      <c r="C4697" t="str">
        <f>"ミサオ"</f>
        <v>ミサオ</v>
      </c>
      <c r="D4697" t="str">
        <f>"岡山県立岡山操山高等学校第三期同期会"</f>
        <v>岡山県立岡山操山高等学校第三期同期会</v>
      </c>
      <c r="E4697" t="str">
        <f>"オカヤマ ケンリツ オカヤマ ソウザン コウトウ ガッコウ ダイ サンキ ドウキ カイ"</f>
        <v>オカヤマ ケンリツ オカヤマ ソウザン コウトウ ガッコウ ダイ サンキ ドウキ カイ</v>
      </c>
      <c r="F4697" t="str">
        <f>"[岡山]"</f>
        <v>[岡山]</v>
      </c>
      <c r="G4697" t="str">
        <f>"年刊"</f>
        <v>年刊</v>
      </c>
      <c r="H4697" t="str">
        <f>"2002222336708"</f>
        <v>2002222336708</v>
      </c>
      <c r="I4697" t="str">
        <f>HYPERLINK("#", "https://opac.libnet.pref.okayama.jp/licsxp-opac/WOpacMsgNewListToTifTilDetailAction.do?tilcod=2002222336708")</f>
        <v>https://opac.libnet.pref.okayama.jp/licsxp-opac/WOpacMsgNewListToTifTilDetailAction.do?tilcod=2002222336708</v>
      </c>
    </row>
    <row r="4698" spans="1:9" x14ac:dyDescent="0.4">
      <c r="A4698" t="str">
        <f>"みさお〔山陽学園みさお会〕"</f>
        <v>みさお〔山陽学園みさお会〕</v>
      </c>
      <c r="B4698" s="1" t="str">
        <f t="shared" si="233"/>
        <v>みさお〔山陽学園みさお会〕</v>
      </c>
      <c r="C4698" t="str">
        <f>"ミサオ＊サンヨウ　ガクエン　ミサオカイ"</f>
        <v>ミサオ＊サンヨウ　ガクエン　ミサオカイ</v>
      </c>
      <c r="D4698" t="str">
        <f>"山陽学園みさお会"</f>
        <v>山陽学園みさお会</v>
      </c>
      <c r="E4698" t="str">
        <f>"サンヨウガクエンミサオカイ"</f>
        <v>サンヨウガクエンミサオカイ</v>
      </c>
      <c r="F4698" t="str">
        <f t="shared" ref="F4698:F4703" si="234">"岡山"</f>
        <v>岡山</v>
      </c>
      <c r="G4698" t="str">
        <f>"頻度不明"</f>
        <v>頻度不明</v>
      </c>
      <c r="H4698" t="str">
        <f>"2002222281104"</f>
        <v>2002222281104</v>
      </c>
      <c r="I4698" t="str">
        <f>HYPERLINK("#", "https://opac.libnet.pref.okayama.jp/licsxp-opac/WOpacMsgNewListToTifTilDetailAction.do?tilcod=2002222281104")</f>
        <v>https://opac.libnet.pref.okayama.jp/licsxp-opac/WOpacMsgNewListToTifTilDetailAction.do?tilcod=2002222281104</v>
      </c>
    </row>
    <row r="4699" spans="1:9" x14ac:dyDescent="0.4">
      <c r="A4699" t="str">
        <f>"みさを〔山陽高等女学校報国団〕［冊子体］"</f>
        <v>みさを〔山陽高等女学校報国団〕［冊子体］</v>
      </c>
      <c r="B4699" s="1" t="str">
        <f t="shared" si="233"/>
        <v>みさを〔山陽高等女学校報国団〕［冊子体］</v>
      </c>
      <c r="C4699" t="str">
        <f>"ミサオ＊サンヨウ　コウトウ　ジョガッコウ　ホウコクダン"</f>
        <v>ミサオ＊サンヨウ　コウトウ　ジョガッコウ　ホウコクダン</v>
      </c>
      <c r="D4699" t="str">
        <f>"山陽高等女学校報国団"</f>
        <v>山陽高等女学校報国団</v>
      </c>
      <c r="E4699" t="str">
        <f>"サンヨウコウトウジョガッコウホウコクダン"</f>
        <v>サンヨウコウトウジョガッコウホウコクダン</v>
      </c>
      <c r="F4699" t="str">
        <f t="shared" si="234"/>
        <v>岡山</v>
      </c>
      <c r="G4699" t="str">
        <f>"頻度不明"</f>
        <v>頻度不明</v>
      </c>
      <c r="H4699" t="str">
        <f>"2002222281114"</f>
        <v>2002222281114</v>
      </c>
      <c r="I4699" t="str">
        <f>HYPERLINK("#", "https://opac.libnet.pref.okayama.jp/licsxp-opac/WOpacMsgNewListToTifTilDetailAction.do?tilcod=2002222281114")</f>
        <v>https://opac.libnet.pref.okayama.jp/licsxp-opac/WOpacMsgNewListToTifTilDetailAction.do?tilcod=2002222281114</v>
      </c>
    </row>
    <row r="4700" spans="1:9" x14ac:dyDescent="0.4">
      <c r="A4700" t="str">
        <f>"みさを〔山陽高等女学校報国団〕 [新聞版]"</f>
        <v>みさを〔山陽高等女学校報国団〕 [新聞版]</v>
      </c>
      <c r="B4700" s="1" t="str">
        <f t="shared" si="233"/>
        <v>みさを〔山陽高等女学校報国団〕 [新聞版]</v>
      </c>
      <c r="C4700" t="str">
        <f>"ミサオ＊サンヨウ　コウトウ　ジョガッコウ　ホウコクダン  ドウソウカイホウ"</f>
        <v>ミサオ＊サンヨウ　コウトウ　ジョガッコウ　ホウコクダン  ドウソウカイホウ</v>
      </c>
      <c r="D4700" t="str">
        <f>"山陽高等女学校報国団"</f>
        <v>山陽高等女学校報国団</v>
      </c>
      <c r="E4700" t="str">
        <f>"サンヨウコウトウジョガッコウホウコクダン"</f>
        <v>サンヨウコウトウジョガッコウホウコクダン</v>
      </c>
      <c r="F4700" t="str">
        <f t="shared" si="234"/>
        <v>岡山</v>
      </c>
      <c r="G4700" t="str">
        <f>"頻度不明"</f>
        <v>頻度不明</v>
      </c>
      <c r="H4700" t="str">
        <f>"2002222319667"</f>
        <v>2002222319667</v>
      </c>
      <c r="I4700" t="str">
        <f>HYPERLINK("#", "https://opac.libnet.pref.okayama.jp/licsxp-opac/WOpacMsgNewListToTifTilDetailAction.do?tilcod=2002222319667")</f>
        <v>https://opac.libnet.pref.okayama.jp/licsxp-opac/WOpacMsgNewListToTifTilDetailAction.do?tilcod=2002222319667</v>
      </c>
    </row>
    <row r="4701" spans="1:9" x14ac:dyDescent="0.4">
      <c r="A4701" t="str">
        <f>"みさおやま"</f>
        <v>みさおやま</v>
      </c>
      <c r="B4701" s="1" t="str">
        <f t="shared" si="233"/>
        <v>みさおやま</v>
      </c>
      <c r="C4701" t="str">
        <f>"ミサオヤマ"</f>
        <v>ミサオヤマ</v>
      </c>
      <c r="D4701" t="str">
        <f>"岡山市立操山中学校"</f>
        <v>岡山市立操山中学校</v>
      </c>
      <c r="E4701" t="str">
        <f>"オカヤマシリツ ミサオヤマ チュウガッコウ"</f>
        <v>オカヤマシリツ ミサオヤマ チュウガッコウ</v>
      </c>
      <c r="F4701" t="str">
        <f t="shared" si="234"/>
        <v>岡山</v>
      </c>
      <c r="G4701" t="str">
        <f>"年刊"</f>
        <v>年刊</v>
      </c>
      <c r="H4701" t="str">
        <f>"2002222301710"</f>
        <v>2002222301710</v>
      </c>
      <c r="I4701" t="str">
        <f>HYPERLINK("#", "https://opac.libnet.pref.okayama.jp/licsxp-opac/WOpacMsgNewListToTifTilDetailAction.do?tilcod=2002222301710")</f>
        <v>https://opac.libnet.pref.okayama.jp/licsxp-opac/WOpacMsgNewListToTifTilDetailAction.do?tilcod=2002222301710</v>
      </c>
    </row>
    <row r="4702" spans="1:9" x14ac:dyDescent="0.4">
      <c r="A4702" t="str">
        <f>"みさおやま ; 操山公民館公民館だより"</f>
        <v>みさおやま ; 操山公民館公民館だより</v>
      </c>
      <c r="B4702" s="1" t="str">
        <f t="shared" si="233"/>
        <v>みさおやま ; 操山公民館公民館だより</v>
      </c>
      <c r="C4702" t="str">
        <f>"ミサオヤマ＊ミサオヤマ コウミンカン コウミンカン ダヨリ"</f>
        <v>ミサオヤマ＊ミサオヤマ コウミンカン コウミンカン ダヨリ</v>
      </c>
      <c r="D4702" t="str">
        <f>"岡山市立操山公民館"</f>
        <v>岡山市立操山公民館</v>
      </c>
      <c r="E4702" t="str">
        <f>"オカヤマシリツ ミサオヤマ コウミンカン"</f>
        <v>オカヤマシリツ ミサオヤマ コウミンカン</v>
      </c>
      <c r="F4702" t="str">
        <f t="shared" si="234"/>
        <v>岡山</v>
      </c>
      <c r="G4702" t="str">
        <f>"隔月刊"</f>
        <v>隔月刊</v>
      </c>
      <c r="H4702" t="str">
        <f>"2002222332068"</f>
        <v>2002222332068</v>
      </c>
      <c r="I4702" t="str">
        <f>HYPERLINK("#", "https://opac.libnet.pref.okayama.jp/licsxp-opac/WOpacMsgNewListToTifTilDetailAction.do?tilcod=2002222332068")</f>
        <v>https://opac.libnet.pref.okayama.jp/licsxp-opac/WOpacMsgNewListToTifTilDetailAction.do?tilcod=2002222332068</v>
      </c>
    </row>
    <row r="4703" spans="1:9" x14ac:dyDescent="0.4">
      <c r="A4703" t="str">
        <f>"美咲；美咲マガジン"</f>
        <v>美咲；美咲マガジン</v>
      </c>
      <c r="B4703" s="1" t="str">
        <f t="shared" si="233"/>
        <v>美咲；美咲マガジン</v>
      </c>
      <c r="C4703" t="str">
        <f>"ミサキ＊ミサキ　マガジン"</f>
        <v>ミサキ＊ミサキ　マガジン</v>
      </c>
      <c r="D4703" t="str">
        <f>"美咲"</f>
        <v>美咲</v>
      </c>
      <c r="E4703" t="str">
        <f>"ミサキ"</f>
        <v>ミサキ</v>
      </c>
      <c r="F4703" t="str">
        <f t="shared" si="234"/>
        <v>岡山</v>
      </c>
      <c r="G4703" t="str">
        <f>"頻度不明"</f>
        <v>頻度不明</v>
      </c>
      <c r="H4703" t="str">
        <f>"2002222301688"</f>
        <v>2002222301688</v>
      </c>
      <c r="I4703" t="str">
        <f>HYPERLINK("#", "https://opac.libnet.pref.okayama.jp/licsxp-opac/WOpacMsgNewListToTifTilDetailAction.do?tilcod=2002222301688")</f>
        <v>https://opac.libnet.pref.okayama.jp/licsxp-opac/WOpacMsgNewListToTifTilDetailAction.do?tilcod=2002222301688</v>
      </c>
    </row>
    <row r="4704" spans="1:9" x14ac:dyDescent="0.4">
      <c r="A4704" t="str">
        <f>"みさき；美咲町議会だより"</f>
        <v>みさき；美咲町議会だより</v>
      </c>
      <c r="B4704" s="1" t="str">
        <f t="shared" si="233"/>
        <v>みさき；美咲町議会だより</v>
      </c>
      <c r="C4704" t="str">
        <f>"ミサキ＊ミサキチョウ　ギカイ　ダヨリ"</f>
        <v>ミサキ＊ミサキチョウ　ギカイ　ダヨリ</v>
      </c>
      <c r="D4704" t="str">
        <f>"岡山県久米郡美咲町議会"</f>
        <v>岡山県久米郡美咲町議会</v>
      </c>
      <c r="E4704" t="str">
        <f>"オカヤマケンクメグンミサキチョウギカイ"</f>
        <v>オカヤマケンクメグンミサキチョウギカイ</v>
      </c>
      <c r="F4704" t="str">
        <f>"美咲町（久米郡）"</f>
        <v>美咲町（久米郡）</v>
      </c>
      <c r="G4704" t="str">
        <f>"季刊"</f>
        <v>季刊</v>
      </c>
      <c r="H4704" t="str">
        <f>"2002222301779"</f>
        <v>2002222301779</v>
      </c>
      <c r="I4704" t="str">
        <f>HYPERLINK("#", "https://opac.libnet.pref.okayama.jp/licsxp-opac/WOpacMsgNewListToTifTilDetailAction.do?tilcod=2002222301779")</f>
        <v>https://opac.libnet.pref.okayama.jp/licsxp-opac/WOpacMsgNewListToTifTilDetailAction.do?tilcod=2002222301779</v>
      </c>
    </row>
    <row r="4705" spans="1:9" x14ac:dyDescent="0.4">
      <c r="A4705" t="str">
        <f>"みさご"</f>
        <v>みさご</v>
      </c>
      <c r="B4705" s="1" t="str">
        <f t="shared" si="233"/>
        <v>みさご</v>
      </c>
      <c r="C4705" t="str">
        <f>"ミサゴ"</f>
        <v>ミサゴ</v>
      </c>
      <c r="D4705" t="str">
        <f>"宇江誠"</f>
        <v>宇江誠</v>
      </c>
      <c r="E4705" t="str">
        <f>"ウエ マコト"</f>
        <v>ウエ マコト</v>
      </c>
      <c r="F4705" t="str">
        <f>"笠岡"</f>
        <v>笠岡</v>
      </c>
      <c r="G4705" t="str">
        <f>"不定期刊"</f>
        <v>不定期刊</v>
      </c>
      <c r="H4705" t="str">
        <f>"2002222291671"</f>
        <v>2002222291671</v>
      </c>
      <c r="I4705" t="str">
        <f>HYPERLINK("#", "https://opac.libnet.pref.okayama.jp/licsxp-opac/WOpacMsgNewListToTifTilDetailAction.do?tilcod=2002222291671")</f>
        <v>https://opac.libnet.pref.okayama.jp/licsxp-opac/WOpacMsgNewListToTifTilDetailAction.do?tilcod=2002222291671</v>
      </c>
    </row>
    <row r="4706" spans="1:9" x14ac:dyDescent="0.4">
      <c r="A4706" t="str">
        <f>"雎鳩（みさご）；第２次"</f>
        <v>雎鳩（みさご）；第２次</v>
      </c>
      <c r="B4706" s="1" t="str">
        <f t="shared" si="233"/>
        <v>雎鳩（みさご）；第２次</v>
      </c>
      <c r="C4706" t="str">
        <f>"ミサゴ　ダイニジ"</f>
        <v>ミサゴ　ダイニジ</v>
      </c>
      <c r="D4706" t="str">
        <f>"みさご発行所"</f>
        <v>みさご発行所</v>
      </c>
      <c r="E4706" t="str">
        <f>"ミサゴ ハッコウジョ"</f>
        <v>ミサゴ ハッコウジョ</v>
      </c>
      <c r="F4706" t="str">
        <f>"笠岡"</f>
        <v>笠岡</v>
      </c>
      <c r="G4706" t="str">
        <f>"頻度不明"</f>
        <v>頻度不明</v>
      </c>
      <c r="H4706" t="str">
        <f>"2002222301533"</f>
        <v>2002222301533</v>
      </c>
      <c r="I4706" t="str">
        <f>HYPERLINK("#", "https://opac.libnet.pref.okayama.jp/licsxp-opac/WOpacMsgNewListToTifTilDetailAction.do?tilcod=2002222301533")</f>
        <v>https://opac.libnet.pref.okayama.jp/licsxp-opac/WOpacMsgNewListToTifTilDetailAction.do?tilcod=2002222301533</v>
      </c>
    </row>
    <row r="4707" spans="1:9" x14ac:dyDescent="0.4">
      <c r="A4707" t="str">
        <f>"みささぎ"</f>
        <v>みささぎ</v>
      </c>
      <c r="B4707" s="1" t="str">
        <f t="shared" si="233"/>
        <v>みささぎ</v>
      </c>
      <c r="C4707" t="str">
        <f>"ミササギ"</f>
        <v>ミササギ</v>
      </c>
      <c r="D4707" t="str">
        <f>"陵南学区活性化デザイン会議手作りミニコミ紙編集委員会"</f>
        <v>陵南学区活性化デザイン会議手作りミニコミ紙編集委員会</v>
      </c>
      <c r="E4707" t="str">
        <f>"リョウナンガックカッセイカデザインカイギテズクリミニコミシヘンシュウイインカイ"</f>
        <v>リョウナンガックカッセイカデザインカイギテズクリミニコミシヘンシュウイインカイ</v>
      </c>
      <c r="F4707" t="str">
        <f>"岡山"</f>
        <v>岡山</v>
      </c>
      <c r="G4707" t="str">
        <f>"不定期刊"</f>
        <v>不定期刊</v>
      </c>
      <c r="H4707" t="str">
        <f>"2002222282511"</f>
        <v>2002222282511</v>
      </c>
      <c r="I4707" t="str">
        <f>HYPERLINK("#", "https://opac.libnet.pref.okayama.jp/licsxp-opac/WOpacMsgNewListToTifTilDetailAction.do?tilcod=2002222282511")</f>
        <v>https://opac.libnet.pref.okayama.jp/licsxp-opac/WOpacMsgNewListToTifTilDetailAction.do?tilcod=2002222282511</v>
      </c>
    </row>
    <row r="4708" spans="1:9" x14ac:dyDescent="0.4">
      <c r="A4708" t="str">
        <f>"ミシガン大学日本研究所報告書"</f>
        <v>ミシガン大学日本研究所報告書</v>
      </c>
      <c r="B4708" s="1" t="str">
        <f t="shared" si="233"/>
        <v>ミシガン大学日本研究所報告書</v>
      </c>
      <c r="C4708" t="str">
        <f>"ミシガン　ダイガク　ニホン　ケンキュウジョ　ホウコクショ"</f>
        <v>ミシガン　ダイガク　ニホン　ケンキュウジョ　ホウコクショ</v>
      </c>
      <c r="D4708" t="str">
        <f>"岡山大学法文学部"</f>
        <v>岡山大学法文学部</v>
      </c>
      <c r="E4708" t="str">
        <f>"オカヤマ ダイガク ホウブンガクブ"</f>
        <v>オカヤマ ダイガク ホウブンガクブ</v>
      </c>
      <c r="F4708" t="str">
        <f>"岡山"</f>
        <v>岡山</v>
      </c>
      <c r="G4708" t="str">
        <f>"頻度不明"</f>
        <v>頻度不明</v>
      </c>
      <c r="H4708" t="str">
        <f>"2002222288501"</f>
        <v>2002222288501</v>
      </c>
      <c r="I4708" t="str">
        <f>HYPERLINK("#", "https://opac.libnet.pref.okayama.jp/licsxp-opac/WOpacMsgNewListToTifTilDetailAction.do?tilcod=2002222288501")</f>
        <v>https://opac.libnet.pref.okayama.jp/licsxp-opac/WOpacMsgNewListToTifTilDetailAction.do?tilcod=2002222288501</v>
      </c>
    </row>
    <row r="4709" spans="1:9" x14ac:dyDescent="0.4">
      <c r="A4709" t="str">
        <f>"水鏡"</f>
        <v>水鏡</v>
      </c>
      <c r="B4709" s="1" t="str">
        <f t="shared" si="233"/>
        <v>水鏡</v>
      </c>
      <c r="C4709" t="str">
        <f>"ミズカガミ"</f>
        <v>ミズカガミ</v>
      </c>
      <c r="D4709" t="str">
        <f>"井原高等女学校校友会"</f>
        <v>井原高等女学校校友会</v>
      </c>
      <c r="E4709" t="str">
        <f>"イバラコウトウジョガッコウコウユウカイ"</f>
        <v>イバラコウトウジョガッコウコウユウカイ</v>
      </c>
      <c r="F4709" t="str">
        <f>"井原"</f>
        <v>井原</v>
      </c>
      <c r="G4709" t="str">
        <f>"頻度不明"</f>
        <v>頻度不明</v>
      </c>
      <c r="H4709" t="str">
        <f>"2002222287673"</f>
        <v>2002222287673</v>
      </c>
      <c r="I4709" t="str">
        <f>HYPERLINK("#", "https://opac.libnet.pref.okayama.jp/licsxp-opac/WOpacMsgNewListToTifTilDetailAction.do?tilcod=2002222287673")</f>
        <v>https://opac.libnet.pref.okayama.jp/licsxp-opac/WOpacMsgNewListToTifTilDetailAction.do?tilcod=2002222287673</v>
      </c>
    </row>
    <row r="4710" spans="1:9" x14ac:dyDescent="0.4">
      <c r="A4710" t="str">
        <f>"水甕"</f>
        <v>水甕</v>
      </c>
      <c r="B4710" s="1" t="str">
        <f t="shared" si="233"/>
        <v>水甕</v>
      </c>
      <c r="C4710" t="str">
        <f>"ミズガメ"</f>
        <v>ミズガメ</v>
      </c>
      <c r="D4710" t="str">
        <f>"水甕社"</f>
        <v>水甕社</v>
      </c>
      <c r="E4710" t="str">
        <f>"ミズガメシャ"</f>
        <v>ミズガメシャ</v>
      </c>
      <c r="F4710" t="str">
        <f>"東京"</f>
        <v>東京</v>
      </c>
      <c r="G4710" t="str">
        <f>"月刊"</f>
        <v>月刊</v>
      </c>
      <c r="H4710" t="str">
        <f>"2002222286203"</f>
        <v>2002222286203</v>
      </c>
      <c r="I4710" t="str">
        <f>HYPERLINK("#", "https://opac.libnet.pref.okayama.jp/licsxp-opac/WOpacMsgNewListToTifTilDetailAction.do?tilcod=2002222286203")</f>
        <v>https://opac.libnet.pref.okayama.jp/licsxp-opac/WOpacMsgNewListToTifTilDetailAction.do?tilcod=2002222286203</v>
      </c>
    </row>
    <row r="4711" spans="1:9" x14ac:dyDescent="0.4">
      <c r="A4711" t="str">
        <f>"水工図書館報"</f>
        <v>水工図書館報</v>
      </c>
      <c r="B4711" s="1" t="str">
        <f t="shared" si="233"/>
        <v>水工図書館報</v>
      </c>
      <c r="C4711" t="str">
        <f>"ミズコウ　トショカンポウ"</f>
        <v>ミズコウ　トショカンポウ</v>
      </c>
      <c r="D4711" t="str">
        <f>"水島工業高等学校図書館"</f>
        <v>水島工業高等学校図書館</v>
      </c>
      <c r="E4711" t="str">
        <f>"ミズシマコウギョウコウトウガッコウトショカン"</f>
        <v>ミズシマコウギョウコウトウガッコウトショカン</v>
      </c>
      <c r="F4711" t="str">
        <f>"倉敷"</f>
        <v>倉敷</v>
      </c>
      <c r="G4711" t="str">
        <f>"年２回刊"</f>
        <v>年２回刊</v>
      </c>
      <c r="H4711" t="str">
        <f>"2002222284711"</f>
        <v>2002222284711</v>
      </c>
      <c r="I4711" t="str">
        <f>HYPERLINK("#", "https://opac.libnet.pref.okayama.jp/licsxp-opac/WOpacMsgNewListToTifTilDetailAction.do?tilcod=2002222284711")</f>
        <v>https://opac.libnet.pref.okayama.jp/licsxp-opac/WOpacMsgNewListToTifTilDetailAction.do?tilcod=2002222284711</v>
      </c>
    </row>
    <row r="4712" spans="1:9" x14ac:dyDescent="0.4">
      <c r="A4712" t="str">
        <f>"ＭＩＺＵＫＯ　ＴＥＣＨＮＩＣＡＬ　ＲＥＰＯＲＴ（ミズコーテクニカルレポート）"</f>
        <v>ＭＩＺＵＫＯ　ＴＥＣＨＮＩＣＡＬ　ＲＥＰＯＲＴ（ミズコーテクニカルレポート）</v>
      </c>
      <c r="B4712" s="1" t="str">
        <f t="shared" si="233"/>
        <v>ＭＩＺＵＫＯ　ＴＥＣＨＮＩＣＡＬ　ＲＥＰＯＲＴ（ミズコーテクニカルレポート）</v>
      </c>
      <c r="C4712" t="str">
        <f>"ミズコー　テクニカル　レポート"</f>
        <v>ミズコー　テクニカル　レポート</v>
      </c>
      <c r="D4712" t="str">
        <f>"水島工業高等学校電気科・電子科"</f>
        <v>水島工業高等学校電気科・電子科</v>
      </c>
      <c r="E4712" t="str">
        <f>"ミズシマ　コウギョウ　コウトウ　ガッコウ　デンキカ　デンシカ"</f>
        <v>ミズシマ　コウギョウ　コウトウ　ガッコウ　デンキカ　デンシカ</v>
      </c>
      <c r="F4712" t="str">
        <f>""</f>
        <v/>
      </c>
      <c r="G4712" t="str">
        <f>"頻度不明"</f>
        <v>頻度不明</v>
      </c>
      <c r="H4712" t="str">
        <f>"2002222287813"</f>
        <v>2002222287813</v>
      </c>
      <c r="I4712" t="str">
        <f>HYPERLINK("#", "https://opac.libnet.pref.okayama.jp/licsxp-opac/WOpacMsgNewListToTifTilDetailAction.do?tilcod=2002222287813")</f>
        <v>https://opac.libnet.pref.okayama.jp/licsxp-opac/WOpacMsgNewListToTifTilDetailAction.do?tilcod=2002222287813</v>
      </c>
    </row>
    <row r="4713" spans="1:9" x14ac:dyDescent="0.4">
      <c r="A4713" t="str">
        <f>"みずしま"</f>
        <v>みずしま</v>
      </c>
      <c r="B4713" s="1" t="str">
        <f t="shared" si="233"/>
        <v>みずしま</v>
      </c>
      <c r="C4713" t="str">
        <f>"ミズシマ"</f>
        <v>ミズシマ</v>
      </c>
      <c r="D4713" t="str">
        <f>"倉敷市水島勤労者青少年ホーム"</f>
        <v>倉敷市水島勤労者青少年ホーム</v>
      </c>
      <c r="E4713" t="str">
        <f>"クラシキシミズシマキンロウシャセイショウネンホーム"</f>
        <v>クラシキシミズシマキンロウシャセイショウネンホーム</v>
      </c>
      <c r="F4713" t="str">
        <f t="shared" ref="F4713:F4720" si="235">"倉敷"</f>
        <v>倉敷</v>
      </c>
      <c r="G4713" t="str">
        <f>"頻度不明"</f>
        <v>頻度不明</v>
      </c>
      <c r="H4713" t="str">
        <f>"2002222282983"</f>
        <v>2002222282983</v>
      </c>
      <c r="I4713" t="str">
        <f>HYPERLINK("#", "https://opac.libnet.pref.okayama.jp/licsxp-opac/WOpacMsgNewListToTifTilDetailAction.do?tilcod=2002222282983")</f>
        <v>https://opac.libnet.pref.okayama.jp/licsxp-opac/WOpacMsgNewListToTifTilDetailAction.do?tilcod=2002222282983</v>
      </c>
    </row>
    <row r="4714" spans="1:9" x14ac:dyDescent="0.4">
      <c r="A4714" t="str">
        <f>"水島工業高等学校学校案内"</f>
        <v>水島工業高等学校学校案内</v>
      </c>
      <c r="B4714" s="1" t="str">
        <f t="shared" si="233"/>
        <v>水島工業高等学校学校案内</v>
      </c>
      <c r="C4714" t="str">
        <f>"ミズシマ　コウギョウ　コウトウ　ガッコウ　ガッコウ　アンナイ"</f>
        <v>ミズシマ　コウギョウ　コウトウ　ガッコウ　ガッコウ　アンナイ</v>
      </c>
      <c r="D4714" t="str">
        <f>"水島工業高等学校"</f>
        <v>水島工業高等学校</v>
      </c>
      <c r="E4714" t="str">
        <f>"ミズシマ コウギョウ コウトウ ガッコウ"</f>
        <v>ミズシマ コウギョウ コウトウ ガッコウ</v>
      </c>
      <c r="F4714" t="str">
        <f t="shared" si="235"/>
        <v>倉敷</v>
      </c>
      <c r="G4714" t="str">
        <f>"年刊"</f>
        <v>年刊</v>
      </c>
      <c r="H4714" t="str">
        <f>"2002222301245"</f>
        <v>2002222301245</v>
      </c>
      <c r="I4714" t="str">
        <f>HYPERLINK("#", "https://opac.libnet.pref.okayama.jp/licsxp-opac/WOpacMsgNewListToTifTilDetailAction.do?tilcod=2002222301245")</f>
        <v>https://opac.libnet.pref.okayama.jp/licsxp-opac/WOpacMsgNewListToTifTilDetailAction.do?tilcod=2002222301245</v>
      </c>
    </row>
    <row r="4715" spans="1:9" x14ac:dyDescent="0.4">
      <c r="A4715" t="str">
        <f>"水島工業高等学校学校要覧"</f>
        <v>水島工業高等学校学校要覧</v>
      </c>
      <c r="B4715" s="1" t="str">
        <f t="shared" si="233"/>
        <v>水島工業高等学校学校要覧</v>
      </c>
      <c r="C4715" t="str">
        <f>"ミズシマ　コウギョウ　コウトウ　ガッコウ　ガッコウ　ヨウラン"</f>
        <v>ミズシマ　コウギョウ　コウトウ　ガッコウ　ガッコウ　ヨウラン</v>
      </c>
      <c r="D4715" t="str">
        <f>"水島工業高等学校"</f>
        <v>水島工業高等学校</v>
      </c>
      <c r="E4715" t="str">
        <f>"ミズシマ コウギョウ コウトウ ガッコウ"</f>
        <v>ミズシマ コウギョウ コウトウ ガッコウ</v>
      </c>
      <c r="F4715" t="str">
        <f t="shared" si="235"/>
        <v>倉敷</v>
      </c>
      <c r="G4715" t="str">
        <f>"年刊"</f>
        <v>年刊</v>
      </c>
      <c r="H4715" t="str">
        <f>"2002222300504"</f>
        <v>2002222300504</v>
      </c>
      <c r="I4715" t="str">
        <f>HYPERLINK("#", "https://opac.libnet.pref.okayama.jp/licsxp-opac/WOpacMsgNewListToTifTilDetailAction.do?tilcod=2002222300504")</f>
        <v>https://opac.libnet.pref.okayama.jp/licsxp-opac/WOpacMsgNewListToTifTilDetailAction.do?tilcod=2002222300504</v>
      </c>
    </row>
    <row r="4716" spans="1:9" x14ac:dyDescent="0.4">
      <c r="A4716" t="str">
        <f>"〔水島工業高等学校〕水島工高新聞"</f>
        <v>〔水島工業高等学校〕水島工高新聞</v>
      </c>
      <c r="B4716" s="1" t="str">
        <f t="shared" si="233"/>
        <v>〔水島工業高等学校〕水島工高新聞</v>
      </c>
      <c r="C4716" t="str">
        <f>"ミズシマ　コウギョウ　コウトウ　ガッコウ＊ミズシマ　コウコウ　シンブン"</f>
        <v>ミズシマ　コウギョウ　コウトウ　ガッコウ＊ミズシマ　コウコウ　シンブン</v>
      </c>
      <c r="D4716" t="str">
        <f>"水島工業高等学校生徒会"</f>
        <v>水島工業高等学校生徒会</v>
      </c>
      <c r="E4716" t="str">
        <f>"ミズシマコウギョウコウトウガッコウセイトカイ"</f>
        <v>ミズシマコウギョウコウトウガッコウセイトカイ</v>
      </c>
      <c r="F4716" t="str">
        <f t="shared" si="235"/>
        <v>倉敷</v>
      </c>
      <c r="G4716" t="str">
        <f>"年刊"</f>
        <v>年刊</v>
      </c>
      <c r="H4716" t="str">
        <f>"2002222301826"</f>
        <v>2002222301826</v>
      </c>
      <c r="I4716" t="str">
        <f>HYPERLINK("#", "https://opac.libnet.pref.okayama.jp/licsxp-opac/WOpacMsgNewListToTifTilDetailAction.do?tilcod=2002222301826")</f>
        <v>https://opac.libnet.pref.okayama.jp/licsxp-opac/WOpacMsgNewListToTifTilDetailAction.do?tilcod=2002222301826</v>
      </c>
    </row>
    <row r="4717" spans="1:9" x14ac:dyDescent="0.4">
      <c r="A4717" t="str">
        <f>"みずしま財団たより"</f>
        <v>みずしま財団たより</v>
      </c>
      <c r="B4717" s="1" t="str">
        <f t="shared" si="233"/>
        <v>みずしま財団たより</v>
      </c>
      <c r="C4717" t="str">
        <f>"ミズシマ　ザイダン　タヨリ"</f>
        <v>ミズシマ　ザイダン　タヨリ</v>
      </c>
      <c r="D4717" t="str">
        <f>"水島地域環境再生財団"</f>
        <v>水島地域環境再生財団</v>
      </c>
      <c r="E4717" t="str">
        <f>"ミズシマ チイキ カンキョウ サイセイ ザイダン"</f>
        <v>ミズシマ チイキ カンキョウ サイセイ ザイダン</v>
      </c>
      <c r="F4717" t="str">
        <f t="shared" si="235"/>
        <v>倉敷</v>
      </c>
      <c r="G4717" t="str">
        <f>"季刊"</f>
        <v>季刊</v>
      </c>
      <c r="H4717" t="str">
        <f>"2002222285341"</f>
        <v>2002222285341</v>
      </c>
      <c r="I4717" t="str">
        <f>HYPERLINK("#", "https://opac.libnet.pref.okayama.jp/licsxp-opac/WOpacMsgNewListToTifTilDetailAction.do?tilcod=2002222285341")</f>
        <v>https://opac.libnet.pref.okayama.jp/licsxp-opac/WOpacMsgNewListToTifTilDetailAction.do?tilcod=2002222285341</v>
      </c>
    </row>
    <row r="4718" spans="1:9" x14ac:dyDescent="0.4">
      <c r="A4718" t="str">
        <f>"水島新聞"</f>
        <v>水島新聞</v>
      </c>
      <c r="B4718" s="1" t="str">
        <f t="shared" si="233"/>
        <v>水島新聞</v>
      </c>
      <c r="C4718" t="str">
        <f>"ミズシマ　シンブン"</f>
        <v>ミズシマ　シンブン</v>
      </c>
      <c r="D4718" t="str">
        <f>"水島新聞社"</f>
        <v>水島新聞社</v>
      </c>
      <c r="E4718" t="str">
        <f>"ミズシマシンブンシャ"</f>
        <v>ミズシマシンブンシャ</v>
      </c>
      <c r="F4718" t="str">
        <f t="shared" si="235"/>
        <v>倉敷</v>
      </c>
      <c r="G4718" t="str">
        <f>"月刊"</f>
        <v>月刊</v>
      </c>
      <c r="H4718" t="str">
        <f>"2002222300974"</f>
        <v>2002222300974</v>
      </c>
      <c r="I4718" t="str">
        <f>HYPERLINK("#", "https://opac.libnet.pref.okayama.jp/licsxp-opac/WOpacMsgNewListToTifTilDetailAction.do?tilcod=2002222300974")</f>
        <v>https://opac.libnet.pref.okayama.jp/licsxp-opac/WOpacMsgNewListToTifTilDetailAction.do?tilcod=2002222300974</v>
      </c>
    </row>
    <row r="4719" spans="1:9" x14ac:dyDescent="0.4">
      <c r="A4719" t="str">
        <f>"みずしま；川鉄水島ニュース"</f>
        <v>みずしま；川鉄水島ニュース</v>
      </c>
      <c r="B4719" s="1" t="str">
        <f t="shared" si="233"/>
        <v>みずしま；川鉄水島ニュース</v>
      </c>
      <c r="C4719" t="str">
        <f>"ミズシマ＊カワテツ　ミズシマ　ニュース"</f>
        <v>ミズシマ＊カワテツ　ミズシマ　ニュース</v>
      </c>
      <c r="D4719" t="str">
        <f>"川崎製鉄水島製鉄所"</f>
        <v>川崎製鉄水島製鉄所</v>
      </c>
      <c r="E4719" t="str">
        <f>"カワサキセイテツミズシマセイテツジョ"</f>
        <v>カワサキセイテツミズシマセイテツジョ</v>
      </c>
      <c r="F4719" t="str">
        <f t="shared" si="235"/>
        <v>倉敷</v>
      </c>
      <c r="G4719" t="str">
        <f>"月刊"</f>
        <v>月刊</v>
      </c>
      <c r="H4719" t="str">
        <f>"2002222293311"</f>
        <v>2002222293311</v>
      </c>
      <c r="I4719" t="str">
        <f>HYPERLINK("#", "https://opac.libnet.pref.okayama.jp/licsxp-opac/WOpacMsgNewListToTifTilDetailAction.do?tilcod=2002222293311")</f>
        <v>https://opac.libnet.pref.okayama.jp/licsxp-opac/WOpacMsgNewListToTifTilDetailAction.do?tilcod=2002222293311</v>
      </c>
    </row>
    <row r="4720" spans="1:9" x14ac:dyDescent="0.4">
      <c r="A4720" t="str">
        <f>"ミズシマガジン"</f>
        <v>ミズシマガジン</v>
      </c>
      <c r="B4720" s="1" t="str">
        <f t="shared" si="233"/>
        <v>ミズシマガジン</v>
      </c>
      <c r="C4720" t="str">
        <f>"ミズシマガジン"</f>
        <v>ミズシマガジン</v>
      </c>
      <c r="D4720" t="str">
        <f>"ミズシマガジン編集委員会"</f>
        <v>ミズシマガジン編集委員会</v>
      </c>
      <c r="E4720" t="str">
        <f>"ミズシマガジンヘンシュウイインカイ"</f>
        <v>ミズシマガジンヘンシュウイインカイ</v>
      </c>
      <c r="F4720" t="str">
        <f t="shared" si="235"/>
        <v>倉敷</v>
      </c>
      <c r="G4720" t="str">
        <f>"年２回刊"</f>
        <v>年２回刊</v>
      </c>
      <c r="H4720" t="str">
        <f>"2002222302254"</f>
        <v>2002222302254</v>
      </c>
      <c r="I4720" t="str">
        <f>HYPERLINK("#", "https://opac.libnet.pref.okayama.jp/licsxp-opac/WOpacMsgNewListToTifTilDetailAction.do?tilcod=2002222302254")</f>
        <v>https://opac.libnet.pref.okayama.jp/licsxp-opac/WOpacMsgNewListToTifTilDetailAction.do?tilcod=2002222302254</v>
      </c>
    </row>
    <row r="4721" spans="1:9" x14ac:dyDescent="0.4">
      <c r="A4721" t="str">
        <f>"水島港"</f>
        <v>水島港</v>
      </c>
      <c r="B4721" s="1" t="str">
        <f t="shared" si="233"/>
        <v>水島港</v>
      </c>
      <c r="C4721" t="str">
        <f>"ミズシマコウ"</f>
        <v>ミズシマコウ</v>
      </c>
      <c r="D4721" t="str">
        <f>"水島港振興会"</f>
        <v>水島港振興会</v>
      </c>
      <c r="E4721" t="str">
        <f>"ミズシマコウシンコウカイ"</f>
        <v>ミズシマコウシンコウカイ</v>
      </c>
      <c r="F4721" t="str">
        <f>""</f>
        <v/>
      </c>
      <c r="G4721" t="str">
        <f>"頻度不明"</f>
        <v>頻度不明</v>
      </c>
      <c r="H4721" t="str">
        <f>"2002222286213"</f>
        <v>2002222286213</v>
      </c>
      <c r="I4721" t="str">
        <f>HYPERLINK("#", "https://opac.libnet.pref.okayama.jp/licsxp-opac/WOpacMsgNewListToTifTilDetailAction.do?tilcod=2002222286213")</f>
        <v>https://opac.libnet.pref.okayama.jp/licsxp-opac/WOpacMsgNewListToTifTilDetailAction.do?tilcod=2002222286213</v>
      </c>
    </row>
    <row r="4722" spans="1:9" x14ac:dyDescent="0.4">
      <c r="A4722" t="str">
        <f>"瑞穂"</f>
        <v>瑞穂</v>
      </c>
      <c r="B4722" s="1" t="str">
        <f t="shared" si="233"/>
        <v>瑞穂</v>
      </c>
      <c r="C4722" t="str">
        <f>"ミズホ"</f>
        <v>ミズホ</v>
      </c>
      <c r="D4722" t="str">
        <f>"岡山県立矢掛高等学校文学部"</f>
        <v>岡山県立矢掛高等学校文学部</v>
      </c>
      <c r="E4722" t="str">
        <f>"オカヤマケンリツ ヤカゲ コウトウ ガッコウ"</f>
        <v>オカヤマケンリツ ヤカゲ コウトウ ガッコウ</v>
      </c>
      <c r="F4722" t="str">
        <f>""</f>
        <v/>
      </c>
      <c r="G4722" t="str">
        <f>"頻度不明"</f>
        <v>頻度不明</v>
      </c>
      <c r="H4722" t="str">
        <f>"2002222333830"</f>
        <v>2002222333830</v>
      </c>
      <c r="I4722" t="str">
        <f>HYPERLINK("#", "https://opac.libnet.pref.okayama.jp/licsxp-opac/WOpacMsgNewListToTifTilDetailAction.do?tilcod=2002222333830")</f>
        <v>https://opac.libnet.pref.okayama.jp/licsxp-opac/WOpacMsgNewListToTifTilDetailAction.do?tilcod=2002222333830</v>
      </c>
    </row>
    <row r="4723" spans="1:9" x14ac:dyDescent="0.4">
      <c r="A4723" t="str">
        <f>"みそら"</f>
        <v>みそら</v>
      </c>
      <c r="B4723" s="1" t="str">
        <f t="shared" si="233"/>
        <v>みそら</v>
      </c>
      <c r="C4723" t="str">
        <f>"ミソラ"</f>
        <v>ミソラ</v>
      </c>
      <c r="D4723" t="str">
        <f>"岡山県音楽文化協会"</f>
        <v>岡山県音楽文化協会</v>
      </c>
      <c r="E4723" t="str">
        <f>"オカヤマケン オンガク ブンカ キョウカイ"</f>
        <v>オカヤマケン オンガク ブンカ キョウカイ</v>
      </c>
      <c r="F4723" t="str">
        <f>""</f>
        <v/>
      </c>
      <c r="G4723" t="str">
        <f>"頻度不明"</f>
        <v>頻度不明</v>
      </c>
      <c r="H4723" t="str">
        <f>"2002222286233"</f>
        <v>2002222286233</v>
      </c>
      <c r="I4723" t="str">
        <f>HYPERLINK("#", "https://opac.libnet.pref.okayama.jp/licsxp-opac/WOpacMsgNewListToTifTilDetailAction.do?tilcod=2002222286233")</f>
        <v>https://opac.libnet.pref.okayama.jp/licsxp-opac/WOpacMsgNewListToTifTilDetailAction.do?tilcod=2002222286233</v>
      </c>
    </row>
    <row r="4724" spans="1:9" x14ac:dyDescent="0.4">
      <c r="A4724" t="str">
        <f>"ＭＩＴＡ；水島ポートニュース"</f>
        <v>ＭＩＴＡ；水島ポートニュース</v>
      </c>
      <c r="B4724" s="1" t="str">
        <f t="shared" si="233"/>
        <v>ＭＩＴＡ；水島ポートニュース</v>
      </c>
      <c r="C4724" t="str">
        <f>"ミタ＊ミズシマ　ポート　ニュース"</f>
        <v>ミタ＊ミズシマ　ポート　ニュース</v>
      </c>
      <c r="D4724" t="str">
        <f>"水島港インターナショナルトレード協議会"</f>
        <v>水島港インターナショナルトレード協議会</v>
      </c>
      <c r="E4724" t="str">
        <f>"ミズシマコウインターナショナルトレードキョウギカイ"</f>
        <v>ミズシマコウインターナショナルトレードキョウギカイ</v>
      </c>
      <c r="F4724" t="str">
        <f>"岡山"</f>
        <v>岡山</v>
      </c>
      <c r="G4724" t="str">
        <f>"年３回刊"</f>
        <v>年３回刊</v>
      </c>
      <c r="H4724" t="str">
        <f>"2002222281851"</f>
        <v>2002222281851</v>
      </c>
      <c r="I4724" t="str">
        <f>HYPERLINK("#", "https://opac.libnet.pref.okayama.jp/licsxp-opac/WOpacMsgNewListToTifTilDetailAction.do?tilcod=2002222281851")</f>
        <v>https://opac.libnet.pref.okayama.jp/licsxp-opac/WOpacMsgNewListToTifTilDetailAction.do?tilcod=2002222281851</v>
      </c>
    </row>
    <row r="4725" spans="1:9" x14ac:dyDescent="0.4">
      <c r="A4725" t="str">
        <f>"みたけ"</f>
        <v>みたけ</v>
      </c>
      <c r="B4725" s="1" t="str">
        <f t="shared" si="233"/>
        <v>みたけ</v>
      </c>
      <c r="C4725" t="str">
        <f>"ミタケ"</f>
        <v>ミタケ</v>
      </c>
      <c r="D4725" t="str">
        <f>"大島中学校学芸部"</f>
        <v>大島中学校学芸部</v>
      </c>
      <c r="E4725" t="str">
        <f>"オオシマチュウガッコウガクゲイブ"</f>
        <v>オオシマチュウガッコウガクゲイブ</v>
      </c>
      <c r="F4725" t="str">
        <f>"笠岡"</f>
        <v>笠岡</v>
      </c>
      <c r="G4725" t="str">
        <f>"頻度不明"</f>
        <v>頻度不明</v>
      </c>
      <c r="H4725" t="str">
        <f>"2002222285091"</f>
        <v>2002222285091</v>
      </c>
      <c r="I4725" t="str">
        <f>HYPERLINK("#", "https://opac.libnet.pref.okayama.jp/licsxp-opac/WOpacMsgNewListToTifTilDetailAction.do?tilcod=2002222285091")</f>
        <v>https://opac.libnet.pref.okayama.jp/licsxp-opac/WOpacMsgNewListToTifTilDetailAction.do?tilcod=2002222285091</v>
      </c>
    </row>
    <row r="4726" spans="1:9" x14ac:dyDescent="0.4">
      <c r="A4726" t="str">
        <f>"径；Ｍｉｃｈｉ"</f>
        <v>径；Ｍｉｃｈｉ</v>
      </c>
      <c r="B4726" s="1" t="str">
        <f t="shared" si="233"/>
        <v>径；Ｍｉｃｈｉ</v>
      </c>
      <c r="C4726" t="str">
        <f>"ミチ"</f>
        <v>ミチ</v>
      </c>
      <c r="D4726" t="str">
        <f>"くにさだきみ"</f>
        <v>くにさだきみ</v>
      </c>
      <c r="E4726" t="str">
        <f>"クニサダキミ"</f>
        <v>クニサダキミ</v>
      </c>
      <c r="F4726" t="str">
        <f>"総社"</f>
        <v>総社</v>
      </c>
      <c r="G4726" t="str">
        <f>"季刊"</f>
        <v>季刊</v>
      </c>
      <c r="H4726" t="str">
        <f>"2002222282561"</f>
        <v>2002222282561</v>
      </c>
      <c r="I4726" t="str">
        <f>HYPERLINK("#", "https://opac.libnet.pref.okayama.jp/licsxp-opac/WOpacMsgNewListToTifTilDetailAction.do?tilcod=2002222282561")</f>
        <v>https://opac.libnet.pref.okayama.jp/licsxp-opac/WOpacMsgNewListToTifTilDetailAction.do?tilcod=2002222282561</v>
      </c>
    </row>
    <row r="4727" spans="1:9" x14ac:dyDescent="0.4">
      <c r="A4727" t="str">
        <f>"みち"</f>
        <v>みち</v>
      </c>
      <c r="B4727" s="1" t="str">
        <f t="shared" si="233"/>
        <v>みち</v>
      </c>
      <c r="C4727" t="str">
        <f>"ミチ"</f>
        <v>ミチ</v>
      </c>
      <c r="D4727" t="str">
        <f>"岡山少年サポートセンター"</f>
        <v>岡山少年サポートセンター</v>
      </c>
      <c r="E4727" t="str">
        <f>"オカヤマ ショウネン サポート センター"</f>
        <v>オカヤマ ショウネン サポート センター</v>
      </c>
      <c r="F4727" t="str">
        <f>""</f>
        <v/>
      </c>
      <c r="G4727" t="str">
        <f>"頻度不明"</f>
        <v>頻度不明</v>
      </c>
      <c r="H4727" t="str">
        <f>"2002222286243"</f>
        <v>2002222286243</v>
      </c>
      <c r="I4727" t="str">
        <f>HYPERLINK("#", "https://opac.libnet.pref.okayama.jp/licsxp-opac/WOpacMsgNewListToTifTilDetailAction.do?tilcod=2002222286243")</f>
        <v>https://opac.libnet.pref.okayama.jp/licsxp-opac/WOpacMsgNewListToTifTilDetailAction.do?tilcod=2002222286243</v>
      </c>
    </row>
    <row r="4728" spans="1:9" x14ac:dyDescent="0.4">
      <c r="A4728" t="str">
        <f>"みち"</f>
        <v>みち</v>
      </c>
      <c r="B4728" s="1" t="str">
        <f t="shared" si="233"/>
        <v>みち</v>
      </c>
      <c r="C4728" t="str">
        <f>"ミチ"</f>
        <v>ミチ</v>
      </c>
      <c r="D4728" t="str">
        <f>"金光教全国学生協議委員会"</f>
        <v>金光教全国学生協議委員会</v>
      </c>
      <c r="E4728" t="str">
        <f>"コンコウキョウゼンコクガクセイキョウギイインカイ"</f>
        <v>コンコウキョウゼンコクガクセイキョウギイインカイ</v>
      </c>
      <c r="F4728" t="str">
        <f>"〔福岡〕"</f>
        <v>〔福岡〕</v>
      </c>
      <c r="G4728" t="str">
        <f>"頻度不明"</f>
        <v>頻度不明</v>
      </c>
      <c r="H4728" t="str">
        <f>"2002222301743"</f>
        <v>2002222301743</v>
      </c>
      <c r="I4728" t="str">
        <f>HYPERLINK("#", "https://opac.libnet.pref.okayama.jp/licsxp-opac/WOpacMsgNewListToTifTilDetailAction.do?tilcod=2002222301743")</f>
        <v>https://opac.libnet.pref.okayama.jp/licsxp-opac/WOpacMsgNewListToTifTilDetailAction.do?tilcod=2002222301743</v>
      </c>
    </row>
    <row r="4729" spans="1:9" x14ac:dyDescent="0.4">
      <c r="A4729" t="str">
        <f>"道"</f>
        <v>道</v>
      </c>
      <c r="B4729" s="1" t="str">
        <f t="shared" si="233"/>
        <v>道</v>
      </c>
      <c r="C4729" t="str">
        <f>"ミチ"</f>
        <v>ミチ</v>
      </c>
      <c r="D4729" t="str">
        <f>"淡交会岡山支部青年部"</f>
        <v>淡交会岡山支部青年部</v>
      </c>
      <c r="E4729" t="str">
        <f>"タンコウカイオカヤマシブセイネンブ"</f>
        <v>タンコウカイオカヤマシブセイネンブ</v>
      </c>
      <c r="F4729" t="str">
        <f>"岡山"</f>
        <v>岡山</v>
      </c>
      <c r="G4729" t="str">
        <f>"頻度不明"</f>
        <v>頻度不明</v>
      </c>
      <c r="H4729" t="str">
        <f>"2002222302436"</f>
        <v>2002222302436</v>
      </c>
      <c r="I4729" t="str">
        <f>HYPERLINK("#", "https://opac.libnet.pref.okayama.jp/licsxp-opac/WOpacMsgNewListToTifTilDetailAction.do?tilcod=2002222302436")</f>
        <v>https://opac.libnet.pref.okayama.jp/licsxp-opac/WOpacMsgNewListToTifTilDetailAction.do?tilcod=2002222302436</v>
      </c>
    </row>
    <row r="4730" spans="1:9" x14ac:dyDescent="0.4">
      <c r="A4730" t="str">
        <f>"みち草"</f>
        <v>みち草</v>
      </c>
      <c r="B4730" s="1" t="str">
        <f t="shared" si="233"/>
        <v>みち草</v>
      </c>
      <c r="C4730" t="str">
        <f>"ミチクサ"</f>
        <v>ミチクサ</v>
      </c>
      <c r="D4730" t="str">
        <f>"岡山県童謡作家の会"</f>
        <v>岡山県童謡作家の会</v>
      </c>
      <c r="E4730" t="str">
        <f>"オカヤマケンドウヨウサッカノカイ"</f>
        <v>オカヤマケンドウヨウサッカノカイ</v>
      </c>
      <c r="F4730" t="str">
        <f>"玉野"</f>
        <v>玉野</v>
      </c>
      <c r="G4730" t="str">
        <f>"月刊"</f>
        <v>月刊</v>
      </c>
      <c r="H4730" t="str">
        <f>"2002222293321"</f>
        <v>2002222293321</v>
      </c>
      <c r="I4730" t="str">
        <f>HYPERLINK("#", "https://opac.libnet.pref.okayama.jp/licsxp-opac/WOpacMsgNewListToTifTilDetailAction.do?tilcod=2002222293321")</f>
        <v>https://opac.libnet.pref.okayama.jp/licsxp-opac/WOpacMsgNewListToTifTilDetailAction.do?tilcod=2002222293321</v>
      </c>
    </row>
    <row r="4731" spans="1:9" x14ac:dyDescent="0.4">
      <c r="A4731" t="str">
        <f>"道草；プラザ雄神だより"</f>
        <v>道草；プラザ雄神だより</v>
      </c>
      <c r="B4731" s="1" t="str">
        <f t="shared" si="233"/>
        <v>道草；プラザ雄神だより</v>
      </c>
      <c r="C4731" t="str">
        <f>"ミチクサ＊プラザ オガミ ダヨリ"</f>
        <v>ミチクサ＊プラザ オガミ ダヨリ</v>
      </c>
      <c r="D4731" t="str">
        <f>"岡山市福祉交流プラザ雄神"</f>
        <v>岡山市福祉交流プラザ雄神</v>
      </c>
      <c r="E4731" t="str">
        <f>"オカヤマシ フクシ コウリュウ プラザ オガミ"</f>
        <v>オカヤマシ フクシ コウリュウ プラザ オガミ</v>
      </c>
      <c r="F4731" t="str">
        <f>"岡山"</f>
        <v>岡山</v>
      </c>
      <c r="G4731" t="str">
        <f>"不定期刊"</f>
        <v>不定期刊</v>
      </c>
      <c r="H4731" t="str">
        <f>"2002222336188"</f>
        <v>2002222336188</v>
      </c>
      <c r="I4731" t="str">
        <f>HYPERLINK("#", "https://opac.libnet.pref.okayama.jp/licsxp-opac/WOpacMsgNewListToTifTilDetailAction.do?tilcod=2002222336188")</f>
        <v>https://opac.libnet.pref.okayama.jp/licsxp-opac/WOpacMsgNewListToTifTilDetailAction.do?tilcod=2002222336188</v>
      </c>
    </row>
    <row r="4732" spans="1:9" x14ac:dyDescent="0.4">
      <c r="A4732" t="str">
        <f>"道しるべ"</f>
        <v>道しるべ</v>
      </c>
      <c r="B4732" s="1" t="str">
        <f t="shared" si="233"/>
        <v>道しるべ</v>
      </c>
      <c r="C4732" t="str">
        <f>"ミチシルベ"</f>
        <v>ミチシルベ</v>
      </c>
      <c r="D4732" t="str">
        <f>"岡山大安寺高等学校"</f>
        <v>岡山大安寺高等学校</v>
      </c>
      <c r="E4732" t="str">
        <f>"オカヤマ ダイアンジ コウトウ ガッコウ"</f>
        <v>オカヤマ ダイアンジ コウトウ ガッコウ</v>
      </c>
      <c r="F4732" t="str">
        <f>"岡山"</f>
        <v>岡山</v>
      </c>
      <c r="G4732" t="str">
        <f>"年刊"</f>
        <v>年刊</v>
      </c>
      <c r="H4732" t="str">
        <f>"2002222300735"</f>
        <v>2002222300735</v>
      </c>
      <c r="I4732" t="str">
        <f>HYPERLINK("#", "https://opac.libnet.pref.okayama.jp/licsxp-opac/WOpacMsgNewListToTifTilDetailAction.do?tilcod=2002222300735")</f>
        <v>https://opac.libnet.pref.okayama.jp/licsxp-opac/WOpacMsgNewListToTifTilDetailAction.do?tilcod=2002222300735</v>
      </c>
    </row>
    <row r="4733" spans="1:9" x14ac:dyDescent="0.4">
      <c r="A4733" t="str">
        <f>"道しるべ"</f>
        <v>道しるべ</v>
      </c>
      <c r="B4733" s="1" t="str">
        <f t="shared" si="233"/>
        <v>道しるべ</v>
      </c>
      <c r="C4733" t="str">
        <f>"ミチシルベ"</f>
        <v>ミチシルベ</v>
      </c>
      <c r="D4733" t="str">
        <f>"岡山操山高等学校"</f>
        <v>岡山操山高等学校</v>
      </c>
      <c r="E4733" t="str">
        <f>"オカヤマ ソウザン コウトウ ガッコウ"</f>
        <v>オカヤマ ソウザン コウトウ ガッコウ</v>
      </c>
      <c r="F4733" t="str">
        <f>"岡山"</f>
        <v>岡山</v>
      </c>
      <c r="G4733" t="str">
        <f>"隔年刊"</f>
        <v>隔年刊</v>
      </c>
      <c r="H4733" t="str">
        <f>"2002222326906"</f>
        <v>2002222326906</v>
      </c>
      <c r="I4733" t="str">
        <f>HYPERLINK("#", "https://opac.libnet.pref.okayama.jp/licsxp-opac/WOpacMsgNewListToTifTilDetailAction.do?tilcod=2002222326906")</f>
        <v>https://opac.libnet.pref.okayama.jp/licsxp-opac/WOpacMsgNewListToTifTilDetailAction.do?tilcod=2002222326906</v>
      </c>
    </row>
    <row r="4734" spans="1:9" x14ac:dyDescent="0.4">
      <c r="A4734" t="str">
        <f>"道の駅 岡山県版"</f>
        <v>道の駅 岡山県版</v>
      </c>
      <c r="B4734" s="1" t="str">
        <f t="shared" si="233"/>
        <v>道の駅 岡山県版</v>
      </c>
      <c r="C4734" t="str">
        <f>"ミチノエキ　オカヤマケンバン"</f>
        <v>ミチノエキ　オカヤマケンバン</v>
      </c>
      <c r="D4734" t="str">
        <f>"株式会社ティ・シー・シー"</f>
        <v>株式会社ティ・シー・シー</v>
      </c>
      <c r="E4734" t="str">
        <f>"カブシキガイシャティシーシー"</f>
        <v>カブシキガイシャティシーシー</v>
      </c>
      <c r="F4734" t="str">
        <f>"岡山"</f>
        <v>岡山</v>
      </c>
      <c r="G4734" t="str">
        <f>"季刊"</f>
        <v>季刊</v>
      </c>
      <c r="H4734" t="str">
        <f>"2002222328826"</f>
        <v>2002222328826</v>
      </c>
      <c r="I4734" t="str">
        <f>HYPERLINK("#", "https://opac.libnet.pref.okayama.jp/licsxp-opac/WOpacMsgNewListToTifTilDetailAction.do?tilcod=2002222328826")</f>
        <v>https://opac.libnet.pref.okayama.jp/licsxp-opac/WOpacMsgNewListToTifTilDetailAction.do?tilcod=2002222328826</v>
      </c>
    </row>
    <row r="4735" spans="1:9" x14ac:dyDescent="0.4">
      <c r="A4735" t="str">
        <f>"三井川柳"</f>
        <v>三井川柳</v>
      </c>
      <c r="B4735" s="1" t="str">
        <f t="shared" si="233"/>
        <v>三井川柳</v>
      </c>
      <c r="C4735" t="str">
        <f>"ミツイ　センリュウ"</f>
        <v>ミツイ　センリュウ</v>
      </c>
      <c r="D4735" t="str">
        <f>"三井造船川柳部"</f>
        <v>三井造船川柳部</v>
      </c>
      <c r="E4735" t="str">
        <f>"ミツイゾウセンセンリュウブ"</f>
        <v>ミツイゾウセンセンリュウブ</v>
      </c>
      <c r="F4735" t="str">
        <f>""</f>
        <v/>
      </c>
      <c r="G4735" t="str">
        <f>"頻度不明"</f>
        <v>頻度不明</v>
      </c>
      <c r="H4735" t="str">
        <f>"2002222286253"</f>
        <v>2002222286253</v>
      </c>
      <c r="I4735" t="str">
        <f>HYPERLINK("#", "https://opac.libnet.pref.okayama.jp/licsxp-opac/WOpacMsgNewListToTifTilDetailAction.do?tilcod=2002222286253")</f>
        <v>https://opac.libnet.pref.okayama.jp/licsxp-opac/WOpacMsgNewListToTifTilDetailAction.do?tilcod=2002222286253</v>
      </c>
    </row>
    <row r="4736" spans="1:9" x14ac:dyDescent="0.4">
      <c r="A4736" t="str">
        <f>"[御津郡加茂川町立高富小学校]学校要覧"</f>
        <v>[御津郡加茂川町立高富小学校]学校要覧</v>
      </c>
      <c r="B4736" s="1" t="str">
        <f t="shared" si="233"/>
        <v>[御津郡加茂川町立高富小学校]学校要覧</v>
      </c>
      <c r="C4736" t="str">
        <f>"ミツグン カモガワチョウリツ タカトミ ショウガッコウ ガッコウ ヨウラン"</f>
        <v>ミツグン カモガワチョウリツ タカトミ ショウガッコウ ガッコウ ヨウラン</v>
      </c>
      <c r="D4736" t="str">
        <f>"御津郡加茂川町立高富小学校"</f>
        <v>御津郡加茂川町立高富小学校</v>
      </c>
      <c r="E4736" t="str">
        <f>""</f>
        <v/>
      </c>
      <c r="F4736" t="str">
        <f>""</f>
        <v/>
      </c>
      <c r="G4736" t="str">
        <f>"年刊"</f>
        <v>年刊</v>
      </c>
      <c r="H4736" t="str">
        <f>"2002222338890"</f>
        <v>2002222338890</v>
      </c>
      <c r="I4736" t="str">
        <f>HYPERLINK("#", "https://opac.libnet.pref.okayama.jp/licsxp-opac/WOpacMsgNewListToTifTilDetailAction.do?tilcod=2002222338890")</f>
        <v>https://opac.libnet.pref.okayama.jp/licsxp-opac/WOpacMsgNewListToTifTilDetailAction.do?tilcod=2002222338890</v>
      </c>
    </row>
    <row r="4737" spans="1:9" x14ac:dyDescent="0.4">
      <c r="A4737" t="str">
        <f>"御津郡教育雑誌"</f>
        <v>御津郡教育雑誌</v>
      </c>
      <c r="B4737" s="1" t="str">
        <f t="shared" si="233"/>
        <v>御津郡教育雑誌</v>
      </c>
      <c r="C4737" t="str">
        <f>"ミツグン　キョウイク　ザッシ"</f>
        <v>ミツグン　キョウイク　ザッシ</v>
      </c>
      <c r="D4737" t="str">
        <f>"御津郡教育会"</f>
        <v>御津郡教育会</v>
      </c>
      <c r="E4737" t="str">
        <f>"ミツグン キョウイクカイ"</f>
        <v>ミツグン キョウイクカイ</v>
      </c>
      <c r="F4737" t="str">
        <f>""</f>
        <v/>
      </c>
      <c r="G4737" t="str">
        <f>"頻度不明"</f>
        <v>頻度不明</v>
      </c>
      <c r="H4737" t="str">
        <f>"2002222286263"</f>
        <v>2002222286263</v>
      </c>
      <c r="I4737" t="str">
        <f>HYPERLINK("#", "https://opac.libnet.pref.okayama.jp/licsxp-opac/WOpacMsgNewListToTifTilDetailAction.do?tilcod=2002222286263")</f>
        <v>https://opac.libnet.pref.okayama.jp/licsxp-opac/WOpacMsgNewListToTifTilDetailAction.do?tilcod=2002222286263</v>
      </c>
    </row>
    <row r="4738" spans="1:9" x14ac:dyDescent="0.4">
      <c r="A4738" t="str">
        <f>"御津郡自警団誌"</f>
        <v>御津郡自警団誌</v>
      </c>
      <c r="B4738" s="1" t="str">
        <f t="shared" si="233"/>
        <v>御津郡自警団誌</v>
      </c>
      <c r="C4738" t="str">
        <f>"ミツグン　ジケイダン　シ"</f>
        <v>ミツグン　ジケイダン　シ</v>
      </c>
      <c r="D4738" t="str">
        <f>"御津郡自警団発行事務所"</f>
        <v>御津郡自警団発行事務所</v>
      </c>
      <c r="E4738" t="str">
        <f>"ミツグンジケイダンハッコウジムショ"</f>
        <v>ミツグンジケイダンハッコウジムショ</v>
      </c>
      <c r="F4738" t="str">
        <f>""</f>
        <v/>
      </c>
      <c r="G4738" t="str">
        <f>"頻度不明"</f>
        <v>頻度不明</v>
      </c>
      <c r="H4738" t="str">
        <f>"2002222280964"</f>
        <v>2002222280964</v>
      </c>
      <c r="I4738" t="str">
        <f>HYPERLINK("#", "https://opac.libnet.pref.okayama.jp/licsxp-opac/WOpacMsgNewListToTifTilDetailAction.do?tilcod=2002222280964")</f>
        <v>https://opac.libnet.pref.okayama.jp/licsxp-opac/WOpacMsgNewListToTifTilDetailAction.do?tilcod=2002222280964</v>
      </c>
    </row>
    <row r="4739" spans="1:9" x14ac:dyDescent="0.4">
      <c r="A4739" t="str">
        <f>"〔御津町議会・市町村合併特別委員会〕市町村合併ニュース"</f>
        <v>〔御津町議会・市町村合併特別委員会〕市町村合併ニュース</v>
      </c>
      <c r="B4739" s="1" t="str">
        <f t="shared" si="233"/>
        <v>〔御津町議会・市町村合併特別委員会〕市町村合併ニュース</v>
      </c>
      <c r="C4739" t="str">
        <f>"ミツチョウ　ギカイ　シチョウソン　ガッペイ　トクベツ　イインカイ　シチョウソン　ガッペイ　ニュース"</f>
        <v>ミツチョウ　ギカイ　シチョウソン　ガッペイ　トクベツ　イインカイ　シチョウソン　ガッペイ　ニュース</v>
      </c>
      <c r="D4739" t="str">
        <f>"御津町議会・市町村合併特別委員会"</f>
        <v>御津町議会・市町村合併特別委員会</v>
      </c>
      <c r="E4739" t="str">
        <f>"ミツチョウギカイシチョウソンガッペイトクベツイインカイ"</f>
        <v>ミツチョウギカイシチョウソンガッペイトクベツイインカイ</v>
      </c>
      <c r="F4739" t="str">
        <f>"御津町"</f>
        <v>御津町</v>
      </c>
      <c r="G4739" t="str">
        <f>"不定期刊"</f>
        <v>不定期刊</v>
      </c>
      <c r="H4739" t="str">
        <f>"2002222281764"</f>
        <v>2002222281764</v>
      </c>
      <c r="I4739" t="str">
        <f>HYPERLINK("#", "https://opac.libnet.pref.okayama.jp/licsxp-opac/WOpacMsgNewListToTifTilDetailAction.do?tilcod=2002222281764")</f>
        <v>https://opac.libnet.pref.okayama.jp/licsxp-opac/WOpacMsgNewListToTifTilDetailAction.do?tilcod=2002222281764</v>
      </c>
    </row>
    <row r="4740" spans="1:9" x14ac:dyDescent="0.4">
      <c r="A4740" t="str">
        <f>"御津町議会だより"</f>
        <v>御津町議会だより</v>
      </c>
      <c r="B4740" s="1" t="str">
        <f t="shared" ref="B4740:B4803" si="236">HYPERLINK("#", A4740)</f>
        <v>御津町議会だより</v>
      </c>
      <c r="C4740" t="str">
        <f>"ミツチョウ　ギカイ　ダヨリ"</f>
        <v>ミツチョウ　ギカイ　ダヨリ</v>
      </c>
      <c r="D4740" t="str">
        <f>"御津町"</f>
        <v>御津町</v>
      </c>
      <c r="E4740" t="str">
        <f>"ミツチョウ"</f>
        <v>ミツチョウ</v>
      </c>
      <c r="F4740" t="str">
        <f>"御津町（御津郡）"</f>
        <v>御津町（御津郡）</v>
      </c>
      <c r="G4740" t="str">
        <f>"頻度不明"</f>
        <v>頻度不明</v>
      </c>
      <c r="H4740" t="str">
        <f>"2002222281094"</f>
        <v>2002222281094</v>
      </c>
      <c r="I4740" t="str">
        <f>HYPERLINK("#", "https://opac.libnet.pref.okayama.jp/licsxp-opac/WOpacMsgNewListToTifTilDetailAction.do?tilcod=2002222281094")</f>
        <v>https://opac.libnet.pref.okayama.jp/licsxp-opac/WOpacMsgNewListToTifTilDetailAction.do?tilcod=2002222281094</v>
      </c>
    </row>
    <row r="4741" spans="1:9" x14ac:dyDescent="0.4">
      <c r="A4741" t="str">
        <f>"みつまた"</f>
        <v>みつまた</v>
      </c>
      <c r="B4741" s="1" t="str">
        <f t="shared" si="236"/>
        <v>みつまた</v>
      </c>
      <c r="C4741" t="str">
        <f>"ミツマタ"</f>
        <v>ミツマタ</v>
      </c>
      <c r="D4741" t="str">
        <f>"全印刷局労働組合西大寺支部"</f>
        <v>全印刷局労働組合西大寺支部</v>
      </c>
      <c r="E4741" t="str">
        <f>"ゼンインサツキョクロウドウクミアイサイダイジシブ"</f>
        <v>ゼンインサツキョクロウドウクミアイサイダイジシブ</v>
      </c>
      <c r="F4741" t="str">
        <f>""</f>
        <v/>
      </c>
      <c r="G4741" t="str">
        <f>"頻度不明"</f>
        <v>頻度不明</v>
      </c>
      <c r="H4741" t="str">
        <f>"2002222286273"</f>
        <v>2002222286273</v>
      </c>
      <c r="I4741" t="str">
        <f>HYPERLINK("#", "https://opac.libnet.pref.okayama.jp/licsxp-opac/WOpacMsgNewListToTifTilDetailAction.do?tilcod=2002222286273")</f>
        <v>https://opac.libnet.pref.okayama.jp/licsxp-opac/WOpacMsgNewListToTifTilDetailAction.do?tilcod=2002222286273</v>
      </c>
    </row>
    <row r="4742" spans="1:9" x14ac:dyDescent="0.4">
      <c r="A4742" t="str">
        <f>"三椏"</f>
        <v>三椏</v>
      </c>
      <c r="B4742" s="1" t="str">
        <f t="shared" si="236"/>
        <v>三椏</v>
      </c>
      <c r="C4742" t="str">
        <f>"ミツマタ"</f>
        <v>ミツマタ</v>
      </c>
      <c r="D4742" t="str">
        <f>"全印刷局労働組合西大寺支部"</f>
        <v>全印刷局労働組合西大寺支部</v>
      </c>
      <c r="E4742" t="str">
        <f>"ゼンインサツキョクロウドウクミアイサイダイジシブ"</f>
        <v>ゼンインサツキョクロウドウクミアイサイダイジシブ</v>
      </c>
      <c r="F4742" t="str">
        <f>""</f>
        <v/>
      </c>
      <c r="G4742" t="str">
        <f>"頻度不明"</f>
        <v>頻度不明</v>
      </c>
      <c r="H4742" t="str">
        <f>"2002222286283"</f>
        <v>2002222286283</v>
      </c>
      <c r="I4742" t="str">
        <f>HYPERLINK("#", "https://opac.libnet.pref.okayama.jp/licsxp-opac/WOpacMsgNewListToTifTilDetailAction.do?tilcod=2002222286283")</f>
        <v>https://opac.libnet.pref.okayama.jp/licsxp-opac/WOpacMsgNewListToTifTilDetailAction.do?tilcod=2002222286283</v>
      </c>
    </row>
    <row r="4743" spans="1:9" x14ac:dyDescent="0.4">
      <c r="A4743" t="str">
        <f>"光基（みつもと）"</f>
        <v>光基（みつもと）</v>
      </c>
      <c r="B4743" s="1" t="str">
        <f t="shared" si="236"/>
        <v>光基（みつもと）</v>
      </c>
      <c r="C4743" t="str">
        <f>"ミツモト"</f>
        <v>ミツモト</v>
      </c>
      <c r="D4743" t="str">
        <f>"大国家"</f>
        <v>大国家</v>
      </c>
      <c r="E4743" t="str">
        <f>"オオクニ　ケ"</f>
        <v>オオクニ　ケ</v>
      </c>
      <c r="F4743" t="str">
        <f>"岡山"</f>
        <v>岡山</v>
      </c>
      <c r="G4743" t="str">
        <f>"年２回刊"</f>
        <v>年２回刊</v>
      </c>
      <c r="H4743" t="str">
        <f>"2002222329966"</f>
        <v>2002222329966</v>
      </c>
      <c r="I4743" t="str">
        <f>HYPERLINK("#", "https://opac.libnet.pref.okayama.jp/licsxp-opac/WOpacMsgNewListToTifTilDetailAction.do?tilcod=2002222329966")</f>
        <v>https://opac.libnet.pref.okayama.jp/licsxp-opac/WOpacMsgNewListToTifTilDetailAction.do?tilcod=2002222329966</v>
      </c>
    </row>
    <row r="4744" spans="1:9" x14ac:dyDescent="0.4">
      <c r="A4744" t="str">
        <f>"未踏"</f>
        <v>未踏</v>
      </c>
      <c r="B4744" s="1" t="str">
        <f t="shared" si="236"/>
        <v>未踏</v>
      </c>
      <c r="C4744" t="str">
        <f>"ミトウ"</f>
        <v>ミトウ</v>
      </c>
      <c r="D4744" t="str">
        <f>"未踏の会"</f>
        <v>未踏の会</v>
      </c>
      <c r="E4744" t="str">
        <f>"ミトウノカイ"</f>
        <v>ミトウノカイ</v>
      </c>
      <c r="F4744" t="str">
        <f>"岡山"</f>
        <v>岡山</v>
      </c>
      <c r="G4744" t="str">
        <f>"頻度不明"</f>
        <v>頻度不明</v>
      </c>
      <c r="H4744" t="str">
        <f>"2002222301390"</f>
        <v>2002222301390</v>
      </c>
      <c r="I4744" t="str">
        <f>HYPERLINK("#", "https://opac.libnet.pref.okayama.jp/licsxp-opac/WOpacMsgNewListToTifTilDetailAction.do?tilcod=2002222301390")</f>
        <v>https://opac.libnet.pref.okayama.jp/licsxp-opac/WOpacMsgNewListToTifTilDetailAction.do?tilcod=2002222301390</v>
      </c>
    </row>
    <row r="4745" spans="1:9" x14ac:dyDescent="0.4">
      <c r="A4745" t="str">
        <f>"みどりの風"</f>
        <v>みどりの風</v>
      </c>
      <c r="B4745" s="1" t="str">
        <f t="shared" si="236"/>
        <v>みどりの風</v>
      </c>
      <c r="C4745" t="str">
        <f>"ミドリ　ノ　カゼ"</f>
        <v>ミドリ　ノ　カゼ</v>
      </c>
      <c r="D4745" t="str">
        <f>"岡山市公園協会"</f>
        <v>岡山市公園協会</v>
      </c>
      <c r="E4745" t="str">
        <f>"オカヤマシ コウエン キョウカイ"</f>
        <v>オカヤマシ コウエン キョウカイ</v>
      </c>
      <c r="F4745" t="str">
        <f>"岡山"</f>
        <v>岡山</v>
      </c>
      <c r="G4745" t="str">
        <f>"年２回刊"</f>
        <v>年２回刊</v>
      </c>
      <c r="H4745" t="str">
        <f>"2002222282281"</f>
        <v>2002222282281</v>
      </c>
      <c r="I4745" t="str">
        <f>HYPERLINK("#", "https://opac.libnet.pref.okayama.jp/licsxp-opac/WOpacMsgNewListToTifTilDetailAction.do?tilcod=2002222282281")</f>
        <v>https://opac.libnet.pref.okayama.jp/licsxp-opac/WOpacMsgNewListToTifTilDetailAction.do?tilcod=2002222282281</v>
      </c>
    </row>
    <row r="4746" spans="1:9" x14ac:dyDescent="0.4">
      <c r="A4746" t="str">
        <f>"緑のたより"</f>
        <v>緑のたより</v>
      </c>
      <c r="B4746" s="1" t="str">
        <f t="shared" si="236"/>
        <v>緑のたより</v>
      </c>
      <c r="C4746" t="str">
        <f>"ミドリ ノ タヨリ"</f>
        <v>ミドリ ノ タヨリ</v>
      </c>
      <c r="D4746" t="str">
        <f>"御津中部地区農業改良普及所"</f>
        <v>御津中部地区農業改良普及所</v>
      </c>
      <c r="E4746" t="str">
        <f>"ミツ チュウブ チク ノウギョウ カイリョウ フキュウショ"</f>
        <v>ミツ チュウブ チク ノウギョウ カイリョウ フキュウショ</v>
      </c>
      <c r="F4746" t="str">
        <f>"金川町(御津郡)"</f>
        <v>金川町(御津郡)</v>
      </c>
      <c r="G4746" t="str">
        <f>"頻度不明"</f>
        <v>頻度不明</v>
      </c>
      <c r="H4746" t="str">
        <f>"2002222333653"</f>
        <v>2002222333653</v>
      </c>
      <c r="I4746" t="str">
        <f>HYPERLINK("#", "https://opac.libnet.pref.okayama.jp/licsxp-opac/WOpacMsgNewListToTifTilDetailAction.do?tilcod=2002222333653")</f>
        <v>https://opac.libnet.pref.okayama.jp/licsxp-opac/WOpacMsgNewListToTifTilDetailAction.do?tilcod=2002222333653</v>
      </c>
    </row>
    <row r="4747" spans="1:9" x14ac:dyDescent="0.4">
      <c r="A4747" t="str">
        <f>"みどりのなかま"</f>
        <v>みどりのなかま</v>
      </c>
      <c r="B4747" s="1" t="str">
        <f t="shared" si="236"/>
        <v>みどりのなかま</v>
      </c>
      <c r="C4747" t="str">
        <f>"ミドリ　ノ　ナカマ"</f>
        <v>ミドリ　ノ　ナカマ</v>
      </c>
      <c r="D4747" t="str">
        <f>"岡山県改良普及職員協議会"</f>
        <v>岡山県改良普及職員協議会</v>
      </c>
      <c r="E4747" t="str">
        <f>"オカヤマケンカイリョウフキュウショクインキョウギカイ"</f>
        <v>オカヤマケンカイリョウフキュウショクインキョウギカイ</v>
      </c>
      <c r="F4747" t="str">
        <f>""</f>
        <v/>
      </c>
      <c r="G4747" t="str">
        <f>"頻度不明"</f>
        <v>頻度不明</v>
      </c>
      <c r="H4747" t="str">
        <f>"2002222286303"</f>
        <v>2002222286303</v>
      </c>
      <c r="I4747" t="str">
        <f>HYPERLINK("#", "https://opac.libnet.pref.okayama.jp/licsxp-opac/WOpacMsgNewListToTifTilDetailAction.do?tilcod=2002222286303")</f>
        <v>https://opac.libnet.pref.okayama.jp/licsxp-opac/WOpacMsgNewListToTifTilDetailAction.do?tilcod=2002222286303</v>
      </c>
    </row>
    <row r="4748" spans="1:9" x14ac:dyDescent="0.4">
      <c r="A4748" t="str">
        <f>"緑美"</f>
        <v>緑美</v>
      </c>
      <c r="B4748" s="1" t="str">
        <f t="shared" si="236"/>
        <v>緑美</v>
      </c>
      <c r="C4748" t="str">
        <f>"ミドリビ"</f>
        <v>ミドリビ</v>
      </c>
      <c r="D4748" t="str">
        <f>"緑美詩社"</f>
        <v>緑美詩社</v>
      </c>
      <c r="E4748" t="str">
        <f>"ミドリビシシャ"</f>
        <v>ミドリビシシャ</v>
      </c>
      <c r="F4748" t="str">
        <f>"岡山"</f>
        <v>岡山</v>
      </c>
      <c r="G4748" t="str">
        <f>"頻度不明"</f>
        <v>頻度不明</v>
      </c>
      <c r="H4748" t="str">
        <f>"2002222307274"</f>
        <v>2002222307274</v>
      </c>
      <c r="I4748" t="str">
        <f>HYPERLINK("#", "https://opac.libnet.pref.okayama.jp/licsxp-opac/WOpacMsgNewListToTifTilDetailAction.do?tilcod=2002222307274")</f>
        <v>https://opac.libnet.pref.okayama.jp/licsxp-opac/WOpacMsgNewListToTifTilDetailAction.do?tilcod=2002222307274</v>
      </c>
    </row>
    <row r="4749" spans="1:9" x14ac:dyDescent="0.4">
      <c r="A4749" t="str">
        <f>"南北海道史"</f>
        <v>南北海道史</v>
      </c>
      <c r="B4749" s="1" t="str">
        <f t="shared" si="236"/>
        <v>南北海道史</v>
      </c>
      <c r="C4749" t="str">
        <f>"ミナミホッカイドウシ"</f>
        <v>ミナミホッカイドウシ</v>
      </c>
      <c r="D4749" t="str">
        <f>"南北海道史研究会"</f>
        <v>南北海道史研究会</v>
      </c>
      <c r="E4749" t="str">
        <f>"ミナミホッカイドウシケンキュウカイ"</f>
        <v>ミナミホッカイドウシケンキュウカイ</v>
      </c>
      <c r="F4749" t="str">
        <f>"札幌"</f>
        <v>札幌</v>
      </c>
      <c r="G4749" t="str">
        <f>"頻度不明"</f>
        <v>頻度不明</v>
      </c>
      <c r="H4749" t="str">
        <f>"2002222286313"</f>
        <v>2002222286313</v>
      </c>
      <c r="I4749" t="str">
        <f>HYPERLINK("#", "https://opac.libnet.pref.okayama.jp/licsxp-opac/WOpacMsgNewListToTifTilDetailAction.do?tilcod=2002222286313")</f>
        <v>https://opac.libnet.pref.okayama.jp/licsxp-opac/WOpacMsgNewListToTifTilDetailAction.do?tilcod=2002222286313</v>
      </c>
    </row>
    <row r="4750" spans="1:9" x14ac:dyDescent="0.4">
      <c r="A4750" t="str">
        <f>"みなみん新聞；南公民館だより"</f>
        <v>みなみん新聞；南公民館だより</v>
      </c>
      <c r="B4750" s="1" t="str">
        <f t="shared" si="236"/>
        <v>みなみん新聞；南公民館だより</v>
      </c>
      <c r="C4750" t="str">
        <f>"ミナミン シンブン＊ミナミ コウミンカン ダヨリ"</f>
        <v>ミナミン シンブン＊ミナミ コウミンカン ダヨリ</v>
      </c>
      <c r="D4750" t="str">
        <f>"岡山市立南公民館"</f>
        <v>岡山市立南公民館</v>
      </c>
      <c r="E4750" t="str">
        <f>"オカヤマシリツ ミナミ コウミンカン"</f>
        <v>オカヤマシリツ ミナミ コウミンカン</v>
      </c>
      <c r="F4750" t="str">
        <f>"岡山"</f>
        <v>岡山</v>
      </c>
      <c r="G4750" t="str">
        <f>"隔月刊"</f>
        <v>隔月刊</v>
      </c>
      <c r="H4750" t="str">
        <f>"2002222341350"</f>
        <v>2002222341350</v>
      </c>
      <c r="I4750" t="str">
        <f>HYPERLINK("#", "https://opac.libnet.pref.okayama.jp/licsxp-opac/WOpacMsgNewListToTifTilDetailAction.do?tilcod=2002222341350")</f>
        <v>https://opac.libnet.pref.okayama.jp/licsxp-opac/WOpacMsgNewListToTifTilDetailAction.do?tilcod=2002222341350</v>
      </c>
    </row>
    <row r="4751" spans="1:9" x14ac:dyDescent="0.4">
      <c r="A4751" t="str">
        <f>"みなん"</f>
        <v>みなん</v>
      </c>
      <c r="B4751" s="1" t="str">
        <f t="shared" si="236"/>
        <v>みなん</v>
      </c>
      <c r="C4751" t="str">
        <f>"ミナン"</f>
        <v>ミナン</v>
      </c>
      <c r="D4751" t="str">
        <f>"岡山市立御南中学校生徒会"</f>
        <v>岡山市立御南中学校生徒会</v>
      </c>
      <c r="E4751" t="str">
        <f>"オカヤマシリツ ミナン チュウガッコウ セイトカイ"</f>
        <v>オカヤマシリツ ミナン チュウガッコウ セイトカイ</v>
      </c>
      <c r="F4751" t="str">
        <f>"岡山市"</f>
        <v>岡山市</v>
      </c>
      <c r="G4751" t="str">
        <f>"頻度不明"</f>
        <v>頻度不明</v>
      </c>
      <c r="H4751" t="str">
        <f>"2002222342930"</f>
        <v>2002222342930</v>
      </c>
      <c r="I4751" t="str">
        <f>HYPERLINK("#", "https://opac.libnet.pref.okayama.jp/licsxp-opac/WOpacMsgNewListToTifTilDetailAction.do?tilcod=2002222342930")</f>
        <v>https://opac.libnet.pref.okayama.jp/licsxp-opac/WOpacMsgNewListToTifTilDetailAction.do?tilcod=2002222342930</v>
      </c>
    </row>
    <row r="4752" spans="1:9" x14ac:dyDescent="0.4">
      <c r="A4752" t="str">
        <f>"みなんにし；御南西公民館だより"</f>
        <v>みなんにし；御南西公民館だより</v>
      </c>
      <c r="B4752" s="1" t="str">
        <f t="shared" si="236"/>
        <v>みなんにし；御南西公民館だより</v>
      </c>
      <c r="C4752" t="str">
        <f>"ミナン ニシ＊ミナン ニシ コウミンカン ダヨリ"</f>
        <v>ミナン ニシ＊ミナン ニシ コウミンカン ダヨリ</v>
      </c>
      <c r="D4752" t="str">
        <f>"岡山市立御南西公民館"</f>
        <v>岡山市立御南西公民館</v>
      </c>
      <c r="E4752" t="str">
        <f>"オカヤマシリツ ミナン ニシ コウミンカン"</f>
        <v>オカヤマシリツ ミナン ニシ コウミンカン</v>
      </c>
      <c r="F4752" t="str">
        <f>"岡山"</f>
        <v>岡山</v>
      </c>
      <c r="G4752" t="str">
        <f>"隔月刊"</f>
        <v>隔月刊</v>
      </c>
      <c r="H4752" t="str">
        <f>"2002222341388"</f>
        <v>2002222341388</v>
      </c>
      <c r="I4752" t="str">
        <f>HYPERLINK("#", "https://opac.libnet.pref.okayama.jp/licsxp-opac/WOpacMsgNewListToTifTilDetailAction.do?tilcod=2002222341388")</f>
        <v>https://opac.libnet.pref.okayama.jp/licsxp-opac/WOpacMsgNewListToTifTilDetailAction.do?tilcod=2002222341388</v>
      </c>
    </row>
    <row r="4753" spans="1:9" x14ac:dyDescent="0.4">
      <c r="A4753" t="str">
        <f>"minimini（ミニミニ）　岡山・広島版  "</f>
        <v xml:space="preserve">minimini（ミニミニ）　岡山・広島版  </v>
      </c>
      <c r="B4753" s="1" t="str">
        <f t="shared" si="236"/>
        <v xml:space="preserve">minimini（ミニミニ）　岡山・広島版  </v>
      </c>
      <c r="C4753" t="str">
        <f>"ミニミニ　オカヤマ　ヒロシマ　バン"</f>
        <v>ミニミニ　オカヤマ　ヒロシマ　バン</v>
      </c>
      <c r="D4753" t="str">
        <f>"株式会社ミニミニ"</f>
        <v>株式会社ミニミニ</v>
      </c>
      <c r="E4753" t="str">
        <f>"カブシキガイシャミニミニ"</f>
        <v>カブシキガイシャミニミニ</v>
      </c>
      <c r="F4753" t="str">
        <f>"岡山"</f>
        <v>岡山</v>
      </c>
      <c r="G4753" t="str">
        <f>"頻度不明"</f>
        <v>頻度不明</v>
      </c>
      <c r="H4753" t="str">
        <f>"2002222327528"</f>
        <v>2002222327528</v>
      </c>
      <c r="I4753" t="str">
        <f>HYPERLINK("#", "https://opac.libnet.pref.okayama.jp/licsxp-opac/WOpacMsgNewListToTifTilDetailAction.do?tilcod=2002222327528")</f>
        <v>https://opac.libnet.pref.okayama.jp/licsxp-opac/WOpacMsgNewListToTifTilDetailAction.do?tilcod=2002222327528</v>
      </c>
    </row>
    <row r="4754" spans="1:9" x14ac:dyDescent="0.4">
      <c r="A4754" t="str">
        <f>"Ｍｉｎｅｒｖａ（ミネルバ）"</f>
        <v>Ｍｉｎｅｒｖａ（ミネルバ）</v>
      </c>
      <c r="B4754" s="1" t="str">
        <f t="shared" si="236"/>
        <v>Ｍｉｎｅｒｖａ（ミネルバ）</v>
      </c>
      <c r="C4754" t="str">
        <f>"ミネルヴァ"</f>
        <v>ミネルヴァ</v>
      </c>
      <c r="D4754" t="str">
        <f>"玉野市教育委員会"</f>
        <v>玉野市教育委員会</v>
      </c>
      <c r="E4754" t="str">
        <f>"タマノシ キョウイク イインカイ"</f>
        <v>タマノシ キョウイク イインカイ</v>
      </c>
      <c r="F4754" t="str">
        <f>"玉野"</f>
        <v>玉野</v>
      </c>
      <c r="G4754" t="str">
        <f>"不定期刊"</f>
        <v>不定期刊</v>
      </c>
      <c r="H4754" t="str">
        <f>"2002222281571"</f>
        <v>2002222281571</v>
      </c>
      <c r="I4754" t="str">
        <f>HYPERLINK("#", "https://opac.libnet.pref.okayama.jp/licsxp-opac/WOpacMsgNewListToTifTilDetailAction.do?tilcod=2002222281571")</f>
        <v>https://opac.libnet.pref.okayama.jp/licsxp-opac/WOpacMsgNewListToTifTilDetailAction.do?tilcod=2002222281571</v>
      </c>
    </row>
    <row r="4755" spans="1:9" x14ac:dyDescent="0.4">
      <c r="A4755" t="str">
        <f>"ミネルバ"</f>
        <v>ミネルバ</v>
      </c>
      <c r="B4755" s="1" t="str">
        <f t="shared" si="236"/>
        <v>ミネルバ</v>
      </c>
      <c r="C4755" t="str">
        <f>"ミネルバ"</f>
        <v>ミネルバ</v>
      </c>
      <c r="D4755" t="str">
        <f>"冠句道場社"</f>
        <v>冠句道場社</v>
      </c>
      <c r="E4755" t="str">
        <f>"カンクドウジョウシャ"</f>
        <v>カンクドウジョウシャ</v>
      </c>
      <c r="F4755" t="str">
        <f>""</f>
        <v/>
      </c>
      <c r="G4755" t="str">
        <f>"頻度不明"</f>
        <v>頻度不明</v>
      </c>
      <c r="H4755" t="str">
        <f>"2002222286323"</f>
        <v>2002222286323</v>
      </c>
      <c r="I4755" t="str">
        <f>HYPERLINK("#", "https://opac.libnet.pref.okayama.jp/licsxp-opac/WOpacMsgNewListToTifTilDetailAction.do?tilcod=2002222286323")</f>
        <v>https://opac.libnet.pref.okayama.jp/licsxp-opac/WOpacMsgNewListToTifTilDetailAction.do?tilcod=2002222286323</v>
      </c>
    </row>
    <row r="4756" spans="1:9" x14ac:dyDescent="0.4">
      <c r="A4756" t="str">
        <f>"美野"</f>
        <v>美野</v>
      </c>
      <c r="B4756" s="1" t="str">
        <f t="shared" si="236"/>
        <v>美野</v>
      </c>
      <c r="C4756" t="str">
        <f>"ミノ"</f>
        <v>ミノ</v>
      </c>
      <c r="D4756" t="str">
        <f>"北公民館"</f>
        <v>北公民館</v>
      </c>
      <c r="E4756" t="str">
        <f>"キタコウミンカン"</f>
        <v>キタコウミンカン</v>
      </c>
      <c r="F4756" t="str">
        <f>"岡山"</f>
        <v>岡山</v>
      </c>
      <c r="G4756" t="str">
        <f>"頻度不明"</f>
        <v>頻度不明</v>
      </c>
      <c r="H4756" t="str">
        <f>"2002222302443"</f>
        <v>2002222302443</v>
      </c>
      <c r="I4756" t="str">
        <f>HYPERLINK("#", "https://opac.libnet.pref.okayama.jp/licsxp-opac/WOpacMsgNewListToTifTilDetailAction.do?tilcod=2002222302443")</f>
        <v>https://opac.libnet.pref.okayama.jp/licsxp-opac/WOpacMsgNewListToTifTilDetailAction.do?tilcod=2002222302443</v>
      </c>
    </row>
    <row r="4757" spans="1:9" x14ac:dyDescent="0.4">
      <c r="A4757" t="str">
        <f>"Minori(みのり)；広報みのり"</f>
        <v>Minori(みのり)；広報みのり</v>
      </c>
      <c r="B4757" s="1" t="str">
        <f t="shared" si="236"/>
        <v>Minori(みのり)；広報みのり</v>
      </c>
      <c r="C4757" t="str">
        <f>"ミノリ＊コウホウ ミノリ"</f>
        <v>ミノリ＊コウホウ ミノリ</v>
      </c>
      <c r="D4757" t="str">
        <f>"津山みのり学園"</f>
        <v>津山みのり学園</v>
      </c>
      <c r="E4757" t="str">
        <f>"ツヤマ ミノリ ガクエン"</f>
        <v>ツヤマ ミノリ ガクエン</v>
      </c>
      <c r="F4757" t="str">
        <f>"津山"</f>
        <v>津山</v>
      </c>
      <c r="G4757" t="str">
        <f>"頻度不明"</f>
        <v>頻度不明</v>
      </c>
      <c r="H4757" t="str">
        <f>"2002222286333"</f>
        <v>2002222286333</v>
      </c>
      <c r="I4757" t="str">
        <f>HYPERLINK("#", "https://opac.libnet.pref.okayama.jp/licsxp-opac/WOpacMsgNewListToTifTilDetailAction.do?tilcod=2002222286333")</f>
        <v>https://opac.libnet.pref.okayama.jp/licsxp-opac/WOpacMsgNewListToTifTilDetailAction.do?tilcod=2002222286333</v>
      </c>
    </row>
    <row r="4758" spans="1:9" x14ac:dyDescent="0.4">
      <c r="A4758" t="str">
        <f>"みのる速報"</f>
        <v>みのる速報</v>
      </c>
      <c r="B4758" s="1" t="str">
        <f t="shared" si="236"/>
        <v>みのる速報</v>
      </c>
      <c r="C4758" t="str">
        <f>"ミノル　ソクホウ"</f>
        <v>ミノル　ソクホウ</v>
      </c>
      <c r="D4758" t="str">
        <f>"みのる産業株式会社"</f>
        <v>みのる産業株式会社</v>
      </c>
      <c r="E4758" t="str">
        <f>"ミノルサンギョウカブシキガイシャ"</f>
        <v>ミノルサンギョウカブシキガイシャ</v>
      </c>
      <c r="F4758" t="str">
        <f>""</f>
        <v/>
      </c>
      <c r="G4758" t="str">
        <f>"月刊"</f>
        <v>月刊</v>
      </c>
      <c r="H4758" t="str">
        <f>"2002222286353"</f>
        <v>2002222286353</v>
      </c>
      <c r="I4758" t="str">
        <f>HYPERLINK("#", "https://opac.libnet.pref.okayama.jp/licsxp-opac/WOpacMsgNewListToTifTilDetailAction.do?tilcod=2002222286353")</f>
        <v>https://opac.libnet.pref.okayama.jp/licsxp-opac/WOpacMsgNewListToTifTilDetailAction.do?tilcod=2002222286353</v>
      </c>
    </row>
    <row r="4759" spans="1:9" x14ac:dyDescent="0.4">
      <c r="A4759" t="str">
        <f>"みのる；社報"</f>
        <v>みのる；社報</v>
      </c>
      <c r="B4759" s="1" t="str">
        <f t="shared" si="236"/>
        <v>みのる；社報</v>
      </c>
      <c r="C4759" t="str">
        <f>"ミノル＊シャホウ"</f>
        <v>ミノル＊シャホウ</v>
      </c>
      <c r="D4759" t="str">
        <f>"みのる産業株式会社"</f>
        <v>みのる産業株式会社</v>
      </c>
      <c r="E4759" t="str">
        <f>"ミノルサンギョウカブシキガイシャ"</f>
        <v>ミノルサンギョウカブシキガイシャ</v>
      </c>
      <c r="F4759" t="str">
        <f>""</f>
        <v/>
      </c>
      <c r="G4759" t="str">
        <f>"月刊"</f>
        <v>月刊</v>
      </c>
      <c r="H4759" t="str">
        <f>"2002222286343"</f>
        <v>2002222286343</v>
      </c>
      <c r="I4759" t="str">
        <f>HYPERLINK("#", "https://opac.libnet.pref.okayama.jp/licsxp-opac/WOpacMsgNewListToTifTilDetailAction.do?tilcod=2002222286343")</f>
        <v>https://opac.libnet.pref.okayama.jp/licsxp-opac/WOpacMsgNewListToTifTilDetailAction.do?tilcod=2002222286343</v>
      </c>
    </row>
    <row r="4760" spans="1:9" x14ac:dyDescent="0.4">
      <c r="A4760" t="str">
        <f>"みまさか"</f>
        <v>みまさか</v>
      </c>
      <c r="B4760" s="1" t="str">
        <f t="shared" si="236"/>
        <v>みまさか</v>
      </c>
      <c r="C4760" t="str">
        <f>"ミマサカ"</f>
        <v>ミマサカ</v>
      </c>
      <c r="D4760" t="str">
        <f>"美作学園"</f>
        <v>美作学園</v>
      </c>
      <c r="E4760" t="str">
        <f>"ミマサカ ガクエン"</f>
        <v>ミマサカ ガクエン</v>
      </c>
      <c r="F4760" t="str">
        <f>""</f>
        <v/>
      </c>
      <c r="G4760" t="str">
        <f t="shared" ref="G4760:G4765" si="237">"頻度不明"</f>
        <v>頻度不明</v>
      </c>
      <c r="H4760" t="str">
        <f>"2002222302156"</f>
        <v>2002222302156</v>
      </c>
      <c r="I4760" t="str">
        <f>HYPERLINK("#", "https://opac.libnet.pref.okayama.jp/licsxp-opac/WOpacMsgNewListToTifTilDetailAction.do?tilcod=2002222302156")</f>
        <v>https://opac.libnet.pref.okayama.jp/licsxp-opac/WOpacMsgNewListToTifTilDetailAction.do?tilcod=2002222302156</v>
      </c>
    </row>
    <row r="4761" spans="1:9" x14ac:dyDescent="0.4">
      <c r="A4761" t="str">
        <f>"美作雑誌"</f>
        <v>美作雑誌</v>
      </c>
      <c r="B4761" s="1" t="str">
        <f t="shared" si="236"/>
        <v>美作雑誌</v>
      </c>
      <c r="C4761" t="str">
        <f>"ミマサカ　ザッシ"</f>
        <v>ミマサカ　ザッシ</v>
      </c>
      <c r="D4761" t="str">
        <f>"美作雑誌本局"</f>
        <v>美作雑誌本局</v>
      </c>
      <c r="E4761" t="str">
        <f>"ミマサカザッシホンキョク"</f>
        <v>ミマサカザッシホンキョク</v>
      </c>
      <c r="F4761" t="str">
        <f>""</f>
        <v/>
      </c>
      <c r="G4761" t="str">
        <f t="shared" si="237"/>
        <v>頻度不明</v>
      </c>
      <c r="H4761" t="str">
        <f>"2002222281354"</f>
        <v>2002222281354</v>
      </c>
      <c r="I4761" t="str">
        <f>HYPERLINK("#", "https://opac.libnet.pref.okayama.jp/licsxp-opac/WOpacMsgNewListToTifTilDetailAction.do?tilcod=2002222281354")</f>
        <v>https://opac.libnet.pref.okayama.jp/licsxp-opac/WOpacMsgNewListToTifTilDetailAction.do?tilcod=2002222281354</v>
      </c>
    </row>
    <row r="4762" spans="1:9" x14ac:dyDescent="0.4">
      <c r="A4762" t="str">
        <f>"美作雑誌（複製）"</f>
        <v>美作雑誌（複製）</v>
      </c>
      <c r="B4762" s="1" t="str">
        <f t="shared" si="236"/>
        <v>美作雑誌（複製）</v>
      </c>
      <c r="C4762" t="str">
        <f>"ミマサカ　ザッシ"</f>
        <v>ミマサカ　ザッシ</v>
      </c>
      <c r="D4762" t="str">
        <f>"美作雑誌本局"</f>
        <v>美作雑誌本局</v>
      </c>
      <c r="E4762" t="str">
        <f>"ミマサカザッシホンキョク"</f>
        <v>ミマサカザッシホンキョク</v>
      </c>
      <c r="F4762" t="str">
        <f>""</f>
        <v/>
      </c>
      <c r="G4762" t="str">
        <f t="shared" si="237"/>
        <v>頻度不明</v>
      </c>
      <c r="H4762" t="str">
        <f>"2002222286363"</f>
        <v>2002222286363</v>
      </c>
      <c r="I4762" t="str">
        <f>HYPERLINK("#", "https://opac.libnet.pref.okayama.jp/licsxp-opac/WOpacMsgNewListToTifTilDetailAction.do?tilcod=2002222286363")</f>
        <v>https://opac.libnet.pref.okayama.jp/licsxp-opac/WOpacMsgNewListToTifTilDetailAction.do?tilcod=2002222286363</v>
      </c>
    </row>
    <row r="4763" spans="1:9" x14ac:dyDescent="0.4">
      <c r="A4763" t="str">
        <f>"みまさか四季"</f>
        <v>みまさか四季</v>
      </c>
      <c r="B4763" s="1" t="str">
        <f t="shared" si="236"/>
        <v>みまさか四季</v>
      </c>
      <c r="C4763" t="str">
        <f>"ミマサカ　シキ"</f>
        <v>ミマサカ　シキ</v>
      </c>
      <c r="D4763" t="str">
        <f>"みまさか四季社"</f>
        <v>みまさか四季社</v>
      </c>
      <c r="E4763" t="str">
        <f>"ミマサカシキシャ"</f>
        <v>ミマサカシキシャ</v>
      </c>
      <c r="F4763" t="str">
        <f>""</f>
        <v/>
      </c>
      <c r="G4763" t="str">
        <f t="shared" si="237"/>
        <v>頻度不明</v>
      </c>
      <c r="H4763" t="str">
        <f>"2002222286373"</f>
        <v>2002222286373</v>
      </c>
      <c r="I4763" t="str">
        <f>HYPERLINK("#", "https://opac.libnet.pref.okayama.jp/licsxp-opac/WOpacMsgNewListToTifTilDetailAction.do?tilcod=2002222286373")</f>
        <v>https://opac.libnet.pref.okayama.jp/licsxp-opac/WOpacMsgNewListToTifTilDetailAction.do?tilcod=2002222286373</v>
      </c>
    </row>
    <row r="4764" spans="1:9" x14ac:dyDescent="0.4">
      <c r="A4764" t="str">
        <f>"みまさか社協だより"</f>
        <v>みまさか社協だより</v>
      </c>
      <c r="B4764" s="1" t="str">
        <f t="shared" si="236"/>
        <v>みまさか社協だより</v>
      </c>
      <c r="C4764" t="str">
        <f>"ミマサカ　シャキョウ　ダヨリ"</f>
        <v>ミマサカ　シャキョウ　ダヨリ</v>
      </c>
      <c r="D4764" t="str">
        <f>"美作町社会福祉協議会"</f>
        <v>美作町社会福祉協議会</v>
      </c>
      <c r="E4764" t="str">
        <f>"ミマサカチョウシャカイフクシキョウギカイ"</f>
        <v>ミマサカチョウシャカイフクシキョウギカイ</v>
      </c>
      <c r="F4764" t="str">
        <f>"美作町（英田郡）"</f>
        <v>美作町（英田郡）</v>
      </c>
      <c r="G4764" t="str">
        <f t="shared" si="237"/>
        <v>頻度不明</v>
      </c>
      <c r="H4764" t="str">
        <f>"2002222282481"</f>
        <v>2002222282481</v>
      </c>
      <c r="I4764" t="str">
        <f>HYPERLINK("#", "https://opac.libnet.pref.okayama.jp/licsxp-opac/WOpacMsgNewListToTifTilDetailAction.do?tilcod=2002222282481")</f>
        <v>https://opac.libnet.pref.okayama.jp/licsxp-opac/WOpacMsgNewListToTifTilDetailAction.do?tilcod=2002222282481</v>
      </c>
    </row>
    <row r="4765" spans="1:9" x14ac:dyDescent="0.4">
      <c r="A4765" t="str">
        <f>"美作春秋"</f>
        <v>美作春秋</v>
      </c>
      <c r="B4765" s="1" t="str">
        <f t="shared" si="236"/>
        <v>美作春秋</v>
      </c>
      <c r="C4765" t="str">
        <f>"ミマサカ　シュンジュウ"</f>
        <v>ミマサカ　シュンジュウ</v>
      </c>
      <c r="D4765" t="str">
        <f>"美作町文化協会"</f>
        <v>美作町文化協会</v>
      </c>
      <c r="E4765" t="str">
        <f>"ミマサカチョウブンカキョウカイ"</f>
        <v>ミマサカチョウブンカキョウカイ</v>
      </c>
      <c r="F4765" t="str">
        <f>"美作町（英田郡）"</f>
        <v>美作町（英田郡）</v>
      </c>
      <c r="G4765" t="str">
        <f t="shared" si="237"/>
        <v>頻度不明</v>
      </c>
      <c r="H4765" t="str">
        <f>"2002222286383"</f>
        <v>2002222286383</v>
      </c>
      <c r="I4765" t="str">
        <f>HYPERLINK("#", "https://opac.libnet.pref.okayama.jp/licsxp-opac/WOpacMsgNewListToTifTilDetailAction.do?tilcod=2002222286383")</f>
        <v>https://opac.libnet.pref.okayama.jp/licsxp-opac/WOpacMsgNewListToTifTilDetailAction.do?tilcod=2002222286383</v>
      </c>
    </row>
    <row r="4766" spans="1:9" x14ac:dyDescent="0.4">
      <c r="A4766" t="str">
        <f>"美作女子大学・美作女子大学短期大学部紀要"</f>
        <v>美作女子大学・美作女子大学短期大学部紀要</v>
      </c>
      <c r="B4766" s="1" t="str">
        <f t="shared" si="236"/>
        <v>美作女子大学・美作女子大学短期大学部紀要</v>
      </c>
      <c r="C4766" t="str">
        <f>"ミマサカ　ジョシ　ダイガク　ミマサカ　ジョシ　ダイガク　タンキ　ダイガクブ　キヨウ"</f>
        <v>ミマサカ　ジョシ　ダイガク　ミマサカ　ジョシ　ダイガク　タンキ　ダイガクブ　キヨウ</v>
      </c>
      <c r="D4766" t="str">
        <f>"美作女子大学美作女子大学短期大学部"</f>
        <v>美作女子大学美作女子大学短期大学部</v>
      </c>
      <c r="E4766" t="str">
        <f>""</f>
        <v/>
      </c>
      <c r="F4766" t="str">
        <f>"岡山"</f>
        <v>岡山</v>
      </c>
      <c r="G4766" t="str">
        <f>"年刊"</f>
        <v>年刊</v>
      </c>
      <c r="H4766" t="str">
        <f>"2002222300109"</f>
        <v>2002222300109</v>
      </c>
      <c r="I4766" t="str">
        <f>HYPERLINK("#", "https://opac.libnet.pref.okayama.jp/licsxp-opac/WOpacMsgNewListToTifTilDetailAction.do?tilcod=2002222300109")</f>
        <v>https://opac.libnet.pref.okayama.jp/licsxp-opac/WOpacMsgNewListToTifTilDetailAction.do?tilcod=2002222300109</v>
      </c>
    </row>
    <row r="4767" spans="1:9" x14ac:dyDescent="0.4">
      <c r="A4767" t="str">
        <f>"美作女子大学・美作女子短期大学研究紀要"</f>
        <v>美作女子大学・美作女子短期大学研究紀要</v>
      </c>
      <c r="B4767" s="1" t="str">
        <f t="shared" si="236"/>
        <v>美作女子大学・美作女子短期大学研究紀要</v>
      </c>
      <c r="C4767" t="str">
        <f>"ミマサカ　ジョシ　ダイガク　ミマサカ　ジョシ　タンキ　ダイガク　ケンキュウ　キヨウ"</f>
        <v>ミマサカ　ジョシ　ダイガク　ミマサカ　ジョシ　タンキ　ダイガク　ケンキュウ　キヨウ</v>
      </c>
      <c r="D4767" t="str">
        <f>"美作女子大学・美作女子短期大学"</f>
        <v>美作女子大学・美作女子短期大学</v>
      </c>
      <c r="E4767" t="str">
        <f>"ミマサカジョシダイガクミマサカジョシタンキダイガク"</f>
        <v>ミマサカジョシダイガクミマサカジョシタンキダイガク</v>
      </c>
      <c r="F4767" t="str">
        <f>"津山"</f>
        <v>津山</v>
      </c>
      <c r="G4767" t="str">
        <f>"年刊"</f>
        <v>年刊</v>
      </c>
      <c r="H4767" t="str">
        <f>"2002222294521"</f>
        <v>2002222294521</v>
      </c>
      <c r="I4767" t="str">
        <f>HYPERLINK("#", "https://opac.libnet.pref.okayama.jp/licsxp-opac/WOpacMsgNewListToTifTilDetailAction.do?tilcod=2002222294521")</f>
        <v>https://opac.libnet.pref.okayama.jp/licsxp-opac/WOpacMsgNewListToTifTilDetailAction.do?tilcod=2002222294521</v>
      </c>
    </row>
    <row r="4768" spans="1:9" x14ac:dyDescent="0.4">
      <c r="A4768" t="str">
        <f>"みまさか青年"</f>
        <v>みまさか青年</v>
      </c>
      <c r="B4768" s="1" t="str">
        <f t="shared" si="236"/>
        <v>みまさか青年</v>
      </c>
      <c r="C4768" t="str">
        <f>"ミマサカ セイネン"</f>
        <v>ミマサカ セイネン</v>
      </c>
      <c r="D4768" t="str">
        <f>"美作青年社"</f>
        <v>美作青年社</v>
      </c>
      <c r="E4768" t="str">
        <f>"ミマサカ セイネンシャ"</f>
        <v>ミマサカ セイネンシャ</v>
      </c>
      <c r="F4768" t="str">
        <f>"津山"</f>
        <v>津山</v>
      </c>
      <c r="G4768" t="str">
        <f>"頻度不明"</f>
        <v>頻度不明</v>
      </c>
      <c r="H4768" t="str">
        <f>"2002222330150"</f>
        <v>2002222330150</v>
      </c>
      <c r="I4768" t="str">
        <f>HYPERLINK("#", "https://opac.libnet.pref.okayama.jp/licsxp-opac/WOpacMsgNewListToTifTilDetailAction.do?tilcod=2002222330150")</f>
        <v>https://opac.libnet.pref.okayama.jp/licsxp-opac/WOpacMsgNewListToTifTilDetailAction.do?tilcod=2002222330150</v>
      </c>
    </row>
    <row r="4769" spans="1:9" x14ac:dyDescent="0.4">
      <c r="A4769" t="str">
        <f>"美作青年協和会誌"</f>
        <v>美作青年協和会誌</v>
      </c>
      <c r="B4769" s="1" t="str">
        <f t="shared" si="236"/>
        <v>美作青年協和会誌</v>
      </c>
      <c r="C4769" t="str">
        <f>"ミマサカ　セイネン　キョウワカイシ"</f>
        <v>ミマサカ　セイネン　キョウワカイシ</v>
      </c>
      <c r="D4769" t="str">
        <f>"美作青年協和会"</f>
        <v>美作青年協和会</v>
      </c>
      <c r="E4769" t="str">
        <f>"ミマサカセイネンキョウワカイ"</f>
        <v>ミマサカセイネンキョウワカイ</v>
      </c>
      <c r="F4769" t="str">
        <f>"東京"</f>
        <v>東京</v>
      </c>
      <c r="G4769" t="str">
        <f>"頻度不明"</f>
        <v>頻度不明</v>
      </c>
      <c r="H4769" t="str">
        <f>"2002222301363"</f>
        <v>2002222301363</v>
      </c>
      <c r="I4769" t="str">
        <f>HYPERLINK("#", "https://opac.libnet.pref.okayama.jp/licsxp-opac/WOpacMsgNewListToTifTilDetailAction.do?tilcod=2002222301363")</f>
        <v>https://opac.libnet.pref.okayama.jp/licsxp-opac/WOpacMsgNewListToTifTilDetailAction.do?tilcod=2002222301363</v>
      </c>
    </row>
    <row r="4770" spans="1:9" x14ac:dyDescent="0.4">
      <c r="A4770" t="str">
        <f>"[美作大学・美作大学短期大学部]学報みまさか"</f>
        <v>[美作大学・美作大学短期大学部]学報みまさか</v>
      </c>
      <c r="B4770" s="1" t="str">
        <f t="shared" si="236"/>
        <v>[美作大学・美作大学短期大学部]学報みまさか</v>
      </c>
      <c r="C4770" t="str">
        <f>"ミマサカ ダイガク ミマサカ ダイガク タンキ ダイガクブ ガクホウ ミマサカ"</f>
        <v>ミマサカ ダイガク ミマサカ ダイガク タンキ ダイガクブ ガクホウ ミマサカ</v>
      </c>
      <c r="D4770" t="str">
        <f>"美作大学・美作大学短期大学部"</f>
        <v>美作大学・美作大学短期大学部</v>
      </c>
      <c r="E4770" t="str">
        <f>"ミマサカ ダイガク ミマサカ タンキ ダイガクブ"</f>
        <v>ミマサカ ダイガク ミマサカ タンキ ダイガクブ</v>
      </c>
      <c r="F4770" t="str">
        <f>"津山"</f>
        <v>津山</v>
      </c>
      <c r="G4770" t="str">
        <f>"年２回刊"</f>
        <v>年２回刊</v>
      </c>
      <c r="H4770" t="str">
        <f>"2002222322626"</f>
        <v>2002222322626</v>
      </c>
      <c r="I4770" t="str">
        <f>HYPERLINK("#", "https://opac.libnet.pref.okayama.jp/licsxp-opac/WOpacMsgNewListToTifTilDetailAction.do?tilcod=2002222322626")</f>
        <v>https://opac.libnet.pref.okayama.jp/licsxp-opac/WOpacMsgNewListToTifTilDetailAction.do?tilcod=2002222322626</v>
      </c>
    </row>
    <row r="4771" spans="1:9" x14ac:dyDescent="0.4">
      <c r="A4771" t="str">
        <f>"美作大学・美作大学短期大学部紀要"</f>
        <v>美作大学・美作大学短期大学部紀要</v>
      </c>
      <c r="B4771" s="1" t="str">
        <f t="shared" si="236"/>
        <v>美作大学・美作大学短期大学部紀要</v>
      </c>
      <c r="C4771" t="str">
        <f>"ミマサカ　ダイガク　ミマサカ　ダイガク　タンキ　ダイガクブ　キヨウ"</f>
        <v>ミマサカ　ダイガク　ミマサカ　ダイガク　タンキ　ダイガクブ　キヨウ</v>
      </c>
      <c r="D4771" t="str">
        <f>"美作大学美作大学短期大学部"</f>
        <v>美作大学美作大学短期大学部</v>
      </c>
      <c r="E4771" t="str">
        <f>""</f>
        <v/>
      </c>
      <c r="F4771" t="str">
        <f>"岡山"</f>
        <v>岡山</v>
      </c>
      <c r="G4771" t="str">
        <f>"年刊"</f>
        <v>年刊</v>
      </c>
      <c r="H4771" t="str">
        <f>"2002222300026"</f>
        <v>2002222300026</v>
      </c>
      <c r="I4771" t="str">
        <f>HYPERLINK("#", "https://opac.libnet.pref.okayama.jp/licsxp-opac/WOpacMsgNewListToTifTilDetailAction.do?tilcod=2002222300026")</f>
        <v>https://opac.libnet.pref.okayama.jp/licsxp-opac/WOpacMsgNewListToTifTilDetailAction.do?tilcod=2002222300026</v>
      </c>
    </row>
    <row r="4772" spans="1:9" x14ac:dyDescent="0.4">
      <c r="A4772" t="str">
        <f>"〔美作短期大学〕想林；学生論文集"</f>
        <v>〔美作短期大学〕想林；学生論文集</v>
      </c>
      <c r="B4772" s="1" t="str">
        <f t="shared" si="236"/>
        <v>〔美作短期大学〕想林；学生論文集</v>
      </c>
      <c r="C4772" t="str">
        <f>"ミマサカ　タンキ　ダイガク＊ソウリン＊ガクセイ　ロンブンシュウ"</f>
        <v>ミマサカ　タンキ　ダイガク＊ソウリン＊ガクセイ　ロンブンシュウ</v>
      </c>
      <c r="D4772" t="str">
        <f>"美作短期大学学生会"</f>
        <v>美作短期大学学生会</v>
      </c>
      <c r="E4772" t="str">
        <f>"ミマサカ タンキ ダイガク ガクセイカイ"</f>
        <v>ミマサカ タンキ ダイガク ガクセイカイ</v>
      </c>
      <c r="F4772" t="str">
        <f>"津山"</f>
        <v>津山</v>
      </c>
      <c r="G4772" t="str">
        <f>"頻度不明"</f>
        <v>頻度不明</v>
      </c>
      <c r="H4772" t="str">
        <f>"2002222287733"</f>
        <v>2002222287733</v>
      </c>
      <c r="I4772" t="str">
        <f>HYPERLINK("#", "https://opac.libnet.pref.okayama.jp/licsxp-opac/WOpacMsgNewListToTifTilDetailAction.do?tilcod=2002222287733")</f>
        <v>https://opac.libnet.pref.okayama.jp/licsxp-opac/WOpacMsgNewListToTifTilDetailAction.do?tilcod=2002222287733</v>
      </c>
    </row>
    <row r="4773" spans="1:9" x14ac:dyDescent="0.4">
      <c r="A4773" t="str">
        <f>"美作地域史研究"</f>
        <v>美作地域史研究</v>
      </c>
      <c r="B4773" s="1" t="str">
        <f t="shared" si="236"/>
        <v>美作地域史研究</v>
      </c>
      <c r="C4773" t="str">
        <f>"ミマサカ　チイキシ　ケンキュウ"</f>
        <v>ミマサカ　チイキシ　ケンキュウ</v>
      </c>
      <c r="D4773" t="str">
        <f>"美作大学地域生活科学研究所美作地域史研究会"</f>
        <v>美作大学地域生活科学研究所美作地域史研究会</v>
      </c>
      <c r="E4773" t="str">
        <f>"ミマサカ ダイガク チイキ セイカツ カガク ケンキュウジョ ミマサカ チイキシ ケンキュウカイ"</f>
        <v>ミマサカ ダイガク チイキ セイカツ カガク ケンキュウジョ ミマサカ チイキシ ケンキュウカイ</v>
      </c>
      <c r="F4773" t="str">
        <f>"津山"</f>
        <v>津山</v>
      </c>
      <c r="G4773" t="str">
        <f>"年刊"</f>
        <v>年刊</v>
      </c>
      <c r="H4773" t="str">
        <f>"2002222301760"</f>
        <v>2002222301760</v>
      </c>
      <c r="I4773" t="str">
        <f>HYPERLINK("#", "https://opac.libnet.pref.okayama.jp/licsxp-opac/WOpacMsgNewListToTifTilDetailAction.do?tilcod=2002222301760")</f>
        <v>https://opac.libnet.pref.okayama.jp/licsxp-opac/WOpacMsgNewListToTifTilDetailAction.do?tilcod=2002222301760</v>
      </c>
    </row>
    <row r="4774" spans="1:9" x14ac:dyDescent="0.4">
      <c r="A4774" t="str">
        <f>"美作で住まう家"</f>
        <v>美作で住まう家</v>
      </c>
      <c r="B4774" s="1" t="str">
        <f t="shared" si="236"/>
        <v>美作で住まう家</v>
      </c>
      <c r="C4774" t="str">
        <f>"ミマサカ デ スマウ イエ"</f>
        <v>ミマサカ デ スマウ イエ</v>
      </c>
      <c r="D4774" t="str">
        <f>"AFWアットタウン"</f>
        <v>AFWアットタウン</v>
      </c>
      <c r="E4774" t="str">
        <f>"エーエフダブリューアットタウン"</f>
        <v>エーエフダブリューアットタウン</v>
      </c>
      <c r="F4774" t="str">
        <f>"津山"</f>
        <v>津山</v>
      </c>
      <c r="G4774" t="str">
        <f>"不定期刊"</f>
        <v>不定期刊</v>
      </c>
      <c r="H4774" t="str">
        <f>"2002222317767"</f>
        <v>2002222317767</v>
      </c>
      <c r="I4774" t="str">
        <f>HYPERLINK("#", "https://opac.libnet.pref.okayama.jp/licsxp-opac/WOpacMsgNewListToTifTilDetailAction.do?tilcod=2002222317767")</f>
        <v>https://opac.libnet.pref.okayama.jp/licsxp-opac/WOpacMsgNewListToTifTilDetailAction.do?tilcod=2002222317767</v>
      </c>
    </row>
    <row r="4775" spans="1:9" x14ac:dyDescent="0.4">
      <c r="A4775" t="str">
        <f>"みまさかの公民館"</f>
        <v>みまさかの公民館</v>
      </c>
      <c r="B4775" s="1" t="str">
        <f t="shared" si="236"/>
        <v>みまさかの公民館</v>
      </c>
      <c r="C4775" t="str">
        <f>"ミマサカ　ノ　コウミンカン"</f>
        <v>ミマサカ　ノ　コウミンカン</v>
      </c>
      <c r="D4775" t="str">
        <f>"美作地区社会教育協議会"</f>
        <v>美作地区社会教育協議会</v>
      </c>
      <c r="E4775" t="str">
        <f>"ミマサカチク シャカイキョウイク キョウギカイ"</f>
        <v>ミマサカチク シャカイキョウイク キョウギカイ</v>
      </c>
      <c r="F4775" t="str">
        <f>""</f>
        <v/>
      </c>
      <c r="G4775" t="str">
        <f>"頻度不明"</f>
        <v>頻度不明</v>
      </c>
      <c r="H4775" t="str">
        <f>"2002222282064"</f>
        <v>2002222282064</v>
      </c>
      <c r="I4775" t="str">
        <f>HYPERLINK("#", "https://opac.libnet.pref.okayama.jp/licsxp-opac/WOpacMsgNewListToTifTilDetailAction.do?tilcod=2002222282064")</f>
        <v>https://opac.libnet.pref.okayama.jp/licsxp-opac/WOpacMsgNewListToTifTilDetailAction.do?tilcod=2002222282064</v>
      </c>
    </row>
    <row r="4776" spans="1:9" x14ac:dyDescent="0.4">
      <c r="A4776" t="str">
        <f>"美作の自然と文化財をまもる会会報"</f>
        <v>美作の自然と文化財をまもる会会報</v>
      </c>
      <c r="B4776" s="1" t="str">
        <f t="shared" si="236"/>
        <v>美作の自然と文化財をまもる会会報</v>
      </c>
      <c r="C4776" t="str">
        <f>"ミマサカ ノ シゼン ト ブンカザイ オ マモル カイ カイホウ"</f>
        <v>ミマサカ ノ シゼン ト ブンカザイ オ マモル カイ カイホウ</v>
      </c>
      <c r="D4776" t="str">
        <f>"美作の自然と文化財を守る会"</f>
        <v>美作の自然と文化財を守る会</v>
      </c>
      <c r="E4776" t="str">
        <f>"ミマサカ ノ シゼン ト ブンカザイ オ マモル カイ"</f>
        <v>ミマサカ ノ シゼン ト ブンカザイ オ マモル カイ</v>
      </c>
      <c r="F4776" t="str">
        <f>""</f>
        <v/>
      </c>
      <c r="G4776" t="str">
        <f>"頻度不明"</f>
        <v>頻度不明</v>
      </c>
      <c r="H4776" t="str">
        <f>"2002222341830"</f>
        <v>2002222341830</v>
      </c>
      <c r="I4776" t="str">
        <f>HYPERLINK("#", "https://opac.libnet.pref.okayama.jp/licsxp-opac/WOpacMsgNewListToTifTilDetailAction.do?tilcod=2002222341830")</f>
        <v>https://opac.libnet.pref.okayama.jp/licsxp-opac/WOpacMsgNewListToTifTilDetailAction.do?tilcod=2002222341830</v>
      </c>
    </row>
    <row r="4777" spans="1:9" x14ac:dyDescent="0.4">
      <c r="A4777" t="str">
        <f>"みまさかの文化"</f>
        <v>みまさかの文化</v>
      </c>
      <c r="B4777" s="1" t="str">
        <f t="shared" si="236"/>
        <v>みまさかの文化</v>
      </c>
      <c r="C4777" t="str">
        <f>"ミマサカ　ノ　ブンカ"</f>
        <v>ミマサカ　ノ　ブンカ</v>
      </c>
      <c r="D4777" t="str">
        <f>"美作文化協会"</f>
        <v>美作文化協会</v>
      </c>
      <c r="E4777" t="str">
        <f>"ミマサカブンカキョウカイ"</f>
        <v>ミマサカブンカキョウカイ</v>
      </c>
      <c r="F4777" t="str">
        <f>"美作"</f>
        <v>美作</v>
      </c>
      <c r="G4777" t="str">
        <f>"年刊"</f>
        <v>年刊</v>
      </c>
      <c r="H4777" t="str">
        <f>"2002222293331"</f>
        <v>2002222293331</v>
      </c>
      <c r="I4777" t="str">
        <f>HYPERLINK("#", "https://opac.libnet.pref.okayama.jp/licsxp-opac/WOpacMsgNewListToTifTilDetailAction.do?tilcod=2002222293331")</f>
        <v>https://opac.libnet.pref.okayama.jp/licsxp-opac/WOpacMsgNewListToTifTilDetailAction.do?tilcod=2002222293331</v>
      </c>
    </row>
    <row r="4778" spans="1:9" x14ac:dyDescent="0.4">
      <c r="A4778" t="str">
        <f>"mimasaka B.b；県北ブライダル情報誌B.b(ブライダル&amp;ビューティ)"</f>
        <v>mimasaka B.b；県北ブライダル情報誌B.b(ブライダル&amp;ビューティ)</v>
      </c>
      <c r="B4778" s="1" t="str">
        <f t="shared" si="236"/>
        <v>mimasaka B.b；県北ブライダル情報誌B.b(ブライダル&amp;ビューティ)</v>
      </c>
      <c r="C4778" t="str">
        <f>"ミマサカ ビー ビー＊ケンホク ブライダル ジョウホウシ ビービーブライダル アンド ビューティ"</f>
        <v>ミマサカ ビー ビー＊ケンホク ブライダル ジョウホウシ ビービーブライダル アンド ビューティ</v>
      </c>
      <c r="D4778" t="str">
        <f>"アットタウン編集室"</f>
        <v>アットタウン編集室</v>
      </c>
      <c r="E4778" t="str">
        <f>"アット タウン　ヘンシュウシツ"</f>
        <v>アット タウン　ヘンシュウシツ</v>
      </c>
      <c r="F4778" t="str">
        <f>"津山"</f>
        <v>津山</v>
      </c>
      <c r="G4778" t="str">
        <f>"季刊"</f>
        <v>季刊</v>
      </c>
      <c r="H4778" t="str">
        <f>"2002222317766"</f>
        <v>2002222317766</v>
      </c>
      <c r="I4778" t="str">
        <f>HYPERLINK("#", "https://opac.libnet.pref.okayama.jp/licsxp-opac/WOpacMsgNewListToTifTilDetailAction.do?tilcod=2002222317766")</f>
        <v>https://opac.libnet.pref.okayama.jp/licsxp-opac/WOpacMsgNewListToTifTilDetailAction.do?tilcod=2002222317766</v>
      </c>
    </row>
    <row r="4779" spans="1:9" x14ac:dyDescent="0.4">
      <c r="A4779" t="str">
        <f>"美作部落研だより"</f>
        <v>美作部落研だより</v>
      </c>
      <c r="B4779" s="1" t="str">
        <f t="shared" si="236"/>
        <v>美作部落研だより</v>
      </c>
      <c r="C4779" t="str">
        <f>"ミマサカ　ブラクケン　ダヨリ"</f>
        <v>ミマサカ　ブラクケン　ダヨリ</v>
      </c>
      <c r="D4779" t="str">
        <f>"〔美作部落問題研究会事務局〕"</f>
        <v>〔美作部落問題研究会事務局〕</v>
      </c>
      <c r="E4779" t="str">
        <f>"ミマサカブラクモンダイケンキュウカイジムキョク"</f>
        <v>ミマサカブラクモンダイケンキュウカイジムキョク</v>
      </c>
      <c r="F4779" t="str">
        <f>"津山"</f>
        <v>津山</v>
      </c>
      <c r="G4779" t="str">
        <f>"月刊"</f>
        <v>月刊</v>
      </c>
      <c r="H4779" t="str">
        <f>"2002222302098"</f>
        <v>2002222302098</v>
      </c>
      <c r="I4779" t="str">
        <f>HYPERLINK("#", "https://opac.libnet.pref.okayama.jp/licsxp-opac/WOpacMsgNewListToTifTilDetailAction.do?tilcod=2002222302098")</f>
        <v>https://opac.libnet.pref.okayama.jp/licsxp-opac/WOpacMsgNewListToTifTilDetailAction.do?tilcod=2002222302098</v>
      </c>
    </row>
    <row r="4780" spans="1:9" x14ac:dyDescent="0.4">
      <c r="A4780" t="str">
        <f>"美作文化"</f>
        <v>美作文化</v>
      </c>
      <c r="B4780" s="1" t="str">
        <f t="shared" si="236"/>
        <v>美作文化</v>
      </c>
      <c r="C4780" t="str">
        <f>"ミマサカ　ブンカ"</f>
        <v>ミマサカ　ブンカ</v>
      </c>
      <c r="D4780" t="str">
        <f>"美作文化会議事務局"</f>
        <v>美作文化会議事務局</v>
      </c>
      <c r="E4780" t="str">
        <f>"ミマサカブンカカイギジムキョク"</f>
        <v>ミマサカブンカカイギジムキョク</v>
      </c>
      <c r="F4780" t="str">
        <f>""</f>
        <v/>
      </c>
      <c r="G4780" t="str">
        <f>"頻度不明"</f>
        <v>頻度不明</v>
      </c>
      <c r="H4780" t="str">
        <f>"2002222286403"</f>
        <v>2002222286403</v>
      </c>
      <c r="I4780" t="str">
        <f>HYPERLINK("#", "https://opac.libnet.pref.okayama.jp/licsxp-opac/WOpacMsgNewListToTifTilDetailAction.do?tilcod=2002222286403")</f>
        <v>https://opac.libnet.pref.okayama.jp/licsxp-opac/WOpacMsgNewListToTifTilDetailAction.do?tilcod=2002222286403</v>
      </c>
    </row>
    <row r="4781" spans="1:9" x14ac:dyDescent="0.4">
      <c r="A4781" t="str">
        <f>"美作報知"</f>
        <v>美作報知</v>
      </c>
      <c r="B4781" s="1" t="str">
        <f t="shared" si="236"/>
        <v>美作報知</v>
      </c>
      <c r="C4781" t="str">
        <f>"ミマサカ ホウチ"</f>
        <v>ミマサカ ホウチ</v>
      </c>
      <c r="D4781" t="str">
        <f>"美作報知社"</f>
        <v>美作報知社</v>
      </c>
      <c r="E4781" t="str">
        <f>"ミマサカ ホウチシャ"</f>
        <v>ミマサカ ホウチシャ</v>
      </c>
      <c r="F4781" t="str">
        <f>"津山"</f>
        <v>津山</v>
      </c>
      <c r="G4781" t="str">
        <f>"頻度不明"</f>
        <v>頻度不明</v>
      </c>
      <c r="H4781" t="str">
        <f>"2002222336772"</f>
        <v>2002222336772</v>
      </c>
      <c r="I4781" t="str">
        <f>HYPERLINK("#", "https://opac.libnet.pref.okayama.jp/licsxp-opac/WOpacMsgNewListToTifTilDetailAction.do?tilcod=2002222336772")</f>
        <v>https://opac.libnet.pref.okayama.jp/licsxp-opac/WOpacMsgNewListToTifTilDetailAction.do?tilcod=2002222336772</v>
      </c>
    </row>
    <row r="4782" spans="1:9" x14ac:dyDescent="0.4">
      <c r="A4782" t="str">
        <f>"美作民研だより"</f>
        <v>美作民研だより</v>
      </c>
      <c r="B4782" s="1" t="str">
        <f t="shared" si="236"/>
        <v>美作民研だより</v>
      </c>
      <c r="C4782" t="str">
        <f>"ミマサカ　ミンケン　ダヨリ"</f>
        <v>ミマサカ　ミンケン　ダヨリ</v>
      </c>
      <c r="D4782" t="str">
        <f>"〔美作民主主義研究会事務局〕"</f>
        <v>〔美作民主主義研究会事務局〕</v>
      </c>
      <c r="E4782" t="str">
        <f>"ミマサカミンシュシュギケンキュウカイジムキョク"</f>
        <v>ミマサカミンシュシュギケンキュウカイジムキョク</v>
      </c>
      <c r="F4782" t="str">
        <f>"津山"</f>
        <v>津山</v>
      </c>
      <c r="G4782" t="str">
        <f>"月刊"</f>
        <v>月刊</v>
      </c>
      <c r="H4782" t="str">
        <f>"2002222302097"</f>
        <v>2002222302097</v>
      </c>
      <c r="I4782" t="str">
        <f>HYPERLINK("#", "https://opac.libnet.pref.okayama.jp/licsxp-opac/WOpacMsgNewListToTifTilDetailAction.do?tilcod=2002222302097")</f>
        <v>https://opac.libnet.pref.okayama.jp/licsxp-opac/WOpacMsgNewListToTifTilDetailAction.do?tilcod=2002222302097</v>
      </c>
    </row>
    <row r="4783" spans="1:9" x14ac:dyDescent="0.4">
      <c r="A4783" t="str">
        <f>"みまさか路"</f>
        <v>みまさか路</v>
      </c>
      <c r="B4783" s="1" t="str">
        <f t="shared" si="236"/>
        <v>みまさか路</v>
      </c>
      <c r="C4783" t="str">
        <f>"ミマサカジ"</f>
        <v>ミマサカジ</v>
      </c>
      <c r="D4783" t="str">
        <f>"美作観光連盟"</f>
        <v>美作観光連盟</v>
      </c>
      <c r="E4783" t="str">
        <f>"ミマサカ カンコウ レンメイ"</f>
        <v>ミマサカ カンコウ レンメイ</v>
      </c>
      <c r="F4783" t="str">
        <f>"津山"</f>
        <v>津山</v>
      </c>
      <c r="G4783" t="str">
        <f>"不定期刊"</f>
        <v>不定期刊</v>
      </c>
      <c r="H4783" t="str">
        <f>"2002222300745"</f>
        <v>2002222300745</v>
      </c>
      <c r="I4783" t="str">
        <f>HYPERLINK("#", "https://opac.libnet.pref.okayama.jp/licsxp-opac/WOpacMsgNewListToTifTilDetailAction.do?tilcod=2002222300745")</f>
        <v>https://opac.libnet.pref.okayama.jp/licsxp-opac/WOpacMsgNewListToTifTilDetailAction.do?tilcod=2002222300745</v>
      </c>
    </row>
    <row r="4784" spans="1:9" x14ac:dyDescent="0.4">
      <c r="A4784" t="str">
        <f>"美作市議会だより"</f>
        <v>美作市議会だより</v>
      </c>
      <c r="B4784" s="1" t="str">
        <f t="shared" si="236"/>
        <v>美作市議会だより</v>
      </c>
      <c r="C4784" t="str">
        <f>"ミマサカシ　ギカイ　ダヨリ"</f>
        <v>ミマサカシ　ギカイ　ダヨリ</v>
      </c>
      <c r="D4784" t="str">
        <f>"美作市議会"</f>
        <v>美作市議会</v>
      </c>
      <c r="E4784" t="str">
        <f>"ミマサカシギカイ"</f>
        <v>ミマサカシギカイ</v>
      </c>
      <c r="F4784" t="str">
        <f>"美作"</f>
        <v>美作</v>
      </c>
      <c r="G4784" t="str">
        <f>"季刊"</f>
        <v>季刊</v>
      </c>
      <c r="H4784" t="str">
        <f>"2002222301052"</f>
        <v>2002222301052</v>
      </c>
      <c r="I4784" t="str">
        <f>HYPERLINK("#", "https://opac.libnet.pref.okayama.jp/licsxp-opac/WOpacMsgNewListToTifTilDetailAction.do?tilcod=2002222301052")</f>
        <v>https://opac.libnet.pref.okayama.jp/licsxp-opac/WOpacMsgNewListToTifTilDetailAction.do?tilcod=2002222301052</v>
      </c>
    </row>
    <row r="4785" spans="1:9" x14ac:dyDescent="0.4">
      <c r="A4785" t="str">
        <f>"美作市社協だより"</f>
        <v>美作市社協だより</v>
      </c>
      <c r="B4785" s="1" t="str">
        <f t="shared" si="236"/>
        <v>美作市社協だより</v>
      </c>
      <c r="C4785" t="str">
        <f>"ミマサカシ　シャキョウ　ダヨリ"</f>
        <v>ミマサカシ　シャキョウ　ダヨリ</v>
      </c>
      <c r="D4785" t="str">
        <f>"美作市社会福祉協議会"</f>
        <v>美作市社会福祉協議会</v>
      </c>
      <c r="E4785" t="str">
        <f>"ミマサカシシャカイフクシキョウギカイ"</f>
        <v>ミマサカシシャカイフクシキョウギカイ</v>
      </c>
      <c r="F4785" t="str">
        <f>"美作"</f>
        <v>美作</v>
      </c>
      <c r="G4785" t="str">
        <f>"隔月刊"</f>
        <v>隔月刊</v>
      </c>
      <c r="H4785" t="str">
        <f>"2002222300791"</f>
        <v>2002222300791</v>
      </c>
      <c r="I4785" t="str">
        <f>HYPERLINK("#", "https://opac.libnet.pref.okayama.jp/licsxp-opac/WOpacMsgNewListToTifTilDetailAction.do?tilcod=2002222300791")</f>
        <v>https://opac.libnet.pref.okayama.jp/licsxp-opac/WOpacMsgNewListToTifTilDetailAction.do?tilcod=2002222300791</v>
      </c>
    </row>
    <row r="4786" spans="1:9" x14ac:dyDescent="0.4">
      <c r="A4786" t="str">
        <f>"美作市スポーツ推進委員協議会だより;スポーツの輪"</f>
        <v>美作市スポーツ推進委員協議会だより;スポーツの輪</v>
      </c>
      <c r="B4786" s="1" t="str">
        <f t="shared" si="236"/>
        <v>美作市スポーツ推進委員協議会だより;スポーツの輪</v>
      </c>
      <c r="C4786" t="str">
        <f>"ミマサカシ スポーツ スイシン イイン キョウギカイ ダヨリ＊スポーツ ノ ワ"</f>
        <v>ミマサカシ スポーツ スイシン イイン キョウギカイ ダヨリ＊スポーツ ノ ワ</v>
      </c>
      <c r="D4786" t="str">
        <f>"美作市スポーツ推進委員協議会事業推進部会"</f>
        <v>美作市スポーツ推進委員協議会事業推進部会</v>
      </c>
      <c r="E4786" t="str">
        <f>"ミマサカシ スポーツ スイシン イイン キョウギカイ ジギョウ スイシン ブカイ"</f>
        <v>ミマサカシ スポーツ スイシン イイン キョウギカイ ジギョウ スイシン ブカイ</v>
      </c>
      <c r="F4786" t="str">
        <f>"美作"</f>
        <v>美作</v>
      </c>
      <c r="G4786" t="str">
        <f>"年２回刊"</f>
        <v>年２回刊</v>
      </c>
      <c r="H4786" t="str">
        <f>"2002222312968"</f>
        <v>2002222312968</v>
      </c>
      <c r="I4786" t="str">
        <f>HYPERLINK("#", "https://opac.libnet.pref.okayama.jp/licsxp-opac/WOpacMsgNewListToTifTilDetailAction.do?tilcod=2002222312968")</f>
        <v>https://opac.libnet.pref.okayama.jp/licsxp-opac/WOpacMsgNewListToTifTilDetailAction.do?tilcod=2002222312968</v>
      </c>
    </row>
    <row r="4787" spans="1:9" x14ac:dyDescent="0.4">
      <c r="A4787" t="str">
        <f>"美作市体育指導委員協議会だより;スポーツの輪"</f>
        <v>美作市体育指導委員協議会だより;スポーツの輪</v>
      </c>
      <c r="B4787" s="1" t="str">
        <f t="shared" si="236"/>
        <v>美作市体育指導委員協議会だより;スポーツの輪</v>
      </c>
      <c r="C4787" t="str">
        <f>"ミマサカシ　タイイク　シドウ　イイン　キョウギカイ　ダヨリ*スポーツ ノ ワ"</f>
        <v>ミマサカシ　タイイク　シドウ　イイン　キョウギカイ　ダヨリ*スポーツ ノ ワ</v>
      </c>
      <c r="D4787" t="str">
        <f>"体育指導委員協議会事業推進部会"</f>
        <v>体育指導委員協議会事業推進部会</v>
      </c>
      <c r="E4787" t="str">
        <f>"タイイク シドウ イイン キョウギカイ ジギョウ スイシンブカイ "</f>
        <v xml:space="preserve">タイイク シドウ イイン キョウギカイ ジギョウ スイシンブカイ </v>
      </c>
      <c r="F4787" t="str">
        <f>"美作"</f>
        <v>美作</v>
      </c>
      <c r="G4787" t="str">
        <f>"年２回刊"</f>
        <v>年２回刊</v>
      </c>
      <c r="H4787" t="str">
        <f>"2002222302342"</f>
        <v>2002222302342</v>
      </c>
      <c r="I4787" t="str">
        <f>HYPERLINK("#", "https://opac.libnet.pref.okayama.jp/licsxp-opac/WOpacMsgNewListToTifTilDetailAction.do?tilcod=2002222302342")</f>
        <v>https://opac.libnet.pref.okayama.jp/licsxp-opac/WOpacMsgNewListToTifTilDetailAction.do?tilcod=2002222302342</v>
      </c>
    </row>
    <row r="4788" spans="1:9" x14ac:dyDescent="0.4">
      <c r="A4788" t="str">
        <f>"美作市老連だより"</f>
        <v>美作市老連だより</v>
      </c>
      <c r="B4788" s="1" t="str">
        <f t="shared" si="236"/>
        <v>美作市老連だより</v>
      </c>
      <c r="C4788" t="str">
        <f>"ミマサカシ　ロウレン　ダヨリ"</f>
        <v>ミマサカシ　ロウレン　ダヨリ</v>
      </c>
      <c r="D4788" t="str">
        <f>"美作市老人クラブ連合会"</f>
        <v>美作市老人クラブ連合会</v>
      </c>
      <c r="E4788" t="str">
        <f>"ミマサカシロウジンクラブレンゴウカイ"</f>
        <v>ミマサカシロウジンクラブレンゴウカイ</v>
      </c>
      <c r="F4788" t="str">
        <f>"美作市"</f>
        <v>美作市</v>
      </c>
      <c r="G4788" t="str">
        <f>"年２回刊"</f>
        <v>年２回刊</v>
      </c>
      <c r="H4788" t="str">
        <f>"2002222301886"</f>
        <v>2002222301886</v>
      </c>
      <c r="I4788" t="str">
        <f>HYPERLINK("#", "https://opac.libnet.pref.okayama.jp/licsxp-opac/WOpacMsgNewListToTifTilDetailAction.do?tilcod=2002222301886")</f>
        <v>https://opac.libnet.pref.okayama.jp/licsxp-opac/WOpacMsgNewListToTifTilDetailAction.do?tilcod=2002222301886</v>
      </c>
    </row>
    <row r="4789" spans="1:9" x14ac:dyDescent="0.4">
      <c r="A4789" t="str">
        <f>"みまさか町議会だより"</f>
        <v>みまさか町議会だより</v>
      </c>
      <c r="B4789" s="1" t="str">
        <f t="shared" si="236"/>
        <v>みまさか町議会だより</v>
      </c>
      <c r="C4789" t="str">
        <f>"ミマサカチヨウ　ギカイ　ダヨリ"</f>
        <v>ミマサカチヨウ　ギカイ　ダヨリ</v>
      </c>
      <c r="D4789" t="str">
        <f>"岡山県美作町議会"</f>
        <v>岡山県美作町議会</v>
      </c>
      <c r="E4789" t="str">
        <f>"オカヤマケンミマサカチョウギカイ"</f>
        <v>オカヤマケンミマサカチョウギカイ</v>
      </c>
      <c r="F4789" t="str">
        <f>"美作町"</f>
        <v>美作町</v>
      </c>
      <c r="G4789" t="str">
        <f>"その他"</f>
        <v>その他</v>
      </c>
      <c r="H4789" t="str">
        <f>"2002222293681"</f>
        <v>2002222293681</v>
      </c>
      <c r="I4789" t="str">
        <f>HYPERLINK("#", "https://opac.libnet.pref.okayama.jp/licsxp-opac/WOpacMsgNewListToTifTilDetailAction.do?tilcod=2002222293681")</f>
        <v>https://opac.libnet.pref.okayama.jp/licsxp-opac/WOpacMsgNewListToTifTilDetailAction.do?tilcod=2002222293681</v>
      </c>
    </row>
    <row r="4790" spans="1:9" x14ac:dyDescent="0.4">
      <c r="A4790" t="str">
        <f>"〔美作町文化協会〕会誌"</f>
        <v>〔美作町文化協会〕会誌</v>
      </c>
      <c r="B4790" s="1" t="str">
        <f t="shared" si="236"/>
        <v>〔美作町文化協会〕会誌</v>
      </c>
      <c r="C4790" t="str">
        <f>"ミマサカチョウ　ブンカ　キョウカイ＊カイシ"</f>
        <v>ミマサカチョウ　ブンカ　キョウカイ＊カイシ</v>
      </c>
      <c r="D4790" t="str">
        <f>"美作町文化協会"</f>
        <v>美作町文化協会</v>
      </c>
      <c r="E4790" t="str">
        <f>"ミマサカチョウブンカキョウカイ"</f>
        <v>ミマサカチョウブンカキョウカイ</v>
      </c>
      <c r="F4790" t="str">
        <f>"美作町（英田郡）"</f>
        <v>美作町（英田郡）</v>
      </c>
      <c r="G4790" t="str">
        <f>"頻度不明"</f>
        <v>頻度不明</v>
      </c>
      <c r="H4790" t="str">
        <f>"2002222286393"</f>
        <v>2002222286393</v>
      </c>
      <c r="I4790" t="str">
        <f>HYPERLINK("#", "https://opac.libnet.pref.okayama.jp/licsxp-opac/WOpacMsgNewListToTifTilDetailAction.do?tilcod=2002222286393")</f>
        <v>https://opac.libnet.pref.okayama.jp/licsxp-opac/WOpacMsgNewListToTifTilDetailAction.do?tilcod=2002222286393</v>
      </c>
    </row>
    <row r="4791" spans="1:9" x14ac:dyDescent="0.4">
      <c r="A4791" t="str">
        <f>"ミモザ"</f>
        <v>ミモザ</v>
      </c>
      <c r="B4791" s="1" t="str">
        <f t="shared" si="236"/>
        <v>ミモザ</v>
      </c>
      <c r="C4791" t="str">
        <f>"ミモザ"</f>
        <v>ミモザ</v>
      </c>
      <c r="D4791" t="str">
        <f>"ミモザ会"</f>
        <v>ミモザ会</v>
      </c>
      <c r="E4791" t="str">
        <f>"ミモザ　カイ"</f>
        <v>ミモザ　カイ</v>
      </c>
      <c r="F4791" t="str">
        <f>"長浜村（邑久郡）"</f>
        <v>長浜村（邑久郡）</v>
      </c>
      <c r="G4791" t="str">
        <f>"不定期刊"</f>
        <v>不定期刊</v>
      </c>
      <c r="H4791" t="str">
        <f>"2002222315146"</f>
        <v>2002222315146</v>
      </c>
      <c r="I4791" t="str">
        <f>HYPERLINK("#", "https://opac.libnet.pref.okayama.jp/licsxp-opac/WOpacMsgNewListToTifTilDetailAction.do?tilcod=2002222315146")</f>
        <v>https://opac.libnet.pref.okayama.jp/licsxp-opac/WOpacMsgNewListToTifTilDetailAction.do?tilcod=2002222315146</v>
      </c>
    </row>
    <row r="4792" spans="1:9" x14ac:dyDescent="0.4">
      <c r="A4792" t="str">
        <f>"みやび"</f>
        <v>みやび</v>
      </c>
      <c r="B4792" s="1" t="str">
        <f t="shared" si="236"/>
        <v>みやび</v>
      </c>
      <c r="C4792" t="str">
        <f>"ミヤビ"</f>
        <v>ミヤビ</v>
      </c>
      <c r="D4792" t="str">
        <f>"みやび吟社"</f>
        <v>みやび吟社</v>
      </c>
      <c r="E4792" t="str">
        <f>"ミヤビギンシャ"</f>
        <v>ミヤビギンシャ</v>
      </c>
      <c r="F4792" t="str">
        <f>""</f>
        <v/>
      </c>
      <c r="G4792" t="str">
        <f>"頻度不明"</f>
        <v>頻度不明</v>
      </c>
      <c r="H4792" t="str">
        <f>"2002222286423"</f>
        <v>2002222286423</v>
      </c>
      <c r="I4792" t="str">
        <f>HYPERLINK("#", "https://opac.libnet.pref.okayama.jp/licsxp-opac/WOpacMsgNewListToTifTilDetailAction.do?tilcod=2002222286423")</f>
        <v>https://opac.libnet.pref.okayama.jp/licsxp-opac/WOpacMsgNewListToTifTilDetailAction.do?tilcod=2002222286423</v>
      </c>
    </row>
    <row r="4793" spans="1:9" x14ac:dyDescent="0.4">
      <c r="A4793" t="str">
        <f>"MUSEUM LETTER(ミュージアムレター)"</f>
        <v>MUSEUM LETTER(ミュージアムレター)</v>
      </c>
      <c r="B4793" s="1" t="str">
        <f t="shared" si="236"/>
        <v>MUSEUM LETTER(ミュージアムレター)</v>
      </c>
      <c r="C4793" t="str">
        <f>"ミュージアム レター"</f>
        <v>ミュージアム レター</v>
      </c>
      <c r="D4793" t="str">
        <f>"勝央美術文学館"</f>
        <v>勝央美術文学館</v>
      </c>
      <c r="E4793" t="str">
        <f>"ショウオウ ビジュツ ブンガクカン"</f>
        <v>ショウオウ ビジュツ ブンガクカン</v>
      </c>
      <c r="F4793" t="str">
        <f>"勝田"</f>
        <v>勝田</v>
      </c>
      <c r="G4793" t="str">
        <f>"季刊"</f>
        <v>季刊</v>
      </c>
      <c r="H4793" t="str">
        <f>"2002222307829"</f>
        <v>2002222307829</v>
      </c>
      <c r="I4793" t="str">
        <f>HYPERLINK("#", "https://opac.libnet.pref.okayama.jp/licsxp-opac/WOpacMsgNewListToTifTilDetailAction.do?tilcod=2002222307829")</f>
        <v>https://opac.libnet.pref.okayama.jp/licsxp-opac/WOpacMsgNewListToTifTilDetailAction.do?tilcod=2002222307829</v>
      </c>
    </row>
    <row r="4794" spans="1:9" x14ac:dyDescent="0.4">
      <c r="A4794" t="str">
        <f>"妙教寺だより"</f>
        <v>妙教寺だより</v>
      </c>
      <c r="B4794" s="1" t="str">
        <f t="shared" si="236"/>
        <v>妙教寺だより</v>
      </c>
      <c r="C4794" t="str">
        <f>"ミョウキョウジ　ダヨリ"</f>
        <v>ミョウキョウジ　ダヨリ</v>
      </c>
      <c r="D4794" t="str">
        <f>"最上稲荷山妙教寺"</f>
        <v>最上稲荷山妙教寺</v>
      </c>
      <c r="E4794" t="str">
        <f>"サイジョウ イナリサン ミョウキョウジ"</f>
        <v>サイジョウ イナリサン ミョウキョウジ</v>
      </c>
      <c r="F4794" t="str">
        <f>""</f>
        <v/>
      </c>
      <c r="G4794" t="str">
        <f>"頻度不明"</f>
        <v>頻度不明</v>
      </c>
      <c r="H4794" t="str">
        <f>"2002222286433"</f>
        <v>2002222286433</v>
      </c>
      <c r="I4794" t="str">
        <f>HYPERLINK("#", "https://opac.libnet.pref.okayama.jp/licsxp-opac/WOpacMsgNewListToTifTilDetailAction.do?tilcod=2002222286433")</f>
        <v>https://opac.libnet.pref.okayama.jp/licsxp-opac/WOpacMsgNewListToTifTilDetailAction.do?tilcod=2002222286433</v>
      </c>
    </row>
    <row r="4795" spans="1:9" x14ac:dyDescent="0.4">
      <c r="A4795" t="str">
        <f>"未来"</f>
        <v>未来</v>
      </c>
      <c r="B4795" s="1" t="str">
        <f t="shared" si="236"/>
        <v>未来</v>
      </c>
      <c r="C4795" t="str">
        <f>"ミライ"</f>
        <v>ミライ</v>
      </c>
      <c r="D4795" t="str">
        <f>"岡山県鍼灸マッサージ師会"</f>
        <v>岡山県鍼灸マッサージ師会</v>
      </c>
      <c r="E4795" t="str">
        <f>"オカヤマケン　シンキュウ　マッサージ　シカイ"</f>
        <v>オカヤマケン　シンキュウ　マッサージ　シカイ</v>
      </c>
      <c r="F4795" t="str">
        <f>"岡山"</f>
        <v>岡山</v>
      </c>
      <c r="G4795" t="str">
        <f>"頻度不明"</f>
        <v>頻度不明</v>
      </c>
      <c r="H4795" t="str">
        <f>"2002222328429"</f>
        <v>2002222328429</v>
      </c>
      <c r="I4795" t="str">
        <f>HYPERLINK("#", "https://opac.libnet.pref.okayama.jp/licsxp-opac/WOpacMsgNewListToTifTilDetailAction.do?tilcod=2002222328429")</f>
        <v>https://opac.libnet.pref.okayama.jp/licsxp-opac/WOpacMsgNewListToTifTilDetailAction.do?tilcod=2002222328429</v>
      </c>
    </row>
    <row r="4796" spans="1:9" x14ac:dyDescent="0.4">
      <c r="A4796" t="str">
        <f>"未来につなげたい、大切な記憶；ハンセン病療養所世界遺産登録推進協議会会報誌"</f>
        <v>未来につなげたい、大切な記憶；ハンセン病療養所世界遺産登録推進協議会会報誌</v>
      </c>
      <c r="B4796" s="1" t="str">
        <f t="shared" si="236"/>
        <v>未来につなげたい、大切な記憶；ハンセン病療養所世界遺産登録推進協議会会報誌</v>
      </c>
      <c r="C4796" t="str">
        <f>"ミライ ニ ツナゲタイ タイセツ ナ キオク＊ハンセンビョウ リョウヨウジョ セカイ イサン トウロク スイシン キョウギカイ カイホウシ"</f>
        <v>ミライ ニ ツナゲタイ タイセツ ナ キオク＊ハンセンビョウ リョウヨウジョ セカイ イサン トウロク スイシン キョウギカイ カイホウシ</v>
      </c>
      <c r="D4796" t="str">
        <f>"ハンセン病療養所世界遺産登録推進協議会事務局"</f>
        <v>ハンセン病療養所世界遺産登録推進協議会事務局</v>
      </c>
      <c r="E4796" t="str">
        <f>"ハンセンビョウ リョウヨウジョ セカイ イサン トウロク スイシン キョウギカイ ジムキョク"</f>
        <v>ハンセンビョウ リョウヨウジョ セカイ イサン トウロク スイシン キョウギカイ ジムキョク</v>
      </c>
      <c r="F4796" t="str">
        <f>"瀬戸内"</f>
        <v>瀬戸内</v>
      </c>
      <c r="G4796" t="str">
        <f>"年２回刊"</f>
        <v>年２回刊</v>
      </c>
      <c r="H4796" t="str">
        <f>"2002222335027"</f>
        <v>2002222335027</v>
      </c>
      <c r="I4796" t="str">
        <f>HYPERLINK("#", "https://opac.libnet.pref.okayama.jp/licsxp-opac/WOpacMsgNewListToTifTilDetailAction.do?tilcod=2002222335027")</f>
        <v>https://opac.libnet.pref.okayama.jp/licsxp-opac/WOpacMsgNewListToTifTilDetailAction.do?tilcod=2002222335027</v>
      </c>
    </row>
    <row r="4797" spans="1:9" x14ac:dyDescent="0.4">
      <c r="A4797" t="str">
        <f>"みらい　東粟倉村議会だより"</f>
        <v>みらい　東粟倉村議会だより</v>
      </c>
      <c r="B4797" s="1" t="str">
        <f t="shared" si="236"/>
        <v>みらい　東粟倉村議会だより</v>
      </c>
      <c r="C4797" t="str">
        <f>"ミライ　ヒガシアワクラソン　ギカイ　ダヨリ"</f>
        <v>ミライ　ヒガシアワクラソン　ギカイ　ダヨリ</v>
      </c>
      <c r="D4797" t="str">
        <f>"東粟倉村議会だより編集委員会"</f>
        <v>東粟倉村議会だより編集委員会</v>
      </c>
      <c r="E4797" t="str">
        <f>"ヒガシアワクラソンギカイダヨリヘンシュウイインカイ"</f>
        <v>ヒガシアワクラソンギカイダヨリヘンシュウイインカイ</v>
      </c>
      <c r="F4797" t="str">
        <f>"東粟倉村"</f>
        <v>東粟倉村</v>
      </c>
      <c r="G4797" t="str">
        <f>"季刊"</f>
        <v>季刊</v>
      </c>
      <c r="H4797" t="str">
        <f>"2002222280911"</f>
        <v>2002222280911</v>
      </c>
      <c r="I4797" t="str">
        <f>HYPERLINK("#", "https://opac.libnet.pref.okayama.jp/licsxp-opac/WOpacMsgNewListToTifTilDetailAction.do?tilcod=2002222280911")</f>
        <v>https://opac.libnet.pref.okayama.jp/licsxp-opac/WOpacMsgNewListToTifTilDetailAction.do?tilcod=2002222280911</v>
      </c>
    </row>
    <row r="4798" spans="1:9" x14ac:dyDescent="0.4">
      <c r="A4798" t="str">
        <f>"視る"</f>
        <v>視る</v>
      </c>
      <c r="B4798" s="1" t="str">
        <f t="shared" si="236"/>
        <v>視る</v>
      </c>
      <c r="C4798" t="str">
        <f>"ミル"</f>
        <v>ミル</v>
      </c>
      <c r="D4798" t="str">
        <f>"「視る」編集部"</f>
        <v>「視る」編集部</v>
      </c>
      <c r="E4798" t="str">
        <f>"ミルヘンシュウブ"</f>
        <v>ミルヘンシュウブ</v>
      </c>
      <c r="F4798" t="str">
        <f>""</f>
        <v/>
      </c>
      <c r="G4798" t="str">
        <f>"頻度不明"</f>
        <v>頻度不明</v>
      </c>
      <c r="H4798" t="str">
        <f>"2002222286443"</f>
        <v>2002222286443</v>
      </c>
      <c r="I4798" t="str">
        <f>HYPERLINK("#", "https://opac.libnet.pref.okayama.jp/licsxp-opac/WOpacMsgNewListToTifTilDetailAction.do?tilcod=2002222286443")</f>
        <v>https://opac.libnet.pref.okayama.jp/licsxp-opac/WOpacMsgNewListToTifTilDetailAction.do?tilcod=2002222286443</v>
      </c>
    </row>
    <row r="4799" spans="1:9" x14ac:dyDescent="0.4">
      <c r="A4799" t="str">
        <f>"ＭｉＲＵ　ＭｉＲＵ"</f>
        <v>ＭｉＲＵ　ＭｉＲＵ</v>
      </c>
      <c r="B4799" s="1" t="str">
        <f t="shared" si="236"/>
        <v>ＭｉＲＵ　ＭｉＲＵ</v>
      </c>
      <c r="C4799" t="str">
        <f>"ミルミル"</f>
        <v>ミルミル</v>
      </c>
      <c r="D4799" t="str">
        <f>"プロア"</f>
        <v>プロア</v>
      </c>
      <c r="E4799" t="str">
        <f>"プロア"</f>
        <v>プロア</v>
      </c>
      <c r="F4799" t="str">
        <f>"〔岡山〕"</f>
        <v>〔岡山〕</v>
      </c>
      <c r="G4799" t="str">
        <f>"月刊"</f>
        <v>月刊</v>
      </c>
      <c r="H4799" t="str">
        <f>"2002222301386"</f>
        <v>2002222301386</v>
      </c>
      <c r="I4799" t="str">
        <f>HYPERLINK("#", "https://opac.libnet.pref.okayama.jp/licsxp-opac/WOpacMsgNewListToTifTilDetailAction.do?tilcod=2002222301386")</f>
        <v>https://opac.libnet.pref.okayama.jp/licsxp-opac/WOpacMsgNewListToTifTilDetailAction.do?tilcod=2002222301386</v>
      </c>
    </row>
    <row r="4800" spans="1:9" x14ac:dyDescent="0.4">
      <c r="A4800" t="str">
        <f>"民児協おかやま"</f>
        <v>民児協おかやま</v>
      </c>
      <c r="B4800" s="1" t="str">
        <f t="shared" si="236"/>
        <v>民児協おかやま</v>
      </c>
      <c r="C4800" t="str">
        <f>"ミンジキョウ オカヤマ"</f>
        <v>ミンジキョウ オカヤマ</v>
      </c>
      <c r="D4800" t="str">
        <f>"岡山市民生委員児童委員協議会"</f>
        <v>岡山市民生委員児童委員協議会</v>
      </c>
      <c r="E4800" t="str">
        <f>"オカヤマシ ミンセイ イイン ジドウ イイン キョウギカイ"</f>
        <v>オカヤマシ ミンセイ イイン ジドウ イイン キョウギカイ</v>
      </c>
      <c r="F4800" t="str">
        <f>""</f>
        <v/>
      </c>
      <c r="G4800" t="str">
        <f>"年２回刊"</f>
        <v>年２回刊</v>
      </c>
      <c r="H4800" t="str">
        <f>"2002222317227"</f>
        <v>2002222317227</v>
      </c>
      <c r="I4800" t="str">
        <f>HYPERLINK("#", "https://opac.libnet.pref.okayama.jp/licsxp-opac/WOpacMsgNewListToTifTilDetailAction.do?tilcod=2002222317227")</f>
        <v>https://opac.libnet.pref.okayama.jp/licsxp-opac/WOpacMsgNewListToTifTilDetailAction.do?tilcod=2002222317227</v>
      </c>
    </row>
    <row r="4801" spans="1:9" x14ac:dyDescent="0.4">
      <c r="A4801" t="str">
        <f>"民主教育"</f>
        <v>民主教育</v>
      </c>
      <c r="B4801" s="1" t="str">
        <f t="shared" si="236"/>
        <v>民主教育</v>
      </c>
      <c r="C4801" t="str">
        <f>"ミンシュ　キョウイク"</f>
        <v>ミンシュ　キョウイク</v>
      </c>
      <c r="D4801" t="str">
        <f>"岡山県民主教育協議会"</f>
        <v>岡山県民主教育協議会</v>
      </c>
      <c r="E4801" t="str">
        <f>"オカヤマケン ミンシュ キョウイク キョウギカイ"</f>
        <v>オカヤマケン ミンシュ キョウイク キョウギカイ</v>
      </c>
      <c r="F4801" t="str">
        <f>""</f>
        <v/>
      </c>
      <c r="G4801" t="str">
        <f>"年２回刊"</f>
        <v>年２回刊</v>
      </c>
      <c r="H4801" t="str">
        <f>"2002222286453"</f>
        <v>2002222286453</v>
      </c>
      <c r="I4801" t="str">
        <f>HYPERLINK("#", "https://opac.libnet.pref.okayama.jp/licsxp-opac/WOpacMsgNewListToTifTilDetailAction.do?tilcod=2002222286453")</f>
        <v>https://opac.libnet.pref.okayama.jp/licsxp-opac/WOpacMsgNewListToTifTilDetailAction.do?tilcod=2002222286453</v>
      </c>
    </row>
    <row r="4802" spans="1:9" x14ac:dyDescent="0.4">
      <c r="A4802" t="str">
        <f>"民族と歴史"</f>
        <v>民族と歴史</v>
      </c>
      <c r="B4802" s="1" t="str">
        <f t="shared" si="236"/>
        <v>民族と歴史</v>
      </c>
      <c r="C4802" t="str">
        <f>"ミンゾク　ト　レキシ"</f>
        <v>ミンゾク　ト　レキシ</v>
      </c>
      <c r="D4802" t="str">
        <f>"日本学術普及会"</f>
        <v>日本学術普及会</v>
      </c>
      <c r="E4802" t="str">
        <f>"ニホンガクジュツフキュウカイ"</f>
        <v>ニホンガクジュツフキュウカイ</v>
      </c>
      <c r="F4802" t="str">
        <f>""</f>
        <v/>
      </c>
      <c r="G4802" t="str">
        <f>"頻度不明"</f>
        <v>頻度不明</v>
      </c>
      <c r="H4802" t="str">
        <f>"2002222286463"</f>
        <v>2002222286463</v>
      </c>
      <c r="I4802" t="str">
        <f>HYPERLINK("#", "https://opac.libnet.pref.okayama.jp/licsxp-opac/WOpacMsgNewListToTifTilDetailAction.do?tilcod=2002222286463")</f>
        <v>https://opac.libnet.pref.okayama.jp/licsxp-opac/WOpacMsgNewListToTifTilDetailAction.do?tilcod=2002222286463</v>
      </c>
    </row>
    <row r="4803" spans="1:9" x14ac:dyDescent="0.4">
      <c r="A4803" t="str">
        <f>"みんちゃい ; つやま市議会だより"</f>
        <v>みんちゃい ; つやま市議会だより</v>
      </c>
      <c r="B4803" s="1" t="str">
        <f t="shared" si="236"/>
        <v>みんちゃい ; つやま市議会だより</v>
      </c>
      <c r="C4803" t="str">
        <f>"ミンチャイ＊ ツヤマ シギカイ ダヨリ"</f>
        <v>ミンチャイ＊ ツヤマ シギカイ ダヨリ</v>
      </c>
      <c r="D4803" t="str">
        <f>"津山市議会"</f>
        <v>津山市議会</v>
      </c>
      <c r="E4803" t="str">
        <f>"ツヤマシギカイ"</f>
        <v>ツヤマシギカイ</v>
      </c>
      <c r="F4803" t="str">
        <f>"津山"</f>
        <v>津山</v>
      </c>
      <c r="G4803" t="str">
        <f>"月刊"</f>
        <v>月刊</v>
      </c>
      <c r="H4803" t="str">
        <f>"2002222332772"</f>
        <v>2002222332772</v>
      </c>
      <c r="I4803" t="str">
        <f>HYPERLINK("#", "https://opac.libnet.pref.okayama.jp/licsxp-opac/WOpacMsgNewListToTifTilDetailAction.do?tilcod=2002222332772")</f>
        <v>https://opac.libnet.pref.okayama.jp/licsxp-opac/WOpacMsgNewListToTifTilDetailAction.do?tilcod=2002222332772</v>
      </c>
    </row>
    <row r="4804" spans="1:9" x14ac:dyDescent="0.4">
      <c r="A4804" t="str">
        <f>"みんなで守ろう瀬戸の海"</f>
        <v>みんなで守ろう瀬戸の海</v>
      </c>
      <c r="B4804" s="1" t="str">
        <f t="shared" ref="B4804:B4867" si="238">HYPERLINK("#", A4804)</f>
        <v>みんなで守ろう瀬戸の海</v>
      </c>
      <c r="C4804" t="str">
        <f>"ミンナ　デ　マモロウ　セト　ノ　ウミ"</f>
        <v>ミンナ　デ　マモロウ　セト　ノ　ウミ</v>
      </c>
      <c r="D4804" t="str">
        <f>"瀬戸内海環境保全地区組織会議"</f>
        <v>瀬戸内海環境保全地区組織会議</v>
      </c>
      <c r="E4804" t="str">
        <f>"セトナイカイカンキョウホゼンチクソシキカイギ"</f>
        <v>セトナイカイカンキョウホゼンチクソシキカイギ</v>
      </c>
      <c r="F4804" t="str">
        <f>""</f>
        <v/>
      </c>
      <c r="G4804" t="str">
        <f>"年刊"</f>
        <v>年刊</v>
      </c>
      <c r="H4804" t="str">
        <f>"2002222286473"</f>
        <v>2002222286473</v>
      </c>
      <c r="I4804" t="str">
        <f>HYPERLINK("#", "https://opac.libnet.pref.okayama.jp/licsxp-opac/WOpacMsgNewListToTifTilDetailAction.do?tilcod=2002222286473")</f>
        <v>https://opac.libnet.pref.okayama.jp/licsxp-opac/WOpacMsgNewListToTifTilDetailAction.do?tilcod=2002222286473</v>
      </c>
    </row>
    <row r="4805" spans="1:9" x14ac:dyDescent="0.4">
      <c r="A4805" t="str">
        <f>"みんなのおかやま"</f>
        <v>みんなのおかやま</v>
      </c>
      <c r="B4805" s="1" t="str">
        <f t="shared" si="238"/>
        <v>みんなのおかやま</v>
      </c>
      <c r="C4805" t="str">
        <f>"ミンナ　ノ　オカヤマ"</f>
        <v>ミンナ　ノ　オカヤマ</v>
      </c>
      <c r="D4805" t="str">
        <f>"岡山市政策局広報課"</f>
        <v>岡山市政策局広報課</v>
      </c>
      <c r="E4805" t="str">
        <f>"オカヤマシ セイサクキョク コウホウカ"</f>
        <v>オカヤマシ セイサクキョク コウホウカ</v>
      </c>
      <c r="F4805" t="str">
        <f>"岡山"</f>
        <v>岡山</v>
      </c>
      <c r="G4805" t="str">
        <f>"季刊"</f>
        <v>季刊</v>
      </c>
      <c r="H4805" t="str">
        <f>"2002222302376"</f>
        <v>2002222302376</v>
      </c>
      <c r="I4805" t="str">
        <f>HYPERLINK("#", "https://opac.libnet.pref.okayama.jp/licsxp-opac/WOpacMsgNewListToTifTilDetailAction.do?tilcod=2002222302376")</f>
        <v>https://opac.libnet.pref.okayama.jp/licsxp-opac/WOpacMsgNewListToTifTilDetailAction.do?tilcod=2002222302376</v>
      </c>
    </row>
    <row r="4806" spans="1:9" x14ac:dyDescent="0.4">
      <c r="A4806" t="str">
        <f>"みんなの雑記帳"</f>
        <v>みんなの雑記帳</v>
      </c>
      <c r="B4806" s="1" t="str">
        <f t="shared" si="238"/>
        <v>みんなの雑記帳</v>
      </c>
      <c r="C4806" t="str">
        <f>"ミンナ　ノ　ザッキチョウ"</f>
        <v>ミンナ　ノ　ザッキチョウ</v>
      </c>
      <c r="D4806" t="str">
        <f>"倉敷市唐琴公民館"</f>
        <v>倉敷市唐琴公民館</v>
      </c>
      <c r="E4806" t="str">
        <f>"クラシキシ カラコト コウミンカン"</f>
        <v>クラシキシ カラコト コウミンカン</v>
      </c>
      <c r="F4806" t="str">
        <f>"倉敷"</f>
        <v>倉敷</v>
      </c>
      <c r="G4806" t="str">
        <f>"年３回刊"</f>
        <v>年３回刊</v>
      </c>
      <c r="H4806" t="str">
        <f>"2002222293341"</f>
        <v>2002222293341</v>
      </c>
      <c r="I4806" t="str">
        <f>HYPERLINK("#", "https://opac.libnet.pref.okayama.jp/licsxp-opac/WOpacMsgNewListToTifTilDetailAction.do?tilcod=2002222293341")</f>
        <v>https://opac.libnet.pref.okayama.jp/licsxp-opac/WOpacMsgNewListToTifTilDetailAction.do?tilcod=2002222293341</v>
      </c>
    </row>
    <row r="4807" spans="1:9" x14ac:dyDescent="0.4">
      <c r="A4807" t="str">
        <f>"みんなの市税"</f>
        <v>みんなの市税</v>
      </c>
      <c r="B4807" s="1" t="str">
        <f t="shared" si="238"/>
        <v>みんなの市税</v>
      </c>
      <c r="C4807" t="str">
        <f>"ミンナ　ノ　シゼイ"</f>
        <v>ミンナ　ノ　シゼイ</v>
      </c>
      <c r="D4807" t="str">
        <f>"岡山市財政局"</f>
        <v>岡山市財政局</v>
      </c>
      <c r="E4807" t="str">
        <f>"オカヤマシザイセイキョク"</f>
        <v>オカヤマシザイセイキョク</v>
      </c>
      <c r="F4807" t="str">
        <f>"岡山"</f>
        <v>岡山</v>
      </c>
      <c r="G4807" t="str">
        <f>"頻度不明"</f>
        <v>頻度不明</v>
      </c>
      <c r="H4807" t="str">
        <f>"2002222283011"</f>
        <v>2002222283011</v>
      </c>
      <c r="I4807" t="str">
        <f>HYPERLINK("#", "https://opac.libnet.pref.okayama.jp/licsxp-opac/WOpacMsgNewListToTifTilDetailAction.do?tilcod=2002222283011")</f>
        <v>https://opac.libnet.pref.okayama.jp/licsxp-opac/WOpacMsgNewListToTifTilDetailAction.do?tilcod=2002222283011</v>
      </c>
    </row>
    <row r="4808" spans="1:9" x14ac:dyDescent="0.4">
      <c r="A4808" t="str">
        <f>"みんなの福祉"</f>
        <v>みんなの福祉</v>
      </c>
      <c r="B4808" s="1" t="str">
        <f t="shared" si="238"/>
        <v>みんなの福祉</v>
      </c>
      <c r="C4808" t="str">
        <f>"ミンナ　ノ　フクシ"</f>
        <v>ミンナ　ノ　フクシ</v>
      </c>
      <c r="D4808" t="str">
        <f>"高梁市社会福祉協議会"</f>
        <v>高梁市社会福祉協議会</v>
      </c>
      <c r="E4808" t="str">
        <f>"タカハシシシャカイフクシキョウギカイ"</f>
        <v>タカハシシシャカイフクシキョウギカイ</v>
      </c>
      <c r="F4808" t="str">
        <f>"高梁"</f>
        <v>高梁</v>
      </c>
      <c r="G4808" t="str">
        <f>"隔月刊"</f>
        <v>隔月刊</v>
      </c>
      <c r="H4808" t="str">
        <f>"2002222281071"</f>
        <v>2002222281071</v>
      </c>
      <c r="I4808" t="str">
        <f>HYPERLINK("#", "https://opac.libnet.pref.okayama.jp/licsxp-opac/WOpacMsgNewListToTifTilDetailAction.do?tilcod=2002222281071")</f>
        <v>https://opac.libnet.pref.okayama.jp/licsxp-opac/WOpacMsgNewListToTifTilDetailAction.do?tilcod=2002222281071</v>
      </c>
    </row>
    <row r="4809" spans="1:9" x14ac:dyDescent="0.4">
      <c r="A4809" t="str">
        <f>"民話おかやま"</f>
        <v>民話おかやま</v>
      </c>
      <c r="B4809" s="1" t="str">
        <f t="shared" si="238"/>
        <v>民話おかやま</v>
      </c>
      <c r="C4809" t="str">
        <f>"ミンワ　オカヤマ"</f>
        <v>ミンワ　オカヤマ</v>
      </c>
      <c r="D4809" t="str">
        <f>"岡山民話の会"</f>
        <v>岡山民話の会</v>
      </c>
      <c r="E4809" t="str">
        <f>"オカヤマ ミンワ ノ カイ"</f>
        <v>オカヤマ ミンワ ノ カイ</v>
      </c>
      <c r="F4809" t="str">
        <f>""</f>
        <v/>
      </c>
      <c r="G4809" t="str">
        <f>"年２回刊"</f>
        <v>年２回刊</v>
      </c>
      <c r="H4809" t="str">
        <f>"2002222286483"</f>
        <v>2002222286483</v>
      </c>
      <c r="I4809" t="str">
        <f>HYPERLINK("#", "https://opac.libnet.pref.okayama.jp/licsxp-opac/WOpacMsgNewListToTifTilDetailAction.do?tilcod=2002222286483")</f>
        <v>https://opac.libnet.pref.okayama.jp/licsxp-opac/WOpacMsgNewListToTifTilDetailAction.do?tilcod=2002222286483</v>
      </c>
    </row>
    <row r="4810" spans="1:9" x14ac:dyDescent="0.4">
      <c r="A4810" t="str">
        <f>"民話おかやま"</f>
        <v>民話おかやま</v>
      </c>
      <c r="B4810" s="1" t="str">
        <f t="shared" si="238"/>
        <v>民話おかやま</v>
      </c>
      <c r="C4810" t="str">
        <f>"ミンワ　オカヤマ"</f>
        <v>ミンワ　オカヤマ</v>
      </c>
      <c r="D4810" t="str">
        <f>"岡山民話の会"</f>
        <v>岡山民話の会</v>
      </c>
      <c r="E4810" t="str">
        <f>"オカヤマ ミンワ ノ カイ"</f>
        <v>オカヤマ ミンワ ノ カイ</v>
      </c>
      <c r="F4810" t="str">
        <f>""</f>
        <v/>
      </c>
      <c r="G4810" t="str">
        <f>"隔月刊"</f>
        <v>隔月刊</v>
      </c>
      <c r="H4810" t="str">
        <f>"2002222315686"</f>
        <v>2002222315686</v>
      </c>
      <c r="I4810" t="str">
        <f>HYPERLINK("#", "https://opac.libnet.pref.okayama.jp/licsxp-opac/WOpacMsgNewListToTifTilDetailAction.do?tilcod=2002222315686")</f>
        <v>https://opac.libnet.pref.okayama.jp/licsxp-opac/WOpacMsgNewListToTifTilDetailAction.do?tilcod=2002222315686</v>
      </c>
    </row>
    <row r="4811" spans="1:9" x14ac:dyDescent="0.4">
      <c r="A4811" t="str">
        <f>"ｍｏｏｓｅ（ムース）"</f>
        <v>ｍｏｏｓｅ（ムース）</v>
      </c>
      <c r="B4811" s="1" t="str">
        <f t="shared" si="238"/>
        <v>ｍｏｏｓｅ（ムース）</v>
      </c>
      <c r="C4811" t="str">
        <f>"ムース"</f>
        <v>ムース</v>
      </c>
      <c r="D4811" t="str">
        <f>"ムース編集部"</f>
        <v>ムース編集部</v>
      </c>
      <c r="E4811" t="str">
        <f>"ムースヘンシュウブ"</f>
        <v>ムースヘンシュウブ</v>
      </c>
      <c r="F4811" t="str">
        <f>"岡山"</f>
        <v>岡山</v>
      </c>
      <c r="G4811" t="str">
        <f>"不定期刊"</f>
        <v>不定期刊</v>
      </c>
      <c r="H4811" t="str">
        <f>"2002222301391"</f>
        <v>2002222301391</v>
      </c>
      <c r="I4811" t="str">
        <f>HYPERLINK("#", "https://opac.libnet.pref.okayama.jp/licsxp-opac/WOpacMsgNewListToTifTilDetailAction.do?tilcod=2002222301391")</f>
        <v>https://opac.libnet.pref.okayama.jp/licsxp-opac/WOpacMsgNewListToTifTilDetailAction.do?tilcod=2002222301391</v>
      </c>
    </row>
    <row r="4812" spans="1:9" x14ac:dyDescent="0.4">
      <c r="A4812" t="str">
        <f>"穆稜会会報"</f>
        <v>穆稜会会報</v>
      </c>
      <c r="B4812" s="1" t="str">
        <f t="shared" si="238"/>
        <v>穆稜会会報</v>
      </c>
      <c r="C4812" t="str">
        <f>"ムーリンカイ　カイホウ"</f>
        <v>ムーリンカイ　カイホウ</v>
      </c>
      <c r="D4812" t="str">
        <f>"穆稜会"</f>
        <v>穆稜会</v>
      </c>
      <c r="E4812" t="str">
        <f>"ムーリンカイ"</f>
        <v>ムーリンカイ</v>
      </c>
      <c r="F4812" t="str">
        <f>"御津町（御津郡）"</f>
        <v>御津町（御津郡）</v>
      </c>
      <c r="G4812" t="str">
        <f>"年刊"</f>
        <v>年刊</v>
      </c>
      <c r="H4812" t="str">
        <f>"2002222300399"</f>
        <v>2002222300399</v>
      </c>
      <c r="I4812" t="str">
        <f>HYPERLINK("#", "https://opac.libnet.pref.okayama.jp/licsxp-opac/WOpacMsgNewListToTifTilDetailAction.do?tilcod=2002222300399")</f>
        <v>https://opac.libnet.pref.okayama.jp/licsxp-opac/WOpacMsgNewListToTifTilDetailAction.do?tilcod=2002222300399</v>
      </c>
    </row>
    <row r="4813" spans="1:9" x14ac:dyDescent="0.4">
      <c r="A4813" t="str">
        <f>"椋の葉"</f>
        <v>椋の葉</v>
      </c>
      <c r="B4813" s="1" t="str">
        <f t="shared" si="238"/>
        <v>椋の葉</v>
      </c>
      <c r="C4813" t="str">
        <f>"ムク　ノ　ハ"</f>
        <v>ムク　ノ　ハ</v>
      </c>
      <c r="D4813" t="str">
        <f>"鏡野町文化協会"</f>
        <v>鏡野町文化協会</v>
      </c>
      <c r="E4813" t="str">
        <f>"カガミノチョウ ブンカ キョウカイ"</f>
        <v>カガミノチョウ ブンカ キョウカイ</v>
      </c>
      <c r="F4813" t="str">
        <f>"鏡野町（苫田郡）"</f>
        <v>鏡野町（苫田郡）</v>
      </c>
      <c r="G4813" t="str">
        <f>"隔年刊"</f>
        <v>隔年刊</v>
      </c>
      <c r="H4813" t="str">
        <f>"2002222280891"</f>
        <v>2002222280891</v>
      </c>
      <c r="I4813" t="str">
        <f>HYPERLINK("#", "https://opac.libnet.pref.okayama.jp/licsxp-opac/WOpacMsgNewListToTifTilDetailAction.do?tilcod=2002222280891")</f>
        <v>https://opac.libnet.pref.okayama.jp/licsxp-opac/WOpacMsgNewListToTifTilDetailAction.do?tilcod=2002222280891</v>
      </c>
    </row>
    <row r="4814" spans="1:9" x14ac:dyDescent="0.4">
      <c r="A4814" t="str">
        <f>"向州(むこうす)"</f>
        <v>向州(むこうす)</v>
      </c>
      <c r="B4814" s="1" t="str">
        <f t="shared" si="238"/>
        <v>向州(むこうす)</v>
      </c>
      <c r="C4814" t="str">
        <f>"ムコウス"</f>
        <v>ムコウス</v>
      </c>
      <c r="D4814" t="str">
        <f>"湯浅 照弘"</f>
        <v>湯浅 照弘</v>
      </c>
      <c r="E4814" t="str">
        <f>"ユアサ テルヒロ"</f>
        <v>ユアサ テルヒロ</v>
      </c>
      <c r="F4814" t="str">
        <f>"岡山"</f>
        <v>岡山</v>
      </c>
      <c r="G4814" t="str">
        <f>"頻度不明"</f>
        <v>頻度不明</v>
      </c>
      <c r="H4814" t="str">
        <f>"2002222319727"</f>
        <v>2002222319727</v>
      </c>
      <c r="I4814" t="str">
        <f>HYPERLINK("#", "https://opac.libnet.pref.okayama.jp/licsxp-opac/WOpacMsgNewListToTifTilDetailAction.do?tilcod=2002222319727")</f>
        <v>https://opac.libnet.pref.okayama.jp/licsxp-opac/WOpacMsgNewListToTifTilDetailAction.do?tilcod=2002222319727</v>
      </c>
    </row>
    <row r="4815" spans="1:9" x14ac:dyDescent="0.4">
      <c r="A4815" t="str">
        <f>"ＭＵＳＩＫ"</f>
        <v>ＭＵＳＩＫ</v>
      </c>
      <c r="B4815" s="1" t="str">
        <f t="shared" si="238"/>
        <v>ＭＵＳＩＫ</v>
      </c>
      <c r="C4815" t="str">
        <f>"ムジーク"</f>
        <v>ムジーク</v>
      </c>
      <c r="D4815" t="str">
        <f>"岡山大学教育学部音楽教室"</f>
        <v>岡山大学教育学部音楽教室</v>
      </c>
      <c r="E4815" t="str">
        <f>"オカヤマ　ダイガク　キョウイク　ガクブ　オンガク　キョウシツ"</f>
        <v>オカヤマ　ダイガク　キョウイク　ガクブ　オンガク　キョウシツ</v>
      </c>
      <c r="F4815" t="str">
        <f>"岡山"</f>
        <v>岡山</v>
      </c>
      <c r="G4815" t="str">
        <f>"頻度不明"</f>
        <v>頻度不明</v>
      </c>
      <c r="H4815" t="str">
        <f>"2002222324591"</f>
        <v>2002222324591</v>
      </c>
      <c r="I4815" t="str">
        <f>HYPERLINK("#", "https://opac.libnet.pref.okayama.jp/licsxp-opac/WOpacMsgNewListToTifTilDetailAction.do?tilcod=2002222324591")</f>
        <v>https://opac.libnet.pref.okayama.jp/licsxp-opac/WOpacMsgNewListToTifTilDetailAction.do?tilcod=2002222324591</v>
      </c>
    </row>
    <row r="4816" spans="1:9" x14ac:dyDescent="0.4">
      <c r="A4816" t="str">
        <f>"むちゅう！"</f>
        <v>むちゅう！</v>
      </c>
      <c r="B4816" s="1" t="str">
        <f t="shared" si="238"/>
        <v>むちゅう！</v>
      </c>
      <c r="C4816" t="str">
        <f>"ムチュウ"</f>
        <v>ムチュウ</v>
      </c>
      <c r="D4816" t="str">
        <f>"株式会社CREST"</f>
        <v>株式会社CREST</v>
      </c>
      <c r="E4816" t="str">
        <f>"カブシキガイシャ　クレスト"</f>
        <v>カブシキガイシャ　クレスト</v>
      </c>
      <c r="F4816" t="str">
        <f>"大阪"</f>
        <v>大阪</v>
      </c>
      <c r="G4816" t="str">
        <f>"季刊"</f>
        <v>季刊</v>
      </c>
      <c r="H4816" t="str">
        <f>"2002222330186"</f>
        <v>2002222330186</v>
      </c>
      <c r="I4816" t="str">
        <f>HYPERLINK("#", "https://opac.libnet.pref.okayama.jp/licsxp-opac/WOpacMsgNewListToTifTilDetailAction.do?tilcod=2002222330186")</f>
        <v>https://opac.libnet.pref.okayama.jp/licsxp-opac/WOpacMsgNewListToTifTilDetailAction.do?tilcod=2002222330186</v>
      </c>
    </row>
    <row r="4817" spans="1:9" x14ac:dyDescent="0.4">
      <c r="A4817" t="str">
        <f>"むつみ"</f>
        <v>むつみ</v>
      </c>
      <c r="B4817" s="1" t="str">
        <f t="shared" si="238"/>
        <v>むつみ</v>
      </c>
      <c r="C4817" t="str">
        <f>"ムツミ"</f>
        <v>ムツミ</v>
      </c>
      <c r="D4817" t="str">
        <f>"岡山市警察本部"</f>
        <v>岡山市警察本部</v>
      </c>
      <c r="E4817" t="str">
        <f>"オカヤマシ ケイサツ ホンブ"</f>
        <v>オカヤマシ ケイサツ ホンブ</v>
      </c>
      <c r="F4817" t="str">
        <f>"岡山"</f>
        <v>岡山</v>
      </c>
      <c r="G4817" t="str">
        <f>"月刊"</f>
        <v>月刊</v>
      </c>
      <c r="H4817" t="str">
        <f>"2002222306695"</f>
        <v>2002222306695</v>
      </c>
      <c r="I4817" t="str">
        <f>HYPERLINK("#", "https://opac.libnet.pref.okayama.jp/licsxp-opac/WOpacMsgNewListToTifTilDetailAction.do?tilcod=2002222306695")</f>
        <v>https://opac.libnet.pref.okayama.jp/licsxp-opac/WOpacMsgNewListToTifTilDetailAction.do?tilcod=2002222306695</v>
      </c>
    </row>
    <row r="4818" spans="1:9" x14ac:dyDescent="0.4">
      <c r="A4818" t="str">
        <f>"むねあげ；胸上小学校PTA会誌"</f>
        <v>むねあげ；胸上小学校PTA会誌</v>
      </c>
      <c r="B4818" s="1" t="str">
        <f t="shared" si="238"/>
        <v>むねあげ；胸上小学校PTA会誌</v>
      </c>
      <c r="C4818" t="str">
        <f>"ムネアゲ ムネアゲ ショウガッコウ ピーティーエー カイシ"</f>
        <v>ムネアゲ ムネアゲ ショウガッコウ ピーティーエー カイシ</v>
      </c>
      <c r="D4818" t="str">
        <f>"胸上小学校PTA文化部"</f>
        <v>胸上小学校PTA文化部</v>
      </c>
      <c r="E4818" t="str">
        <f>"タマノシリツ ムネアゲ ショウガッコウ"</f>
        <v>タマノシリツ ムネアゲ ショウガッコウ</v>
      </c>
      <c r="F4818" t="str">
        <f>""</f>
        <v/>
      </c>
      <c r="G4818" t="str">
        <f>"年刊"</f>
        <v>年刊</v>
      </c>
      <c r="H4818" t="str">
        <f>"2002222339671"</f>
        <v>2002222339671</v>
      </c>
      <c r="I4818" t="str">
        <f>HYPERLINK("#", "https://opac.libnet.pref.okayama.jp/licsxp-opac/WOpacMsgNewListToTifTilDetailAction.do?tilcod=2002222339671")</f>
        <v>https://opac.libnet.pref.okayama.jp/licsxp-opac/WOpacMsgNewListToTifTilDetailAction.do?tilcod=2002222339671</v>
      </c>
    </row>
    <row r="4819" spans="1:9" x14ac:dyDescent="0.4">
      <c r="A4819" t="str">
        <f>"無名句会稿"</f>
        <v>無名句会稿</v>
      </c>
      <c r="B4819" s="1" t="str">
        <f t="shared" si="238"/>
        <v>無名句会稿</v>
      </c>
      <c r="C4819" t="str">
        <f>"ムメイ　クカイコウ"</f>
        <v>ムメイ　クカイコウ</v>
      </c>
      <c r="D4819" t="str">
        <f>"無名句会"</f>
        <v>無名句会</v>
      </c>
      <c r="E4819" t="str">
        <f>"ムメイクカイ"</f>
        <v>ムメイクカイ</v>
      </c>
      <c r="F4819" t="str">
        <f>""</f>
        <v/>
      </c>
      <c r="G4819" t="str">
        <f>"頻度不明"</f>
        <v>頻度不明</v>
      </c>
      <c r="H4819" t="str">
        <f>"2002222286493"</f>
        <v>2002222286493</v>
      </c>
      <c r="I4819" t="str">
        <f>HYPERLINK("#", "https://opac.libnet.pref.okayama.jp/licsxp-opac/WOpacMsgNewListToTifTilDetailAction.do?tilcod=2002222286493")</f>
        <v>https://opac.libnet.pref.okayama.jp/licsxp-opac/WOpacMsgNewListToTifTilDetailAction.do?tilcod=2002222286493</v>
      </c>
    </row>
    <row r="4820" spans="1:9" x14ac:dyDescent="0.4">
      <c r="A4820" t="str">
        <f>"メイク・和・サークル；吉永町・和気町・佐伯町・日生町のイベントガイド"</f>
        <v>メイク・和・サークル；吉永町・和気町・佐伯町・日生町のイベントガイド</v>
      </c>
      <c r="B4820" s="1" t="str">
        <f t="shared" si="238"/>
        <v>メイク・和・サークル；吉永町・和気町・佐伯町・日生町のイベントガイド</v>
      </c>
      <c r="C4820" t="str">
        <f>"メイク　ワ　サークル＊ヨシナガチョウ　ワケチョウ　サエキチョウ　ヒナセチョウ　ノ　イベント　ガイド"</f>
        <v>メイク　ワ　サークル＊ヨシナガチョウ　ワケチョウ　サエキチョウ　ヒナセチョウ　ノ　イベント　ガイド</v>
      </c>
      <c r="D4820" t="str">
        <f>"和気郡こどもセンター事務局"</f>
        <v>和気郡こどもセンター事務局</v>
      </c>
      <c r="E4820" t="str">
        <f>"ワケグンコドモセンタージムキョク"</f>
        <v>ワケグンコドモセンタージムキョク</v>
      </c>
      <c r="F4820" t="str">
        <f>"和気町（和気郡）"</f>
        <v>和気町（和気郡）</v>
      </c>
      <c r="G4820" t="str">
        <f>"頻度不明"</f>
        <v>頻度不明</v>
      </c>
      <c r="H4820" t="str">
        <f>"2002222285691"</f>
        <v>2002222285691</v>
      </c>
      <c r="I4820" t="str">
        <f>HYPERLINK("#", "https://opac.libnet.pref.okayama.jp/licsxp-opac/WOpacMsgNewListToTifTilDetailAction.do?tilcod=2002222285691")</f>
        <v>https://opac.libnet.pref.okayama.jp/licsxp-opac/WOpacMsgNewListToTifTilDetailAction.do?tilcod=2002222285691</v>
      </c>
    </row>
    <row r="4821" spans="1:9" x14ac:dyDescent="0.4">
      <c r="A4821" t="str">
        <f>"明神会誌"</f>
        <v>明神会誌</v>
      </c>
      <c r="B4821" s="1" t="str">
        <f t="shared" si="238"/>
        <v>明神会誌</v>
      </c>
      <c r="C4821" t="str">
        <f>"メイシンカイ　シ"</f>
        <v>メイシンカイ　シ</v>
      </c>
      <c r="D4821" t="str">
        <f>"児島商船学校同窓会"</f>
        <v>児島商船学校同窓会</v>
      </c>
      <c r="E4821" t="str">
        <f>"コジマ　ショウセン　ガッコウ　ドウソウカイ"</f>
        <v>コジマ　ショウセン　ガッコウ　ドウソウカイ</v>
      </c>
      <c r="F4821" t="str">
        <f>""</f>
        <v/>
      </c>
      <c r="G4821" t="str">
        <f>"不定期刊"</f>
        <v>不定期刊</v>
      </c>
      <c r="H4821" t="str">
        <f>"2002222282883"</f>
        <v>2002222282883</v>
      </c>
      <c r="I4821" t="str">
        <f>HYPERLINK("#", "https://opac.libnet.pref.okayama.jp/licsxp-opac/WOpacMsgNewListToTifTilDetailAction.do?tilcod=2002222282883")</f>
        <v>https://opac.libnet.pref.okayama.jp/licsxp-opac/WOpacMsgNewListToTifTilDetailAction.do?tilcod=2002222282883</v>
      </c>
    </row>
    <row r="4822" spans="1:9" x14ac:dyDescent="0.4">
      <c r="A4822" t="str">
        <f>"明誠学院高等学校学校案内"</f>
        <v>明誠学院高等学校学校案内</v>
      </c>
      <c r="B4822" s="1" t="str">
        <f t="shared" si="238"/>
        <v>明誠学院高等学校学校案内</v>
      </c>
      <c r="C4822" t="str">
        <f>"メイセイ　ガクイン　コウトウ　ガッコウ　ガッコウ　アンナイ"</f>
        <v>メイセイ　ガクイン　コウトウ　ガッコウ　ガッコウ　アンナイ</v>
      </c>
      <c r="D4822" t="str">
        <f>"明誠学院高等学校"</f>
        <v>明誠学院高等学校</v>
      </c>
      <c r="E4822" t="str">
        <f>"メイセイ ガクイン コウトウ ガッコウ"</f>
        <v>メイセイ ガクイン コウトウ ガッコウ</v>
      </c>
      <c r="F4822" t="str">
        <f>"岡山"</f>
        <v>岡山</v>
      </c>
      <c r="G4822" t="str">
        <f>"年刊"</f>
        <v>年刊</v>
      </c>
      <c r="H4822" t="str">
        <f>"2002222301209"</f>
        <v>2002222301209</v>
      </c>
      <c r="I4822" t="str">
        <f>HYPERLINK("#", "https://opac.libnet.pref.okayama.jp/licsxp-opac/WOpacMsgNewListToTifTilDetailAction.do?tilcod=2002222301209")</f>
        <v>https://opac.libnet.pref.okayama.jp/licsxp-opac/WOpacMsgNewListToTifTilDetailAction.do?tilcod=2002222301209</v>
      </c>
    </row>
    <row r="4823" spans="1:9" x14ac:dyDescent="0.4">
      <c r="A4823" t="str">
        <f>"鳴盛余響"</f>
        <v>鳴盛余響</v>
      </c>
      <c r="B4823" s="1" t="str">
        <f t="shared" si="238"/>
        <v>鳴盛余響</v>
      </c>
      <c r="C4823" t="str">
        <f>"メイセイ　ヨキョウ"</f>
        <v>メイセイ　ヨキョウ</v>
      </c>
      <c r="D4823" t="str">
        <f>"鳴盛余響社"</f>
        <v>鳴盛余響社</v>
      </c>
      <c r="E4823" t="str">
        <f>"メイセイヨキョウシャ"</f>
        <v>メイセイヨキョウシャ</v>
      </c>
      <c r="F4823" t="str">
        <f>""</f>
        <v/>
      </c>
      <c r="G4823" t="str">
        <f>"頻度不明"</f>
        <v>頻度不明</v>
      </c>
      <c r="H4823" t="str">
        <f>"2002222280734"</f>
        <v>2002222280734</v>
      </c>
      <c r="I4823" t="str">
        <f>HYPERLINK("#", "https://opac.libnet.pref.okayama.jp/licsxp-opac/WOpacMsgNewListToTifTilDetailAction.do?tilcod=2002222280734")</f>
        <v>https://opac.libnet.pref.okayama.jp/licsxp-opac/WOpacMsgNewListToTifTilDetailAction.do?tilcod=2002222280734</v>
      </c>
    </row>
    <row r="4824" spans="1:9" x14ac:dyDescent="0.4">
      <c r="A4824" t="str">
        <f>"Made in Street : local global "</f>
        <v xml:space="preserve">Made in Street : local global </v>
      </c>
      <c r="B4824" s="1" t="str">
        <f t="shared" si="238"/>
        <v xml:space="preserve">Made in Street : local global </v>
      </c>
      <c r="C4824" t="str">
        <f>"メイド イン ストリート"</f>
        <v>メイド イン ストリート</v>
      </c>
      <c r="D4824" t="str">
        <f>"[O.C. Photo Studio]"</f>
        <v>[O.C. Photo Studio]</v>
      </c>
      <c r="E4824" t="str">
        <f>"オーシー フォト スタジオ"</f>
        <v>オーシー フォト スタジオ</v>
      </c>
      <c r="F4824" t="str">
        <f>"[岡山]"</f>
        <v>[岡山]</v>
      </c>
      <c r="G4824" t="str">
        <f>"頻度不明"</f>
        <v>頻度不明</v>
      </c>
      <c r="H4824" t="str">
        <f>"2002222340910"</f>
        <v>2002222340910</v>
      </c>
      <c r="I4824" t="str">
        <f>HYPERLINK("#", "https://opac.libnet.pref.okayama.jp/licsxp-opac/WOpacMsgNewListToTifTilDetailAction.do?tilcod=2002222340910")</f>
        <v>https://opac.libnet.pref.okayama.jp/licsxp-opac/WOpacMsgNewListToTifTilDetailAction.do?tilcod=2002222340910</v>
      </c>
    </row>
    <row r="4825" spans="1:9" x14ac:dyDescent="0.4">
      <c r="A4825" t="str">
        <f>"Ｍｅｓｓａｇｅ　ＯＫＡＹＡＭＡ；メッセージ岡山"</f>
        <v>Ｍｅｓｓａｇｅ　ＯＫＡＹＡＭＡ；メッセージ岡山</v>
      </c>
      <c r="B4825" s="1" t="str">
        <f t="shared" si="238"/>
        <v>Ｍｅｓｓａｇｅ　ＯＫＡＹＡＭＡ；メッセージ岡山</v>
      </c>
      <c r="C4825" t="str">
        <f>"メッセージ　オカヤマ"</f>
        <v>メッセージ　オカヤマ</v>
      </c>
      <c r="D4825" t="str">
        <f>"ポリゴンアソシエイト"</f>
        <v>ポリゴンアソシエイト</v>
      </c>
      <c r="E4825" t="str">
        <f>"ポリゴンアソシエイト"</f>
        <v>ポリゴンアソシエイト</v>
      </c>
      <c r="F4825" t="str">
        <f>"岡山"</f>
        <v>岡山</v>
      </c>
      <c r="G4825" t="str">
        <f>"隔月刊"</f>
        <v>隔月刊</v>
      </c>
      <c r="H4825" t="str">
        <f>"2002222302421"</f>
        <v>2002222302421</v>
      </c>
      <c r="I4825" t="str">
        <f>HYPERLINK("#", "https://opac.libnet.pref.okayama.jp/licsxp-opac/WOpacMsgNewListToTifTilDetailAction.do?tilcod=2002222302421")</f>
        <v>https://opac.libnet.pref.okayama.jp/licsxp-opac/WOpacMsgNewListToTifTilDetailAction.do?tilcod=2002222302421</v>
      </c>
    </row>
    <row r="4826" spans="1:9" x14ac:dyDescent="0.4">
      <c r="A4826" t="str">
        <f>"メディアＲＳＫ（メディア　アールエスケイ）"</f>
        <v>メディアＲＳＫ（メディア　アールエスケイ）</v>
      </c>
      <c r="B4826" s="1" t="str">
        <f t="shared" si="238"/>
        <v>メディアＲＳＫ（メディア　アールエスケイ）</v>
      </c>
      <c r="C4826" t="str">
        <f>"メディア　アールエスケイ"</f>
        <v>メディア　アールエスケイ</v>
      </c>
      <c r="D4826" t="str">
        <f>"山陽放送"</f>
        <v>山陽放送</v>
      </c>
      <c r="E4826" t="str">
        <f>"サンヨウホウソウ"</f>
        <v>サンヨウホウソウ</v>
      </c>
      <c r="F4826" t="str">
        <f>""</f>
        <v/>
      </c>
      <c r="G4826" t="str">
        <f>"月刊"</f>
        <v>月刊</v>
      </c>
      <c r="H4826" t="str">
        <f>"2002222287261"</f>
        <v>2002222287261</v>
      </c>
      <c r="I4826" t="str">
        <f>HYPERLINK("#", "https://opac.libnet.pref.okayama.jp/licsxp-opac/WOpacMsgNewListToTifTilDetailAction.do?tilcod=2002222287261")</f>
        <v>https://opac.libnet.pref.okayama.jp/licsxp-opac/WOpacMsgNewListToTifTilDetailAction.do?tilcod=2002222287261</v>
      </c>
    </row>
    <row r="4827" spans="1:9" x14ac:dyDescent="0.4">
      <c r="A4827" t="str">
        <f>"メロウおかやま；MELLOW OKAYAMA"</f>
        <v>メロウおかやま；MELLOW OKAYAMA</v>
      </c>
      <c r="B4827" s="1" t="str">
        <f t="shared" si="238"/>
        <v>メロウおかやま；MELLOW OKAYAMA</v>
      </c>
      <c r="C4827" t="str">
        <f>"メロウ オカヤマ"</f>
        <v>メロウ オカヤマ</v>
      </c>
      <c r="D4827" t="str">
        <f>"岡山県長寿社会推進センター"</f>
        <v>岡山県長寿社会推進センター</v>
      </c>
      <c r="E4827" t="str">
        <f>"オカヤマケン チョウジュ シャカイ スイシン センター"</f>
        <v>オカヤマケン チョウジュ シャカイ スイシン センター</v>
      </c>
      <c r="F4827" t="str">
        <f>"岡山"</f>
        <v>岡山</v>
      </c>
      <c r="G4827" t="str">
        <f>"季刊"</f>
        <v>季刊</v>
      </c>
      <c r="H4827" t="str">
        <f>"2002222291681"</f>
        <v>2002222291681</v>
      </c>
      <c r="I4827" t="str">
        <f>HYPERLINK("#", "https://opac.libnet.pref.okayama.jp/licsxp-opac/WOpacMsgNewListToTifTilDetailAction.do?tilcod=2002222291681")</f>
        <v>https://opac.libnet.pref.okayama.jp/licsxp-opac/WOpacMsgNewListToTifTilDetailAction.do?tilcod=2002222291681</v>
      </c>
    </row>
    <row r="4828" spans="1:9" x14ac:dyDescent="0.4">
      <c r="A4828" t="str">
        <f>"もしも家を建てたなら 岡山版"</f>
        <v>もしも家を建てたなら 岡山版</v>
      </c>
      <c r="B4828" s="1" t="str">
        <f t="shared" si="238"/>
        <v>もしも家を建てたなら 岡山版</v>
      </c>
      <c r="C4828" t="str">
        <f>"モシモ イエオ タテタナラ オカヤマバン"</f>
        <v>モシモ イエオ タテタナラ オカヤマバン</v>
      </c>
      <c r="D4828" t="str">
        <f>"ビズ・クリエイション"</f>
        <v>ビズ・クリエイション</v>
      </c>
      <c r="E4828" t="str">
        <f>"ビズ クリエイション"</f>
        <v>ビズ クリエイション</v>
      </c>
      <c r="F4828" t="str">
        <f>"岡山"</f>
        <v>岡山</v>
      </c>
      <c r="G4828" t="str">
        <f>"季刊"</f>
        <v>季刊</v>
      </c>
      <c r="H4828" t="str">
        <f>"2002222335071"</f>
        <v>2002222335071</v>
      </c>
      <c r="I4828" t="str">
        <f>HYPERLINK("#", "https://opac.libnet.pref.okayama.jp/licsxp-opac/WOpacMsgNewListToTifTilDetailAction.do?tilcod=2002222335071")</f>
        <v>https://opac.libnet.pref.okayama.jp/licsxp-opac/WOpacMsgNewListToTifTilDetailAction.do?tilcod=2002222335071</v>
      </c>
    </row>
    <row r="4829" spans="1:9" x14ac:dyDescent="0.4">
      <c r="A4829" t="str">
        <f>"ｍｏｊｏｍｏｊｏ（モジョモジョ）；もじょもじょ"</f>
        <v>ｍｏｊｏｍｏｊｏ（モジョモジョ）；もじょもじょ</v>
      </c>
      <c r="B4829" s="1" t="str">
        <f t="shared" si="238"/>
        <v>ｍｏｊｏｍｏｊｏ（モジョモジョ）；もじょもじょ</v>
      </c>
      <c r="C4829" t="str">
        <f>"モジョモジョ"</f>
        <v>モジョモジョ</v>
      </c>
      <c r="D4829" t="str">
        <f>"アートガーデン"</f>
        <v>アートガーデン</v>
      </c>
      <c r="E4829" t="str">
        <f>"アートガーデン"</f>
        <v>アートガーデン</v>
      </c>
      <c r="F4829" t="str">
        <f>"岡山"</f>
        <v>岡山</v>
      </c>
      <c r="G4829" t="str">
        <f>"季刊"</f>
        <v>季刊</v>
      </c>
      <c r="H4829" t="str">
        <f>"2002222301708"</f>
        <v>2002222301708</v>
      </c>
      <c r="I4829" t="str">
        <f>HYPERLINK("#", "https://opac.libnet.pref.okayama.jp/licsxp-opac/WOpacMsgNewListToTifTilDetailAction.do?tilcod=2002222301708")</f>
        <v>https://opac.libnet.pref.okayama.jp/licsxp-opac/WOpacMsgNewListToTifTilDetailAction.do?tilcod=2002222301708</v>
      </c>
    </row>
    <row r="4830" spans="1:9" x14ac:dyDescent="0.4">
      <c r="A4830" t="str">
        <f>"もっと知りたい永瀬清子"</f>
        <v>もっと知りたい永瀬清子</v>
      </c>
      <c r="B4830" s="1" t="str">
        <f t="shared" si="238"/>
        <v>もっと知りたい永瀬清子</v>
      </c>
      <c r="C4830" t="str">
        <f>"モット シリタイ ナガセ キヨコ"</f>
        <v>モット シリタイ ナガセ キヨコ</v>
      </c>
      <c r="D4830" t="str">
        <f>"赤磐市教育委員会熊山分室"</f>
        <v>赤磐市教育委員会熊山分室</v>
      </c>
      <c r="E4830" t="str">
        <f>"アカイワシ キョウイク イインカイ クマヤマ ブンシツ"</f>
        <v>アカイワシ キョウイク イインカイ クマヤマ ブンシツ</v>
      </c>
      <c r="F4830" t="str">
        <f>"赤磐"</f>
        <v>赤磐</v>
      </c>
      <c r="G4830" t="str">
        <f>"不定期刊"</f>
        <v>不定期刊</v>
      </c>
      <c r="H4830" t="str">
        <f>"2002222324288"</f>
        <v>2002222324288</v>
      </c>
      <c r="I4830" t="str">
        <f>HYPERLINK("#", "https://opac.libnet.pref.okayama.jp/licsxp-opac/WOpacMsgNewListToTifTilDetailAction.do?tilcod=2002222324288")</f>
        <v>https://opac.libnet.pref.okayama.jp/licsxp-opac/WOpacMsgNewListToTifTilDetailAction.do?tilcod=2002222324288</v>
      </c>
    </row>
    <row r="4831" spans="1:9" x14ac:dyDescent="0.4">
      <c r="A4831" t="str">
        <f>"ものはら"</f>
        <v>ものはら</v>
      </c>
      <c r="B4831" s="1" t="str">
        <f t="shared" si="238"/>
        <v>ものはら</v>
      </c>
      <c r="C4831" t="str">
        <f>"モノハラ"</f>
        <v>モノハラ</v>
      </c>
      <c r="D4831" t="str">
        <f>"西備探勝会"</f>
        <v>西備探勝会</v>
      </c>
      <c r="E4831" t="str">
        <f>"セイビタンショウカイ"</f>
        <v>セイビタンショウカイ</v>
      </c>
      <c r="F4831" t="str">
        <f>"井原"</f>
        <v>井原</v>
      </c>
      <c r="G4831" t="str">
        <f>"頻度不明"</f>
        <v>頻度不明</v>
      </c>
      <c r="H4831" t="str">
        <f>"2002222281384"</f>
        <v>2002222281384</v>
      </c>
      <c r="I4831" t="str">
        <f>HYPERLINK("#", "https://opac.libnet.pref.okayama.jp/licsxp-opac/WOpacMsgNewListToTifTilDetailAction.do?tilcod=2002222281384")</f>
        <v>https://opac.libnet.pref.okayama.jp/licsxp-opac/WOpacMsgNewListToTifTilDetailAction.do?tilcod=2002222281384</v>
      </c>
    </row>
    <row r="4832" spans="1:9" x14ac:dyDescent="0.4">
      <c r="A4832" t="str">
        <f>"もも・もみじ；岡山花の会会報"</f>
        <v>もも・もみじ；岡山花の会会報</v>
      </c>
      <c r="B4832" s="1" t="str">
        <f t="shared" si="238"/>
        <v>もも・もみじ；岡山花の会会報</v>
      </c>
      <c r="C4832" t="str">
        <f>"モモ　モミジ＊オカヤマ　ハナ　ノ　カイ　カイホウ"</f>
        <v>モモ　モミジ＊オカヤマ　ハナ　ノ　カイ　カイホウ</v>
      </c>
      <c r="D4832" t="str">
        <f>"岡山花の会"</f>
        <v>岡山花の会</v>
      </c>
      <c r="E4832" t="str">
        <f>"オカヤマ ハナ ノ カイ"</f>
        <v>オカヤマ ハナ ノ カイ</v>
      </c>
      <c r="F4832" t="str">
        <f>""</f>
        <v/>
      </c>
      <c r="G4832" t="str">
        <f>"月刊"</f>
        <v>月刊</v>
      </c>
      <c r="H4832" t="str">
        <f>"2002222286523"</f>
        <v>2002222286523</v>
      </c>
      <c r="I4832" t="str">
        <f>HYPERLINK("#", "https://opac.libnet.pref.okayama.jp/licsxp-opac/WOpacMsgNewListToTifTilDetailAction.do?tilcod=2002222286523")</f>
        <v>https://opac.libnet.pref.okayama.jp/licsxp-opac/WOpacMsgNewListToTifTilDetailAction.do?tilcod=2002222286523</v>
      </c>
    </row>
    <row r="4833" spans="1:9" x14ac:dyDescent="0.4">
      <c r="A4833" t="str">
        <f>"MOMOCO(モモコ)"</f>
        <v>MOMOCO(モモコ)</v>
      </c>
      <c r="B4833" s="1" t="str">
        <f t="shared" si="238"/>
        <v>MOMOCO(モモコ)</v>
      </c>
      <c r="C4833" t="str">
        <f>"モモコ"</f>
        <v>モモコ</v>
      </c>
      <c r="D4833" t="str">
        <f>"ベルティス"</f>
        <v>ベルティス</v>
      </c>
      <c r="E4833" t="str">
        <f>"ベルティス"</f>
        <v>ベルティス</v>
      </c>
      <c r="F4833" t="str">
        <f>""</f>
        <v/>
      </c>
      <c r="G4833" t="str">
        <f>"隔月刊"</f>
        <v>隔月刊</v>
      </c>
      <c r="H4833" t="str">
        <f>"2002222308786"</f>
        <v>2002222308786</v>
      </c>
      <c r="I4833" t="str">
        <f>HYPERLINK("#", "https://opac.libnet.pref.okayama.jp/licsxp-opac/WOpacMsgNewListToTifTilDetailAction.do?tilcod=2002222308786")</f>
        <v>https://opac.libnet.pref.okayama.jp/licsxp-opac/WOpacMsgNewListToTifTilDetailAction.do?tilcod=2002222308786</v>
      </c>
    </row>
    <row r="4834" spans="1:9" x14ac:dyDescent="0.4">
      <c r="A4834" t="str">
        <f>"桃太郎シニア岡山"</f>
        <v>桃太郎シニア岡山</v>
      </c>
      <c r="B4834" s="1" t="str">
        <f t="shared" si="238"/>
        <v>桃太郎シニア岡山</v>
      </c>
      <c r="C4834" t="str">
        <f>"モモタロウ シニア オカヤマ"</f>
        <v>モモタロウ シニア オカヤマ</v>
      </c>
      <c r="D4834" t="str">
        <f>"岡山市老人クラブ連合会"</f>
        <v>岡山市老人クラブ連合会</v>
      </c>
      <c r="E4834" t="str">
        <f>"オカヤマシ ロウジン クラブ レンゴウカイ"</f>
        <v>オカヤマシ ロウジン クラブ レンゴウカイ</v>
      </c>
      <c r="F4834" t="str">
        <f>"岡山"</f>
        <v>岡山</v>
      </c>
      <c r="G4834" t="str">
        <f>"年２回刊"</f>
        <v>年２回刊</v>
      </c>
      <c r="H4834" t="str">
        <f>"2002222334048"</f>
        <v>2002222334048</v>
      </c>
      <c r="I4834" t="str">
        <f>HYPERLINK("#", "https://opac.libnet.pref.okayama.jp/licsxp-opac/WOpacMsgNewListToTifTilDetailAction.do?tilcod=2002222334048")</f>
        <v>https://opac.libnet.pref.okayama.jp/licsxp-opac/WOpacMsgNewListToTifTilDetailAction.do?tilcod=2002222334048</v>
      </c>
    </row>
    <row r="4835" spans="1:9" x14ac:dyDescent="0.4">
      <c r="A4835" t="str">
        <f>"モモ太郎；岡山でてんかんの情報がわかる広報誌"</f>
        <v>モモ太郎；岡山でてんかんの情報がわかる広報誌</v>
      </c>
      <c r="B4835" s="1" t="str">
        <f t="shared" si="238"/>
        <v>モモ太郎；岡山でてんかんの情報がわかる広報誌</v>
      </c>
      <c r="C4835" t="str">
        <f>"モモタロウ＊オカヤマ デ テンカン ノ ジョウホウ ガ ワカル コウホウシ"</f>
        <v>モモタロウ＊オカヤマ デ テンカン ノ ジョウホウ ガ ワカル コウホウシ</v>
      </c>
      <c r="D4835" t="str">
        <f>"日本てんかん協会岡山県支部"</f>
        <v>日本てんかん協会岡山県支部</v>
      </c>
      <c r="E4835" t="str">
        <f>"ニホン テンカン キョウカイ オカヤマケン シブ"</f>
        <v>ニホン テンカン キョウカイ オカヤマケン シブ</v>
      </c>
      <c r="F4835" t="str">
        <f>"岡山"</f>
        <v>岡山</v>
      </c>
      <c r="G4835" t="str">
        <f>"月刊"</f>
        <v>月刊</v>
      </c>
      <c r="H4835" t="str">
        <f>"2002222344015"</f>
        <v>2002222344015</v>
      </c>
      <c r="I4835" t="str">
        <f>HYPERLINK("#", "https://opac.libnet.pref.okayama.jp/licsxp-opac/WOpacMsgNewListToTifTilDetailAction.do?tilcod=2002222344015")</f>
        <v>https://opac.libnet.pref.okayama.jp/licsxp-opac/WOpacMsgNewListToTifTilDetailAction.do?tilcod=2002222344015</v>
      </c>
    </row>
    <row r="4836" spans="1:9" x14ac:dyDescent="0.4">
      <c r="A4836" t="str">
        <f>"百千鳥"</f>
        <v>百千鳥</v>
      </c>
      <c r="B4836" s="1" t="str">
        <f t="shared" si="238"/>
        <v>百千鳥</v>
      </c>
      <c r="C4836" t="str">
        <f>"モモチドリ"</f>
        <v>モモチドリ</v>
      </c>
      <c r="D4836" t="str">
        <f>"城東吟社"</f>
        <v>城東吟社</v>
      </c>
      <c r="E4836" t="str">
        <f>"ジョウトウギンシャ"</f>
        <v>ジョウトウギンシャ</v>
      </c>
      <c r="F4836" t="str">
        <f>"岡山"</f>
        <v>岡山</v>
      </c>
      <c r="G4836" t="str">
        <f>"頻度不明"</f>
        <v>頻度不明</v>
      </c>
      <c r="H4836" t="str">
        <f>"2002222280974"</f>
        <v>2002222280974</v>
      </c>
      <c r="I4836" t="str">
        <f>HYPERLINK("#", "https://opac.libnet.pref.okayama.jp/licsxp-opac/WOpacMsgNewListToTifTilDetailAction.do?tilcod=2002222280974")</f>
        <v>https://opac.libnet.pref.okayama.jp/licsxp-opac/WOpacMsgNewListToTifTilDetailAction.do?tilcod=2002222280974</v>
      </c>
    </row>
    <row r="4837" spans="1:9" x14ac:dyDescent="0.4">
      <c r="A4837" t="str">
        <f>"ももちゃいるど；おかやま・楽しい子育て生活情報誌"</f>
        <v>ももちゃいるど；おかやま・楽しい子育て生活情報誌</v>
      </c>
      <c r="B4837" s="1" t="str">
        <f t="shared" si="238"/>
        <v>ももちゃいるど；おかやま・楽しい子育て生活情報誌</v>
      </c>
      <c r="C4837" t="str">
        <f>"モモチャイルド＊オカヤマタノシイコソダテセイカツジョウホウシ"</f>
        <v>モモチャイルド＊オカヤマタノシイコソダテセイカツジョウホウシ</v>
      </c>
      <c r="D4837" t="str">
        <f>"ももちゃいるどネットワーク"</f>
        <v>ももちゃいるどネットワーク</v>
      </c>
      <c r="E4837" t="str">
        <f>"モモチャイルド ネットワーク"</f>
        <v>モモチャイルド ネットワーク</v>
      </c>
      <c r="F4837" t="str">
        <f>"岡山"</f>
        <v>岡山</v>
      </c>
      <c r="G4837" t="str">
        <f>"季刊"</f>
        <v>季刊</v>
      </c>
      <c r="H4837" t="str">
        <f>"2002222282591"</f>
        <v>2002222282591</v>
      </c>
      <c r="I4837" t="str">
        <f>HYPERLINK("#", "https://opac.libnet.pref.okayama.jp/licsxp-opac/WOpacMsgNewListToTifTilDetailAction.do?tilcod=2002222282591")</f>
        <v>https://opac.libnet.pref.okayama.jp/licsxp-opac/WOpacMsgNewListToTifTilDetailAction.do?tilcod=2002222282591</v>
      </c>
    </row>
    <row r="4838" spans="1:9" x14ac:dyDescent="0.4">
      <c r="A4838" t="str">
        <f>"ももっち新聞"</f>
        <v>ももっち新聞</v>
      </c>
      <c r="B4838" s="1" t="str">
        <f t="shared" si="238"/>
        <v>ももっち新聞</v>
      </c>
      <c r="C4838" t="str">
        <f>"モモッチ シンブン"</f>
        <v>モモッチ シンブン</v>
      </c>
      <c r="D4838" t="str">
        <f>"晴れの国おかやま国体倉敷市真備町実行委員会事務局"</f>
        <v>晴れの国おかやま国体倉敷市真備町実行委員会事務局</v>
      </c>
      <c r="E4838" t="str">
        <f>"ハレ ノ クニ オカヤマ コクタイ クラシキシ マビチョウ ジッコウ イインカイ ジムキョク"</f>
        <v>ハレ ノ クニ オカヤマ コクタイ クラシキシ マビチョウ ジッコウ イインカイ ジムキョク</v>
      </c>
      <c r="F4838" t="str">
        <f>"倉敷"</f>
        <v>倉敷</v>
      </c>
      <c r="G4838" t="str">
        <f>"頻度不明"</f>
        <v>頻度不明</v>
      </c>
      <c r="H4838" t="str">
        <f>"2002222307607"</f>
        <v>2002222307607</v>
      </c>
      <c r="I4838" t="str">
        <f>HYPERLINK("#", "https://opac.libnet.pref.okayama.jp/licsxp-opac/WOpacMsgNewListToTifTilDetailAction.do?tilcod=2002222307607")</f>
        <v>https://opac.libnet.pref.okayama.jp/licsxp-opac/WOpacMsgNewListToTifTilDetailAction.do?tilcod=2002222307607</v>
      </c>
    </row>
    <row r="4839" spans="1:9" x14ac:dyDescent="0.4">
      <c r="A4839" t="str">
        <f>"催物案内;岡山シンフォニーホール"</f>
        <v>催物案内;岡山シンフォニーホール</v>
      </c>
      <c r="B4839" s="1" t="str">
        <f t="shared" si="238"/>
        <v>催物案内;岡山シンフォニーホール</v>
      </c>
      <c r="C4839" t="str">
        <f>"モヨオシモノ アンナイ＊オカヤマ シンフォニー ホール"</f>
        <v>モヨオシモノ アンナイ＊オカヤマ シンフォニー ホール</v>
      </c>
      <c r="D4839" t="str">
        <f>"岡山シンフォニーホール"</f>
        <v>岡山シンフォニーホール</v>
      </c>
      <c r="E4839" t="str">
        <f>"オカヤマ シンフォニー ホール"</f>
        <v>オカヤマ シンフォニー ホール</v>
      </c>
      <c r="F4839" t="str">
        <f>"岡山"</f>
        <v>岡山</v>
      </c>
      <c r="G4839" t="str">
        <f>"隔月刊"</f>
        <v>隔月刊</v>
      </c>
      <c r="H4839" t="str">
        <f>"2002222313306"</f>
        <v>2002222313306</v>
      </c>
      <c r="I4839" t="str">
        <f>HYPERLINK("#", "https://opac.libnet.pref.okayama.jp/licsxp-opac/WOpacMsgNewListToTifTilDetailAction.do?tilcod=2002222313306")</f>
        <v>https://opac.libnet.pref.okayama.jp/licsxp-opac/WOpacMsgNewListToTifTilDetailAction.do?tilcod=2002222313306</v>
      </c>
    </row>
    <row r="4840" spans="1:9" x14ac:dyDescent="0.4">
      <c r="A4840" t="str">
        <f>"森サポ通信；おかやま森づくりサポートセンター情報マガジン"</f>
        <v>森サポ通信；おかやま森づくりサポートセンター情報マガジン</v>
      </c>
      <c r="B4840" s="1" t="str">
        <f t="shared" si="238"/>
        <v>森サポ通信；おかやま森づくりサポートセンター情報マガジン</v>
      </c>
      <c r="C4840" t="str">
        <f>"モリ サポ ツウシン＊オカヤマ モリズクリ サポート センター ジョウホウ マガジン"</f>
        <v>モリ サポ ツウシン＊オカヤマ モリズクリ サポート センター ジョウホウ マガジン</v>
      </c>
      <c r="D4840" t="str">
        <f>"おかやま森づくりサポートセンター"</f>
        <v>おかやま森づくりサポートセンター</v>
      </c>
      <c r="E4840" t="str">
        <f>"オカヤマ モリズクリ サポート センター"</f>
        <v>オカヤマ モリズクリ サポート センター</v>
      </c>
      <c r="F4840" t="str">
        <f>"倉敷"</f>
        <v>倉敷</v>
      </c>
      <c r="G4840" t="str">
        <f>"年刊"</f>
        <v>年刊</v>
      </c>
      <c r="H4840" t="str">
        <f>"2002222338352"</f>
        <v>2002222338352</v>
      </c>
      <c r="I4840" t="str">
        <f>HYPERLINK("#", "https://opac.libnet.pref.okayama.jp/licsxp-opac/WOpacMsgNewListToTifTilDetailAction.do?tilcod=2002222338352")</f>
        <v>https://opac.libnet.pref.okayama.jp/licsxp-opac/WOpacMsgNewListToTifTilDetailAction.do?tilcod=2002222338352</v>
      </c>
    </row>
    <row r="4841" spans="1:9" x14ac:dyDescent="0.4">
      <c r="A4841" t="str">
        <f>"森のつどい"</f>
        <v>森のつどい</v>
      </c>
      <c r="B4841" s="1" t="str">
        <f t="shared" si="238"/>
        <v>森のつどい</v>
      </c>
      <c r="C4841" t="str">
        <f>"モリ　ノ　ツドイ"</f>
        <v>モリ　ノ　ツドイ</v>
      </c>
      <c r="D4841" t="str">
        <f>"森の集い"</f>
        <v>森の集い</v>
      </c>
      <c r="E4841" t="str">
        <f>"モリノツドイ"</f>
        <v>モリノツドイ</v>
      </c>
      <c r="F4841" t="str">
        <f>"備前"</f>
        <v>備前</v>
      </c>
      <c r="G4841" t="str">
        <f>"隔月刊"</f>
        <v>隔月刊</v>
      </c>
      <c r="H4841" t="str">
        <f>"2002222292471"</f>
        <v>2002222292471</v>
      </c>
      <c r="I4841" t="str">
        <f>HYPERLINK("#", "https://opac.libnet.pref.okayama.jp/licsxp-opac/WOpacMsgNewListToTifTilDetailAction.do?tilcod=2002222292471")</f>
        <v>https://opac.libnet.pref.okayama.jp/licsxp-opac/WOpacMsgNewListToTifTilDetailAction.do?tilcod=2002222292471</v>
      </c>
    </row>
    <row r="4842" spans="1:9" x14ac:dyDescent="0.4">
      <c r="A4842" t="str">
        <f>"森近運平を語る会会報"</f>
        <v>森近運平を語る会会報</v>
      </c>
      <c r="B4842" s="1" t="str">
        <f t="shared" si="238"/>
        <v>森近運平を語る会会報</v>
      </c>
      <c r="C4842" t="str">
        <f>"モリチカ　ウンペイ　オ　カタル　カイ　カイホウ"</f>
        <v>モリチカ　ウンペイ　オ　カタル　カイ　カイホウ</v>
      </c>
      <c r="D4842" t="str">
        <f>"森近運平を語る会"</f>
        <v>森近運平を語る会</v>
      </c>
      <c r="E4842" t="str">
        <f>"モリチカ ウンペイ オ カタル カイ"</f>
        <v>モリチカ ウンペイ オ カタル カイ</v>
      </c>
      <c r="F4842" t="str">
        <f>"井原"</f>
        <v>井原</v>
      </c>
      <c r="G4842" t="str">
        <f>"頻度不明"</f>
        <v>頻度不明</v>
      </c>
      <c r="H4842" t="str">
        <f>"2002222281444"</f>
        <v>2002222281444</v>
      </c>
      <c r="I4842" t="str">
        <f>HYPERLINK("#", "https://opac.libnet.pref.okayama.jp/licsxp-opac/WOpacMsgNewListToTifTilDetailAction.do?tilcod=2002222281444")</f>
        <v>https://opac.libnet.pref.okayama.jp/licsxp-opac/WOpacMsgNewListToTifTilDetailAction.do?tilcod=2002222281444</v>
      </c>
    </row>
    <row r="4843" spans="1:9" x14ac:dyDescent="0.4">
      <c r="A4843" t="str">
        <f>"MORIYAMA EXPRESS;市議会議員森山幸治の岡山市政報告会報"</f>
        <v>MORIYAMA EXPRESS;市議会議員森山幸治の岡山市政報告会報</v>
      </c>
      <c r="B4843" s="1" t="str">
        <f t="shared" si="238"/>
        <v>MORIYAMA EXPRESS;市議会議員森山幸治の岡山市政報告会報</v>
      </c>
      <c r="C4843" t="str">
        <f>"モリヤマ エクスプレス＊シギカイ ギイン モリヤマ コウジ ノ オカヤマ シセイ ホウコク カイホウ"</f>
        <v>モリヤマ エクスプレス＊シギカイ ギイン モリヤマ コウジ ノ オカヤマ シセイ ホウコク カイホウ</v>
      </c>
      <c r="D4843" t="str">
        <f>"NEW WORLD PARTY"</f>
        <v>NEW WORLD PARTY</v>
      </c>
      <c r="E4843" t="str">
        <f>"ニュー ワールド パーティー"</f>
        <v>ニュー ワールド パーティー</v>
      </c>
      <c r="F4843" t="str">
        <f>"岡山"</f>
        <v>岡山</v>
      </c>
      <c r="G4843" t="str">
        <f>"不定期刊"</f>
        <v>不定期刊</v>
      </c>
      <c r="H4843" t="str">
        <f>"2002222312971"</f>
        <v>2002222312971</v>
      </c>
      <c r="I4843" t="str">
        <f>HYPERLINK("#", "https://opac.libnet.pref.okayama.jp/licsxp-opac/WOpacMsgNewListToTifTilDetailAction.do?tilcod=2002222312971")</f>
        <v>https://opac.libnet.pref.okayama.jp/licsxp-opac/WOpacMsgNewListToTifTilDetailAction.do?tilcod=2002222312971</v>
      </c>
    </row>
    <row r="4844" spans="1:9" x14ac:dyDescent="0.4">
      <c r="A4844" t="str">
        <f>"モリヤマコウジInterview;市議会議員森山幸治の岡山市政報告会報"</f>
        <v>モリヤマコウジInterview;市議会議員森山幸治の岡山市政報告会報</v>
      </c>
      <c r="B4844" s="1" t="str">
        <f t="shared" si="238"/>
        <v>モリヤマコウジInterview;市議会議員森山幸治の岡山市政報告会報</v>
      </c>
      <c r="C4844" t="str">
        <f>"モリヤマ コウジ インタビュー＊シギカイ ギイン モリヤマ コウジ ノ オカヤマ シセイ ホウコク カイホウ"</f>
        <v>モリヤマ コウジ インタビュー＊シギカイ ギイン モリヤマ コウジ ノ オカヤマ シセイ ホウコク カイホウ</v>
      </c>
      <c r="D4844" t="str">
        <f>"NEW WORLD PARTY"</f>
        <v>NEW WORLD PARTY</v>
      </c>
      <c r="E4844" t="str">
        <f>"ニュー ワールド パーティー"</f>
        <v>ニュー ワールド パーティー</v>
      </c>
      <c r="F4844" t="str">
        <f>"岡山"</f>
        <v>岡山</v>
      </c>
      <c r="G4844" t="str">
        <f>"不定期刊"</f>
        <v>不定期刊</v>
      </c>
      <c r="H4844" t="str">
        <f>"2002222312969"</f>
        <v>2002222312969</v>
      </c>
      <c r="I4844" t="str">
        <f>HYPERLINK("#", "https://opac.libnet.pref.okayama.jp/licsxp-opac/WOpacMsgNewListToTifTilDetailAction.do?tilcod=2002222312969")</f>
        <v>https://opac.libnet.pref.okayama.jp/licsxp-opac/WOpacMsgNewListToTifTilDetailAction.do?tilcod=2002222312969</v>
      </c>
    </row>
    <row r="4845" spans="1:9" x14ac:dyDescent="0.4">
      <c r="A4845" t="str">
        <f>"[矢掛高等学校] 学校案内"</f>
        <v>[矢掛高等学校] 学校案内</v>
      </c>
      <c r="B4845" s="1" t="str">
        <f t="shared" si="238"/>
        <v>[矢掛高等学校] 学校案内</v>
      </c>
      <c r="C4845" t="str">
        <f>"ヤカゲ　コウトウ　ガッコウ　ガッコウ　アンナイ"</f>
        <v>ヤカゲ　コウトウ　ガッコウ　ガッコウ　アンナイ</v>
      </c>
      <c r="D4845" t="str">
        <f>"矢掛高等学校"</f>
        <v>矢掛高等学校</v>
      </c>
      <c r="E4845" t="str">
        <f>"ヤカゲ コウトウ ガッコウ"</f>
        <v>ヤカゲ コウトウ ガッコウ</v>
      </c>
      <c r="F4845" t="str">
        <f t="shared" ref="F4845:F4851" si="239">"矢掛町（小田郡）"</f>
        <v>矢掛町（小田郡）</v>
      </c>
      <c r="G4845" t="str">
        <f>"年刊"</f>
        <v>年刊</v>
      </c>
      <c r="H4845" t="str">
        <f>"2002222301262"</f>
        <v>2002222301262</v>
      </c>
      <c r="I4845" t="str">
        <f>HYPERLINK("#", "https://opac.libnet.pref.okayama.jp/licsxp-opac/WOpacMsgNewListToTifTilDetailAction.do?tilcod=2002222301262")</f>
        <v>https://opac.libnet.pref.okayama.jp/licsxp-opac/WOpacMsgNewListToTifTilDetailAction.do?tilcod=2002222301262</v>
      </c>
    </row>
    <row r="4846" spans="1:9" x14ac:dyDescent="0.4">
      <c r="A4846" t="str">
        <f>"[矢掛高等学校] 学校要覧"</f>
        <v>[矢掛高等学校] 学校要覧</v>
      </c>
      <c r="B4846" s="1" t="str">
        <f t="shared" si="238"/>
        <v>[矢掛高等学校] 学校要覧</v>
      </c>
      <c r="C4846" t="str">
        <f>"ヤカゲ　コウトウ　ガッコウ　ガッコウ　ヨウラン"</f>
        <v>ヤカゲ　コウトウ　ガッコウ　ガッコウ　ヨウラン</v>
      </c>
      <c r="D4846" t="str">
        <f>"矢掛高等学校"</f>
        <v>矢掛高等学校</v>
      </c>
      <c r="E4846" t="str">
        <f>"ヤカゲ コウトウ ガッコウ"</f>
        <v>ヤカゲ コウトウ ガッコウ</v>
      </c>
      <c r="F4846" t="str">
        <f t="shared" si="239"/>
        <v>矢掛町（小田郡）</v>
      </c>
      <c r="G4846" t="str">
        <f>"年刊"</f>
        <v>年刊</v>
      </c>
      <c r="H4846" t="str">
        <f>"2002222300538"</f>
        <v>2002222300538</v>
      </c>
      <c r="I4846" t="str">
        <f>HYPERLINK("#", "https://opac.libnet.pref.okayama.jp/licsxp-opac/WOpacMsgNewListToTifTilDetailAction.do?tilcod=2002222300538")</f>
        <v>https://opac.libnet.pref.okayama.jp/licsxp-opac/WOpacMsgNewListToTifTilDetailAction.do?tilcod=2002222300538</v>
      </c>
    </row>
    <row r="4847" spans="1:9" x14ac:dyDescent="0.4">
      <c r="A4847" t="str">
        <f>"〔矢掛高等学校〕矢高新聞"</f>
        <v>〔矢掛高等学校〕矢高新聞</v>
      </c>
      <c r="B4847" s="1" t="str">
        <f t="shared" si="238"/>
        <v>〔矢掛高等学校〕矢高新聞</v>
      </c>
      <c r="C4847" t="str">
        <f>"ヤカゲ　コウトウ　ガッコウ＊ヤコウ　シンブン"</f>
        <v>ヤカゲ　コウトウ　ガッコウ＊ヤコウ　シンブン</v>
      </c>
      <c r="D4847" t="str">
        <f>"矢掛高等学校新聞部"</f>
        <v>矢掛高等学校新聞部</v>
      </c>
      <c r="E4847" t="str">
        <f>"ヤカゲコウトウガッコウシンブンブ"</f>
        <v>ヤカゲコウトウガッコウシンブンブ</v>
      </c>
      <c r="F4847" t="str">
        <f t="shared" si="239"/>
        <v>矢掛町（小田郡）</v>
      </c>
      <c r="G4847" t="str">
        <f>"頻度不明"</f>
        <v>頻度不明</v>
      </c>
      <c r="H4847" t="str">
        <f>"2002222301921"</f>
        <v>2002222301921</v>
      </c>
      <c r="I4847" t="str">
        <f>HYPERLINK("#", "https://opac.libnet.pref.okayama.jp/licsxp-opac/WOpacMsgNewListToTifTilDetailAction.do?tilcod=2002222301921")</f>
        <v>https://opac.libnet.pref.okayama.jp/licsxp-opac/WOpacMsgNewListToTifTilDetailAction.do?tilcod=2002222301921</v>
      </c>
    </row>
    <row r="4848" spans="1:9" x14ac:dyDescent="0.4">
      <c r="A4848" t="str">
        <f>"矢掛商業高等学校学校案内"</f>
        <v>矢掛商業高等学校学校案内</v>
      </c>
      <c r="B4848" s="1" t="str">
        <f t="shared" si="238"/>
        <v>矢掛商業高等学校学校案内</v>
      </c>
      <c r="C4848" t="str">
        <f>"ヤカゲ　ショウギョウ　コウトウ　ガッコウ　ガッコウ　アンナイ"</f>
        <v>ヤカゲ　ショウギョウ　コウトウ　ガッコウ　ガッコウ　アンナイ</v>
      </c>
      <c r="D4848" t="str">
        <f>"矢掛商業高等学校"</f>
        <v>矢掛商業高等学校</v>
      </c>
      <c r="E4848" t="str">
        <f>"ヤカゲ ショウギョウ コウトウ ガッコウ"</f>
        <v>ヤカゲ ショウギョウ コウトウ ガッコウ</v>
      </c>
      <c r="F4848" t="str">
        <f t="shared" si="239"/>
        <v>矢掛町（小田郡）</v>
      </c>
      <c r="G4848" t="str">
        <f>"年刊"</f>
        <v>年刊</v>
      </c>
      <c r="H4848" t="str">
        <f>"2002222301225"</f>
        <v>2002222301225</v>
      </c>
      <c r="I4848" t="str">
        <f>HYPERLINK("#", "https://opac.libnet.pref.okayama.jp/licsxp-opac/WOpacMsgNewListToTifTilDetailAction.do?tilcod=2002222301225")</f>
        <v>https://opac.libnet.pref.okayama.jp/licsxp-opac/WOpacMsgNewListToTifTilDetailAction.do?tilcod=2002222301225</v>
      </c>
    </row>
    <row r="4849" spans="1:9" x14ac:dyDescent="0.4">
      <c r="A4849" t="str">
        <f>"矢掛商業高等学校学校要覧"</f>
        <v>矢掛商業高等学校学校要覧</v>
      </c>
      <c r="B4849" s="1" t="str">
        <f t="shared" si="238"/>
        <v>矢掛商業高等学校学校要覧</v>
      </c>
      <c r="C4849" t="str">
        <f>"ヤカゲ　ショウギョウ　コウトウ　ガッコウ　ガッコウ　ヨウラン"</f>
        <v>ヤカゲ　ショウギョウ　コウトウ　ガッコウ　ガッコウ　ヨウラン</v>
      </c>
      <c r="D4849" t="str">
        <f>"矢掛商業高等学校"</f>
        <v>矢掛商業高等学校</v>
      </c>
      <c r="E4849" t="str">
        <f>"ヤカゲ ショウギョウ コウトウ ガッコウ"</f>
        <v>ヤカゲ ショウギョウ コウトウ ガッコウ</v>
      </c>
      <c r="F4849" t="str">
        <f t="shared" si="239"/>
        <v>矢掛町（小田郡）</v>
      </c>
      <c r="G4849" t="str">
        <f>"年刊"</f>
        <v>年刊</v>
      </c>
      <c r="H4849" t="str">
        <f>"2002222300539"</f>
        <v>2002222300539</v>
      </c>
      <c r="I4849" t="str">
        <f>HYPERLINK("#", "https://opac.libnet.pref.okayama.jp/licsxp-opac/WOpacMsgNewListToTifTilDetailAction.do?tilcod=2002222300539")</f>
        <v>https://opac.libnet.pref.okayama.jp/licsxp-opac/WOpacMsgNewListToTifTilDetailAction.do?tilcod=2002222300539</v>
      </c>
    </row>
    <row r="4850" spans="1:9" x14ac:dyDescent="0.4">
      <c r="A4850" t="str">
        <f>"〔矢掛商業高等学校〕矢商新聞"</f>
        <v>〔矢掛商業高等学校〕矢商新聞</v>
      </c>
      <c r="B4850" s="1" t="str">
        <f t="shared" si="238"/>
        <v>〔矢掛商業高等学校〕矢商新聞</v>
      </c>
      <c r="C4850" t="str">
        <f>"ヤカゲ　ショウギョウ　コウトウ　ガッコウ＊ヤショウ　シンブン"</f>
        <v>ヤカゲ　ショウギョウ　コウトウ　ガッコウ＊ヤショウ　シンブン</v>
      </c>
      <c r="D4850" t="str">
        <f>"矢掛商業高等学校生徒会・新聞部"</f>
        <v>矢掛商業高等学校生徒会・新聞部</v>
      </c>
      <c r="E4850" t="str">
        <f>"ヤカゲショウギョウコウトウガッコウセイトカイシンブンブ"</f>
        <v>ヤカゲショウギョウコウトウガッコウセイトカイシンブンブ</v>
      </c>
      <c r="F4850" t="str">
        <f t="shared" si="239"/>
        <v>矢掛町（小田郡）</v>
      </c>
      <c r="G4850" t="str">
        <f>"年刊"</f>
        <v>年刊</v>
      </c>
      <c r="H4850" t="str">
        <f>"2002222301890"</f>
        <v>2002222301890</v>
      </c>
      <c r="I4850" t="str">
        <f>HYPERLINK("#", "https://opac.libnet.pref.okayama.jp/licsxp-opac/WOpacMsgNewListToTifTilDetailAction.do?tilcod=2002222301890")</f>
        <v>https://opac.libnet.pref.okayama.jp/licsxp-opac/WOpacMsgNewListToTifTilDetailAction.do?tilcod=2002222301890</v>
      </c>
    </row>
    <row r="4851" spans="1:9" x14ac:dyDescent="0.4">
      <c r="A4851" t="str">
        <f>"矢掛新聞"</f>
        <v>矢掛新聞</v>
      </c>
      <c r="B4851" s="1" t="str">
        <f t="shared" si="238"/>
        <v>矢掛新聞</v>
      </c>
      <c r="C4851" t="str">
        <f>"ヤカゲ　シンブン"</f>
        <v>ヤカゲ　シンブン</v>
      </c>
      <c r="D4851" t="str">
        <f>"矢掛新聞社"</f>
        <v>矢掛新聞社</v>
      </c>
      <c r="E4851" t="str">
        <f>"ヤカゲシンブンシャ"</f>
        <v>ヤカゲシンブンシャ</v>
      </c>
      <c r="F4851" t="str">
        <f t="shared" si="239"/>
        <v>矢掛町（小田郡）</v>
      </c>
      <c r="G4851" t="str">
        <f>"旬刊"</f>
        <v>旬刊</v>
      </c>
      <c r="H4851" t="str">
        <f>"2002222300975"</f>
        <v>2002222300975</v>
      </c>
      <c r="I4851" t="str">
        <f>HYPERLINK("#", "https://opac.libnet.pref.okayama.jp/licsxp-opac/WOpacMsgNewListToTifTilDetailAction.do?tilcod=2002222300975")</f>
        <v>https://opac.libnet.pref.okayama.jp/licsxp-opac/WOpacMsgNewListToTifTilDetailAction.do?tilcod=2002222300975</v>
      </c>
    </row>
    <row r="4852" spans="1:9" x14ac:dyDescent="0.4">
      <c r="A4852" t="str">
        <f>"矢掛の宿場まつり大名行列かわら版"</f>
        <v>矢掛の宿場まつり大名行列かわら版</v>
      </c>
      <c r="B4852" s="1" t="str">
        <f t="shared" si="238"/>
        <v>矢掛の宿場まつり大名行列かわら版</v>
      </c>
      <c r="C4852" t="str">
        <f>"ヤカゲ ノ シュクバ マツリ ダイミョウ ギョウレツ カワラバン"</f>
        <v>ヤカゲ ノ シュクバ マツリ ダイミョウ ギョウレツ カワラバン</v>
      </c>
      <c r="D4852" t="str">
        <f>"備中西商工会青年部矢掛支部"</f>
        <v>備中西商工会青年部矢掛支部</v>
      </c>
      <c r="E4852" t="str">
        <f>"ビッチュウ ニシ ショウコウカイ セイネンブ ヤカゲ シブ"</f>
        <v>ビッチュウ ニシ ショウコウカイ セイネンブ ヤカゲ シブ</v>
      </c>
      <c r="F4852" t="str">
        <f>"岡山"</f>
        <v>岡山</v>
      </c>
      <c r="G4852" t="str">
        <f>"頻度不明"</f>
        <v>頻度不明</v>
      </c>
      <c r="H4852" t="str">
        <f>"2002222334248"</f>
        <v>2002222334248</v>
      </c>
      <c r="I4852" t="str">
        <f>HYPERLINK("#", "https://opac.libnet.pref.okayama.jp/licsxp-opac/WOpacMsgNewListToTifTilDetailAction.do?tilcod=2002222334248")</f>
        <v>https://opac.libnet.pref.okayama.jp/licsxp-opac/WOpacMsgNewListToTifTilDetailAction.do?tilcod=2002222334248</v>
      </c>
    </row>
    <row r="4853" spans="1:9" x14ac:dyDescent="0.4">
      <c r="A4853" t="str">
        <f>"YAKAGE ; 〔矢掛町〕議会だより"</f>
        <v>YAKAGE ; 〔矢掛町〕議会だより</v>
      </c>
      <c r="B4853" s="1" t="str">
        <f t="shared" si="238"/>
        <v>YAKAGE ; 〔矢掛町〕議会だより</v>
      </c>
      <c r="C4853" t="str">
        <f>"ヤカゲ ヤカゲチョウ ギカイ ダヨリ"</f>
        <v>ヤカゲ ヤカゲチョウ ギカイ ダヨリ</v>
      </c>
      <c r="D4853" t="str">
        <f>"矢掛町議会"</f>
        <v>矢掛町議会</v>
      </c>
      <c r="E4853" t="str">
        <f>"ヤカゲチョウ ギカイ"</f>
        <v>ヤカゲチョウ ギカイ</v>
      </c>
      <c r="F4853" t="str">
        <f>"矢掛町"</f>
        <v>矢掛町</v>
      </c>
      <c r="G4853" t="str">
        <f>"頻度不明"</f>
        <v>頻度不明</v>
      </c>
      <c r="H4853" t="str">
        <f>"2002222334050"</f>
        <v>2002222334050</v>
      </c>
      <c r="I4853" t="str">
        <f>HYPERLINK("#", "https://opac.libnet.pref.okayama.jp/licsxp-opac/WOpacMsgNewListToTifTilDetailAction.do?tilcod=2002222334050")</f>
        <v>https://opac.libnet.pref.okayama.jp/licsxp-opac/WOpacMsgNewListToTifTilDetailAction.do?tilcod=2002222334050</v>
      </c>
    </row>
    <row r="4854" spans="1:9" x14ac:dyDescent="0.4">
      <c r="A4854" t="str">
        <f>"[矢掛町教育委員会]教育だより"</f>
        <v>[矢掛町教育委員会]教育だより</v>
      </c>
      <c r="B4854" s="1" t="str">
        <f t="shared" si="238"/>
        <v>[矢掛町教育委員会]教育だより</v>
      </c>
      <c r="C4854" t="str">
        <f>"ヤカゲチョウ キョウイク イインカイ キョウイク ダヨリ"</f>
        <v>ヤカゲチョウ キョウイク イインカイ キョウイク ダヨリ</v>
      </c>
      <c r="D4854" t="str">
        <f>"矢掛町教育委員会"</f>
        <v>矢掛町教育委員会</v>
      </c>
      <c r="E4854" t="str">
        <f>"ヤカゲチョウ キョウイク イインカイ"</f>
        <v>ヤカゲチョウ キョウイク イインカイ</v>
      </c>
      <c r="F4854" t="str">
        <f>"矢掛町（小田郡）"</f>
        <v>矢掛町（小田郡）</v>
      </c>
      <c r="G4854" t="str">
        <f>"年刊"</f>
        <v>年刊</v>
      </c>
      <c r="H4854" t="str">
        <f>"2002222339831"</f>
        <v>2002222339831</v>
      </c>
      <c r="I4854" t="str">
        <f>HYPERLINK("#", "https://opac.libnet.pref.okayama.jp/licsxp-opac/WOpacMsgNewListToTifTilDetailAction.do?tilcod=2002222339831")</f>
        <v>https://opac.libnet.pref.okayama.jp/licsxp-opac/WOpacMsgNewListToTifTilDetailAction.do?tilcod=2002222339831</v>
      </c>
    </row>
    <row r="4855" spans="1:9" x14ac:dyDescent="0.4">
      <c r="A4855" t="str">
        <f>"矢掛町の自然と歴史シリーズ"</f>
        <v>矢掛町の自然と歴史シリーズ</v>
      </c>
      <c r="B4855" s="1" t="str">
        <f t="shared" si="238"/>
        <v>矢掛町の自然と歴史シリーズ</v>
      </c>
      <c r="C4855" t="str">
        <f>"ヤカゲチョウノ シゼント レキシ シリーズ"</f>
        <v>ヤカゲチョウノ シゼント レキシ シリーズ</v>
      </c>
      <c r="D4855" t="str">
        <f>"田賀 辰也"</f>
        <v>田賀 辰也</v>
      </c>
      <c r="E4855" t="str">
        <f>"タガ シンヤ"</f>
        <v>タガ シンヤ</v>
      </c>
      <c r="F4855" t="str">
        <f>"[矢掛町(小田郡)]"</f>
        <v>[矢掛町(小田郡)]</v>
      </c>
      <c r="G4855" t="str">
        <f>"月刊"</f>
        <v>月刊</v>
      </c>
      <c r="H4855" t="str">
        <f>"2002222343350"</f>
        <v>2002222343350</v>
      </c>
      <c r="I4855" t="str">
        <f>HYPERLINK("#", "https://opac.libnet.pref.okayama.jp/licsxp-opac/WOpacMsgNewListToTifTilDetailAction.do?tilcod=2002222343350")</f>
        <v>https://opac.libnet.pref.okayama.jp/licsxp-opac/WOpacMsgNewListToTifTilDetailAction.do?tilcod=2002222343350</v>
      </c>
    </row>
    <row r="4856" spans="1:9" x14ac:dyDescent="0.4">
      <c r="A4856" t="str">
        <f>"やきもの"</f>
        <v>やきもの</v>
      </c>
      <c r="B4856" s="1" t="str">
        <f t="shared" si="238"/>
        <v>やきもの</v>
      </c>
      <c r="C4856" t="str">
        <f>"ヤキモノ"</f>
        <v>ヤキモノ</v>
      </c>
      <c r="D4856" t="str">
        <f>"日本陶磁研究所"</f>
        <v>日本陶磁研究所</v>
      </c>
      <c r="E4856" t="str">
        <f>"ニホントウジケンキュウジョ"</f>
        <v>ニホントウジケンキュウジョ</v>
      </c>
      <c r="F4856" t="str">
        <f>""</f>
        <v/>
      </c>
      <c r="G4856" t="str">
        <f>"頻度不明"</f>
        <v>頻度不明</v>
      </c>
      <c r="H4856" t="str">
        <f>"2002222286533"</f>
        <v>2002222286533</v>
      </c>
      <c r="I4856" t="str">
        <f>HYPERLINK("#", "https://opac.libnet.pref.okayama.jp/licsxp-opac/WOpacMsgNewListToTifTilDetailAction.do?tilcod=2002222286533")</f>
        <v>https://opac.libnet.pref.okayama.jp/licsxp-opac/WOpacMsgNewListToTifTilDetailAction.do?tilcod=2002222286533</v>
      </c>
    </row>
    <row r="4857" spans="1:9" x14ac:dyDescent="0.4">
      <c r="A4857" t="str">
        <f>"焼もの趣味（やきもの趣味）"</f>
        <v>焼もの趣味（やきもの趣味）</v>
      </c>
      <c r="B4857" s="1" t="str">
        <f t="shared" si="238"/>
        <v>焼もの趣味（やきもの趣味）</v>
      </c>
      <c r="C4857" t="str">
        <f>"ヤキモノ　シュミ"</f>
        <v>ヤキモノ　シュミ</v>
      </c>
      <c r="D4857" t="str">
        <f>"学芸書院"</f>
        <v>学芸書院</v>
      </c>
      <c r="E4857" t="str">
        <f>"ガクゲイショイン"</f>
        <v>ガクゲイショイン</v>
      </c>
      <c r="F4857" t="str">
        <f>""</f>
        <v/>
      </c>
      <c r="G4857" t="str">
        <f>"頻度不明"</f>
        <v>頻度不明</v>
      </c>
      <c r="H4857" t="str">
        <f>"2002222281374"</f>
        <v>2002222281374</v>
      </c>
      <c r="I4857" t="str">
        <f>HYPERLINK("#", "https://opac.libnet.pref.okayama.jp/licsxp-opac/WOpacMsgNewListToTifTilDetailAction.do?tilcod=2002222281374")</f>
        <v>https://opac.libnet.pref.okayama.jp/licsxp-opac/WOpacMsgNewListToTifTilDetailAction.do?tilcod=2002222281374</v>
      </c>
    </row>
    <row r="4858" spans="1:9" x14ac:dyDescent="0.4">
      <c r="A4858" t="str">
        <f>"野球道"</f>
        <v>野球道</v>
      </c>
      <c r="B4858" s="1" t="str">
        <f t="shared" si="238"/>
        <v>野球道</v>
      </c>
      <c r="C4858" t="str">
        <f>"ヤキュウ　ドウ"</f>
        <v>ヤキュウ　ドウ</v>
      </c>
      <c r="D4858" t="str">
        <f>"金光学園高等学校硬式野球部"</f>
        <v>金光学園高等学校硬式野球部</v>
      </c>
      <c r="E4858" t="str">
        <f>"コンコウガクエンコウトウガッコウコウシキヤキュウブ"</f>
        <v>コンコウガクエンコウトウガッコウコウシキヤキュウブ</v>
      </c>
      <c r="F4858" t="str">
        <f>"浅口"</f>
        <v>浅口</v>
      </c>
      <c r="G4858" t="str">
        <f>"年刊"</f>
        <v>年刊</v>
      </c>
      <c r="H4858" t="str">
        <f>"2002222302012"</f>
        <v>2002222302012</v>
      </c>
      <c r="I4858" t="str">
        <f>HYPERLINK("#", "https://opac.libnet.pref.okayama.jp/licsxp-opac/WOpacMsgNewListToTifTilDetailAction.do?tilcod=2002222302012")</f>
        <v>https://opac.libnet.pref.okayama.jp/licsxp-opac/WOpacMsgNewListToTifTilDetailAction.do?tilcod=2002222302012</v>
      </c>
    </row>
    <row r="4859" spans="1:9" x14ac:dyDescent="0.4">
      <c r="A4859" t="str">
        <f>"躍進"</f>
        <v>躍進</v>
      </c>
      <c r="B4859" s="1" t="str">
        <f t="shared" si="238"/>
        <v>躍進</v>
      </c>
      <c r="C4859" t="str">
        <f>"ヤクシン"</f>
        <v>ヤクシン</v>
      </c>
      <c r="D4859" t="str">
        <f>"高松農業高等学校　農業クラブ・家庭クラブ"</f>
        <v>高松農業高等学校　農業クラブ・家庭クラブ</v>
      </c>
      <c r="E4859" t="str">
        <f>"タカマツノウギョウコウトウガッコウノウギョウクラブカテイクラブ"</f>
        <v>タカマツノウギョウコウトウガッコウノウギョウクラブカテイクラブ</v>
      </c>
      <c r="F4859" t="str">
        <f>"岡山"</f>
        <v>岡山</v>
      </c>
      <c r="G4859" t="str">
        <f>"年刊"</f>
        <v>年刊</v>
      </c>
      <c r="H4859" t="str">
        <f>"2002222280731"</f>
        <v>2002222280731</v>
      </c>
      <c r="I4859" t="str">
        <f>HYPERLINK("#", "https://opac.libnet.pref.okayama.jp/licsxp-opac/WOpacMsgNewListToTifTilDetailAction.do?tilcod=2002222280731")</f>
        <v>https://opac.libnet.pref.okayama.jp/licsxp-opac/WOpacMsgNewListToTifTilDetailAction.do?tilcod=2002222280731</v>
      </c>
    </row>
    <row r="4860" spans="1:9" x14ac:dyDescent="0.4">
      <c r="A4860" t="str">
        <f>"矢車草"</f>
        <v>矢車草</v>
      </c>
      <c r="B4860" s="1" t="str">
        <f t="shared" si="238"/>
        <v>矢車草</v>
      </c>
      <c r="C4860" t="str">
        <f>"ヤグルマソウ"</f>
        <v>ヤグルマソウ</v>
      </c>
      <c r="D4860" t="str">
        <f>"矢車会"</f>
        <v>矢車会</v>
      </c>
      <c r="E4860" t="str">
        <f>"ヤグルマカイ"</f>
        <v>ヤグルマカイ</v>
      </c>
      <c r="F4860" t="str">
        <f>"岡山"</f>
        <v>岡山</v>
      </c>
      <c r="G4860" t="str">
        <f>"頻度不明"</f>
        <v>頻度不明</v>
      </c>
      <c r="H4860" t="str">
        <f>"2002222330489"</f>
        <v>2002222330489</v>
      </c>
      <c r="I4860" t="str">
        <f>HYPERLINK("#", "https://opac.libnet.pref.okayama.jp/licsxp-opac/WOpacMsgNewListToTifTilDetailAction.do?tilcod=2002222330489")</f>
        <v>https://opac.libnet.pref.okayama.jp/licsxp-opac/WOpacMsgNewListToTifTilDetailAction.do?tilcod=2002222330489</v>
      </c>
    </row>
    <row r="4861" spans="1:9" x14ac:dyDescent="0.4">
      <c r="A4861" t="str">
        <f>"矢高図書館報"</f>
        <v>矢高図書館報</v>
      </c>
      <c r="B4861" s="1" t="str">
        <f t="shared" si="238"/>
        <v>矢高図書館報</v>
      </c>
      <c r="C4861" t="str">
        <f>"ヤコウ　トショカンポウ"</f>
        <v>ヤコウ　トショカンポウ</v>
      </c>
      <c r="D4861" t="str">
        <f>"矢掛高等学校図書館"</f>
        <v>矢掛高等学校図書館</v>
      </c>
      <c r="E4861" t="str">
        <f>"ヤカゲコウトウガッコウトショカン"</f>
        <v>ヤカゲコウトウガッコウトショカン</v>
      </c>
      <c r="F4861" t="str">
        <f>"矢掛町（小田郡）"</f>
        <v>矢掛町（小田郡）</v>
      </c>
      <c r="G4861" t="str">
        <f>"年刊"</f>
        <v>年刊</v>
      </c>
      <c r="H4861" t="str">
        <f>"2002222301788"</f>
        <v>2002222301788</v>
      </c>
      <c r="I4861" t="str">
        <f>HYPERLINK("#", "https://opac.libnet.pref.okayama.jp/licsxp-opac/WOpacMsgNewListToTifTilDetailAction.do?tilcod=2002222301788")</f>
        <v>https://opac.libnet.pref.okayama.jp/licsxp-opac/WOpacMsgNewListToTifTilDetailAction.do?tilcod=2002222301788</v>
      </c>
    </row>
    <row r="4862" spans="1:9" x14ac:dyDescent="0.4">
      <c r="A4862" t="str">
        <f>"矢商新聞３０年史；創立３０周年記念"</f>
        <v>矢商新聞３０年史；創立３０周年記念</v>
      </c>
      <c r="B4862" s="1" t="str">
        <f t="shared" si="238"/>
        <v>矢商新聞３０年史；創立３０周年記念</v>
      </c>
      <c r="C4862" t="str">
        <f>"ヤショウ　シンブン　サンジュウネンシ＊ソウリツ　サンジッシュウネン　キネン"</f>
        <v>ヤショウ　シンブン　サンジュウネンシ＊ソウリツ　サンジッシュウネン　キネン</v>
      </c>
      <c r="D4862" t="str">
        <f>"矢掛商業高等学校同窓会"</f>
        <v>矢掛商業高等学校同窓会</v>
      </c>
      <c r="E4862" t="str">
        <f>"ヤカゲ ショウギョウ コウトウ ガッコウ ドウソウカイ"</f>
        <v>ヤカゲ ショウギョウ コウトウ ガッコウ ドウソウカイ</v>
      </c>
      <c r="F4862" t="str">
        <f>"矢掛町（小田郡）"</f>
        <v>矢掛町（小田郡）</v>
      </c>
      <c r="G4862" t="str">
        <f>"その他"</f>
        <v>その他</v>
      </c>
      <c r="H4862" t="str">
        <f>"2002222300904"</f>
        <v>2002222300904</v>
      </c>
      <c r="I4862" t="str">
        <f>HYPERLINK("#", "https://opac.libnet.pref.okayama.jp/licsxp-opac/WOpacMsgNewListToTifTilDetailAction.do?tilcod=2002222300904")</f>
        <v>https://opac.libnet.pref.okayama.jp/licsxp-opac/WOpacMsgNewListToTifTilDetailAction.do?tilcod=2002222300904</v>
      </c>
    </row>
    <row r="4863" spans="1:9" x14ac:dyDescent="0.4">
      <c r="A4863" t="str">
        <f>"矢商新聞４４年史；閉校記念"</f>
        <v>矢商新聞４４年史；閉校記念</v>
      </c>
      <c r="B4863" s="1" t="str">
        <f t="shared" si="238"/>
        <v>矢商新聞４４年史；閉校記念</v>
      </c>
      <c r="C4863" t="str">
        <f>"ヤショウ　シンブン　ヨンジュウヨネンシ＊ヘイコウ　キネン"</f>
        <v>ヤショウ　シンブン　ヨンジュウヨネンシ＊ヘイコウ　キネン</v>
      </c>
      <c r="D4863" t="str">
        <f>"矢掛商業高等学校閉校記念事業実行委員会"</f>
        <v>矢掛商業高等学校閉校記念事業実行委員会</v>
      </c>
      <c r="E4863" t="str">
        <f>"ヤカゲショウギョウコウトウガッコウヘイコウキネンジギョウジッコウイインカイ"</f>
        <v>ヤカゲショウギョウコウトウガッコウヘイコウキネンジギョウジッコウイインカイ</v>
      </c>
      <c r="F4863" t="str">
        <f>"矢掛町（小田郡）"</f>
        <v>矢掛町（小田郡）</v>
      </c>
      <c r="G4863" t="str">
        <f>"その他"</f>
        <v>その他</v>
      </c>
      <c r="H4863" t="str">
        <f>"2002222301016"</f>
        <v>2002222301016</v>
      </c>
      <c r="I4863" t="str">
        <f>HYPERLINK("#", "https://opac.libnet.pref.okayama.jp/licsxp-opac/WOpacMsgNewListToTifTilDetailAction.do?tilcod=2002222301016")</f>
        <v>https://opac.libnet.pref.okayama.jp/licsxp-opac/WOpacMsgNewListToTifTilDetailAction.do?tilcod=2002222301016</v>
      </c>
    </row>
    <row r="4864" spans="1:9" x14ac:dyDescent="0.4">
      <c r="A4864" t="str">
        <f>"やたべ"</f>
        <v>やたべ</v>
      </c>
      <c r="B4864" s="1" t="str">
        <f t="shared" si="238"/>
        <v>やたべ</v>
      </c>
      <c r="C4864" t="str">
        <f>"ヤタベ"</f>
        <v>ヤタベ</v>
      </c>
      <c r="D4864" t="str">
        <f>"哲西民俗研究会"</f>
        <v>哲西民俗研究会</v>
      </c>
      <c r="E4864" t="str">
        <f>"テッセイミンゾクケンキュウカイ"</f>
        <v>テッセイミンゾクケンキュウカイ</v>
      </c>
      <c r="F4864" t="str">
        <f>"新見"</f>
        <v>新見</v>
      </c>
      <c r="G4864" t="str">
        <f>"年刊"</f>
        <v>年刊</v>
      </c>
      <c r="H4864" t="str">
        <f>"2002222286543"</f>
        <v>2002222286543</v>
      </c>
      <c r="I4864" t="str">
        <f>HYPERLINK("#", "https://opac.libnet.pref.okayama.jp/licsxp-opac/WOpacMsgNewListToTifTilDetailAction.do?tilcod=2002222286543")</f>
        <v>https://opac.libnet.pref.okayama.jp/licsxp-opac/WOpacMsgNewListToTifTilDetailAction.do?tilcod=2002222286543</v>
      </c>
    </row>
    <row r="4865" spans="1:9" x14ac:dyDescent="0.4">
      <c r="A4865" t="str">
        <f>"八千代"</f>
        <v>八千代</v>
      </c>
      <c r="B4865" s="1" t="str">
        <f t="shared" si="238"/>
        <v>八千代</v>
      </c>
      <c r="C4865" t="str">
        <f>"ヤチヨ"</f>
        <v>ヤチヨ</v>
      </c>
      <c r="D4865" t="str">
        <f>"岡山県矢掛高等女学校校友会"</f>
        <v>岡山県矢掛高等女学校校友会</v>
      </c>
      <c r="E4865" t="str">
        <f>"オカヤマケンヤカゲコウトウジョガッコウコウユウカイ"</f>
        <v>オカヤマケンヤカゲコウトウジョガッコウコウユウカイ</v>
      </c>
      <c r="F4865" t="str">
        <f>"後月"</f>
        <v>後月</v>
      </c>
      <c r="G4865" t="str">
        <f>"頻度不明"</f>
        <v>頻度不明</v>
      </c>
      <c r="H4865" t="str">
        <f>"2002222302378"</f>
        <v>2002222302378</v>
      </c>
      <c r="I4865" t="str">
        <f>HYPERLINK("#", "https://opac.libnet.pref.okayama.jp/licsxp-opac/WOpacMsgNewListToTifTilDetailAction.do?tilcod=2002222302378")</f>
        <v>https://opac.libnet.pref.okayama.jp/licsxp-opac/WOpacMsgNewListToTifTilDetailAction.do?tilcod=2002222302378</v>
      </c>
    </row>
    <row r="4866" spans="1:9" x14ac:dyDescent="0.4">
      <c r="A4866" t="str">
        <f>"野鳥おかやま"</f>
        <v>野鳥おかやま</v>
      </c>
      <c r="B4866" s="1" t="str">
        <f t="shared" si="238"/>
        <v>野鳥おかやま</v>
      </c>
      <c r="C4866" t="str">
        <f>"ヤチョウ　オカヤマ"</f>
        <v>ヤチョウ　オカヤマ</v>
      </c>
      <c r="D4866" t="str">
        <f>"日本野鳥の会岡山県支部"</f>
        <v>日本野鳥の会岡山県支部</v>
      </c>
      <c r="E4866" t="str">
        <f>"ニホン ヤチョウ ノ カイ オカヤマケン シブ"</f>
        <v>ニホン ヤチョウ ノ カイ オカヤマケン シブ</v>
      </c>
      <c r="F4866" t="str">
        <f>"岡山"</f>
        <v>岡山</v>
      </c>
      <c r="G4866" t="str">
        <f>"隔月刊"</f>
        <v>隔月刊</v>
      </c>
      <c r="H4866" t="str">
        <f>"2002222292591"</f>
        <v>2002222292591</v>
      </c>
      <c r="I4866" t="str">
        <f>HYPERLINK("#", "https://opac.libnet.pref.okayama.jp/licsxp-opac/WOpacMsgNewListToTifTilDetailAction.do?tilcod=2002222292591")</f>
        <v>https://opac.libnet.pref.okayama.jp/licsxp-opac/WOpacMsgNewListToTifTilDetailAction.do?tilcod=2002222292591</v>
      </c>
    </row>
    <row r="4867" spans="1:9" x14ac:dyDescent="0.4">
      <c r="A4867" t="str">
        <f>"野鳥岡山"</f>
        <v>野鳥岡山</v>
      </c>
      <c r="B4867" s="1" t="str">
        <f t="shared" si="238"/>
        <v>野鳥岡山</v>
      </c>
      <c r="C4867" t="str">
        <f>"ヤチョウ　オカヤマ"</f>
        <v>ヤチョウ　オカヤマ</v>
      </c>
      <c r="D4867" t="str">
        <f>"日本野鳥の会岡山県支部"</f>
        <v>日本野鳥の会岡山県支部</v>
      </c>
      <c r="E4867" t="str">
        <f>"ニホン ヤチョウ ノ カイ オカヤマケン シブ"</f>
        <v>ニホン ヤチョウ ノ カイ オカヤマケン シブ</v>
      </c>
      <c r="F4867" t="str">
        <f>"岡山"</f>
        <v>岡山</v>
      </c>
      <c r="G4867" t="str">
        <f>"隔月刊"</f>
        <v>隔月刊</v>
      </c>
      <c r="H4867" t="str">
        <f>"2002222300229"</f>
        <v>2002222300229</v>
      </c>
      <c r="I4867" t="str">
        <f>HYPERLINK("#", "https://opac.libnet.pref.okayama.jp/licsxp-opac/WOpacMsgNewListToTifTilDetailAction.do?tilcod=2002222300229")</f>
        <v>https://opac.libnet.pref.okayama.jp/licsxp-opac/WOpacMsgNewListToTifTilDetailAction.do?tilcod=2002222300229</v>
      </c>
    </row>
    <row r="4868" spans="1:9" x14ac:dyDescent="0.4">
      <c r="A4868" t="str">
        <f>"野鳥くらしき"</f>
        <v>野鳥くらしき</v>
      </c>
      <c r="B4868" s="1" t="str">
        <f t="shared" ref="B4868:B4931" si="240">HYPERLINK("#", A4868)</f>
        <v>野鳥くらしき</v>
      </c>
      <c r="C4868" t="str">
        <f>"ヤチョウ　クラシキ"</f>
        <v>ヤチョウ　クラシキ</v>
      </c>
      <c r="D4868" t="str">
        <f>"倉敷野鳥の会"</f>
        <v>倉敷野鳥の会</v>
      </c>
      <c r="E4868" t="str">
        <f>"クラシキヤチョウノカイ"</f>
        <v>クラシキヤチョウノカイ</v>
      </c>
      <c r="F4868" t="str">
        <f>"倉敷"</f>
        <v>倉敷</v>
      </c>
      <c r="G4868" t="str">
        <f>"年刊"</f>
        <v>年刊</v>
      </c>
      <c r="H4868" t="str">
        <f>"2002222286553"</f>
        <v>2002222286553</v>
      </c>
      <c r="I4868" t="str">
        <f>HYPERLINK("#", "https://opac.libnet.pref.okayama.jp/licsxp-opac/WOpacMsgNewListToTifTilDetailAction.do?tilcod=2002222286553")</f>
        <v>https://opac.libnet.pref.okayama.jp/licsxp-opac/WOpacMsgNewListToTifTilDetailAction.do?tilcod=2002222286553</v>
      </c>
    </row>
    <row r="4869" spans="1:9" x14ac:dyDescent="0.4">
      <c r="A4869" t="str">
        <f>"やなはらの文化"</f>
        <v>やなはらの文化</v>
      </c>
      <c r="B4869" s="1" t="str">
        <f t="shared" si="240"/>
        <v>やなはらの文化</v>
      </c>
      <c r="C4869" t="str">
        <f>"ヤナハラ　ノ　ブンカ"</f>
        <v>ヤナハラ　ノ　ブンカ</v>
      </c>
      <c r="D4869" t="str">
        <f>"柵原文化協会"</f>
        <v>柵原文化協会</v>
      </c>
      <c r="E4869" t="str">
        <f>"ヤナハラブンカキョウカイ"</f>
        <v>ヤナハラブンカキョウカイ</v>
      </c>
      <c r="F4869" t="str">
        <f>"美咲町（久米郡）"</f>
        <v>美咲町（久米郡）</v>
      </c>
      <c r="G4869" t="str">
        <f>"年刊"</f>
        <v>年刊</v>
      </c>
      <c r="H4869" t="str">
        <f>"2002222293211"</f>
        <v>2002222293211</v>
      </c>
      <c r="I4869" t="str">
        <f>HYPERLINK("#", "https://opac.libnet.pref.okayama.jp/licsxp-opac/WOpacMsgNewListToTifTilDetailAction.do?tilcod=2002222293211")</f>
        <v>https://opac.libnet.pref.okayama.jp/licsxp-opac/WOpacMsgNewListToTifTilDetailAction.do?tilcod=2002222293211</v>
      </c>
    </row>
    <row r="4870" spans="1:9" x14ac:dyDescent="0.4">
      <c r="A4870" t="str">
        <f>"柵原町議会だより"</f>
        <v>柵原町議会だより</v>
      </c>
      <c r="B4870" s="1" t="str">
        <f t="shared" si="240"/>
        <v>柵原町議会だより</v>
      </c>
      <c r="C4870" t="str">
        <f>"ヤナハラチョウ　ギカイ　ダヨリ"</f>
        <v>ヤナハラチョウ　ギカイ　ダヨリ</v>
      </c>
      <c r="D4870" t="str">
        <f>"柵原町議会"</f>
        <v>柵原町議会</v>
      </c>
      <c r="E4870" t="str">
        <f>"ヤナハラチョウギカイ"</f>
        <v>ヤナハラチョウギカイ</v>
      </c>
      <c r="F4870" t="str">
        <f>"柵原町（久米郡）"</f>
        <v>柵原町（久米郡）</v>
      </c>
      <c r="G4870" t="str">
        <f>"頻度不明"</f>
        <v>頻度不明</v>
      </c>
      <c r="H4870" t="str">
        <f>"2002222283181"</f>
        <v>2002222283181</v>
      </c>
      <c r="I4870" t="str">
        <f>HYPERLINK("#", "https://opac.libnet.pref.okayama.jp/licsxp-opac/WOpacMsgNewListToTifTilDetailAction.do?tilcod=2002222283181")</f>
        <v>https://opac.libnet.pref.okayama.jp/licsxp-opac/WOpacMsgNewListToTifTilDetailAction.do?tilcod=2002222283181</v>
      </c>
    </row>
    <row r="4871" spans="1:9" x14ac:dyDescent="0.4">
      <c r="A4871" t="str">
        <f>"矢筈山"</f>
        <v>矢筈山</v>
      </c>
      <c r="B4871" s="1" t="str">
        <f t="shared" si="240"/>
        <v>矢筈山</v>
      </c>
      <c r="C4871" t="str">
        <f>"ヤハズヤマ"</f>
        <v>ヤハズヤマ</v>
      </c>
      <c r="D4871" t="str">
        <f>"矢筈城跡保存会"</f>
        <v>矢筈城跡保存会</v>
      </c>
      <c r="E4871" t="str">
        <f>"ヤハズジョウ アト ホゾンカイ"</f>
        <v>ヤハズジョウ アト ホゾンカイ</v>
      </c>
      <c r="F4871" t="str">
        <f>""</f>
        <v/>
      </c>
      <c r="G4871" t="str">
        <f>"頻度不明"</f>
        <v>頻度不明</v>
      </c>
      <c r="H4871" t="str">
        <f>"2002222286563"</f>
        <v>2002222286563</v>
      </c>
      <c r="I4871" t="str">
        <f>HYPERLINK("#", "https://opac.libnet.pref.okayama.jp/licsxp-opac/WOpacMsgNewListToTifTilDetailAction.do?tilcod=2002222286563")</f>
        <v>https://opac.libnet.pref.okayama.jp/licsxp-opac/WOpacMsgNewListToTifTilDetailAction.do?tilcod=2002222286563</v>
      </c>
    </row>
    <row r="4872" spans="1:9" x14ac:dyDescent="0.4">
      <c r="A4872" t="str">
        <f>"矢羽根麦"</f>
        <v>矢羽根麦</v>
      </c>
      <c r="B4872" s="1" t="str">
        <f t="shared" si="240"/>
        <v>矢羽根麦</v>
      </c>
      <c r="C4872" t="str">
        <f>"ヤバネムギ"</f>
        <v>ヤバネムギ</v>
      </c>
      <c r="D4872" t="str">
        <f>"香蘭短歌会岡山支社"</f>
        <v>香蘭短歌会岡山支社</v>
      </c>
      <c r="E4872" t="str">
        <f>"コウランタンカカイオカヤマシシャ"</f>
        <v>コウランタンカカイオカヤマシシャ</v>
      </c>
      <c r="F4872" t="str">
        <f>""</f>
        <v/>
      </c>
      <c r="G4872" t="str">
        <f>"頻度不明"</f>
        <v>頻度不明</v>
      </c>
      <c r="H4872" t="str">
        <f>"2002222286583"</f>
        <v>2002222286583</v>
      </c>
      <c r="I4872" t="str">
        <f>HYPERLINK("#", "https://opac.libnet.pref.okayama.jp/licsxp-opac/WOpacMsgNewListToTifTilDetailAction.do?tilcod=2002222286583")</f>
        <v>https://opac.libnet.pref.okayama.jp/licsxp-opac/WOpacMsgNewListToTifTilDetailAction.do?tilcod=2002222286583</v>
      </c>
    </row>
    <row r="4873" spans="1:9" x14ac:dyDescent="0.4">
      <c r="A4873" t="str">
        <f>"山峡"</f>
        <v>山峡</v>
      </c>
      <c r="B4873" s="1" t="str">
        <f t="shared" si="240"/>
        <v>山峡</v>
      </c>
      <c r="C4873" t="str">
        <f>"ヤマカイ"</f>
        <v>ヤマカイ</v>
      </c>
      <c r="D4873" t="str">
        <f>"備北歌話会"</f>
        <v>備北歌話会</v>
      </c>
      <c r="E4873" t="str">
        <f>"ビホク カワカイ"</f>
        <v>ビホク カワカイ</v>
      </c>
      <c r="F4873" t="str">
        <f>"賀陽町（上房郡）"</f>
        <v>賀陽町（上房郡）</v>
      </c>
      <c r="G4873" t="str">
        <f>"季刊"</f>
        <v>季刊</v>
      </c>
      <c r="H4873" t="str">
        <f>"2002222281473"</f>
        <v>2002222281473</v>
      </c>
      <c r="I4873" t="str">
        <f>HYPERLINK("#", "https://opac.libnet.pref.okayama.jp/licsxp-opac/WOpacMsgNewListToTifTilDetailAction.do?tilcod=2002222281473")</f>
        <v>https://opac.libnet.pref.okayama.jp/licsxp-opac/WOpacMsgNewListToTifTilDetailAction.do?tilcod=2002222281473</v>
      </c>
    </row>
    <row r="4874" spans="1:9" x14ac:dyDescent="0.4">
      <c r="A4874" t="str">
        <f>"山潮"</f>
        <v>山潮</v>
      </c>
      <c r="B4874" s="1" t="str">
        <f t="shared" si="240"/>
        <v>山潮</v>
      </c>
      <c r="C4874" t="str">
        <f>"やましお"</f>
        <v>やましお</v>
      </c>
      <c r="D4874" t="str">
        <f>"岡山県治山治水協会児島支部"</f>
        <v>岡山県治山治水協会児島支部</v>
      </c>
      <c r="E4874" t="str">
        <f>"オカヤマケン チサン チスイ キョウカイ コジマ シブ"</f>
        <v>オカヤマケン チサン チスイ キョウカイ コジマ シブ</v>
      </c>
      <c r="F4874" t="str">
        <f>"[児島]"</f>
        <v>[児島]</v>
      </c>
      <c r="G4874" t="str">
        <f>"頻度不明"</f>
        <v>頻度不明</v>
      </c>
      <c r="H4874" t="str">
        <f>"2002222329446"</f>
        <v>2002222329446</v>
      </c>
      <c r="I4874" t="str">
        <f>HYPERLINK("#", "https://opac.libnet.pref.okayama.jp/licsxp-opac/WOpacMsgNewListToTifTilDetailAction.do?tilcod=2002222329446")</f>
        <v>https://opac.libnet.pref.okayama.jp/licsxp-opac/WOpacMsgNewListToTifTilDetailAction.do?tilcod=2002222329446</v>
      </c>
    </row>
    <row r="4875" spans="1:9" x14ac:dyDescent="0.4">
      <c r="A4875" t="str">
        <f>"山田村報"</f>
        <v>山田村報</v>
      </c>
      <c r="B4875" s="1" t="str">
        <f t="shared" si="240"/>
        <v>山田村報</v>
      </c>
      <c r="C4875" t="str">
        <f>"ヤマダソンポウ"</f>
        <v>ヤマダソンポウ</v>
      </c>
      <c r="D4875" t="str">
        <f>"山田村報社"</f>
        <v>山田村報社</v>
      </c>
      <c r="E4875" t="str">
        <f>"ヤマダソンポウシャ"</f>
        <v>ヤマダソンポウシャ</v>
      </c>
      <c r="F4875" t="str">
        <f>"山田村(和気郡)"</f>
        <v>山田村(和気郡)</v>
      </c>
      <c r="G4875" t="str">
        <f>"季刊"</f>
        <v>季刊</v>
      </c>
      <c r="H4875" t="str">
        <f>"2002222342591"</f>
        <v>2002222342591</v>
      </c>
      <c r="I4875" t="str">
        <f>HYPERLINK("#", "https://opac.libnet.pref.okayama.jp/licsxp-opac/WOpacMsgNewListToTifTilDetailAction.do?tilcod=2002222342591")</f>
        <v>https://opac.libnet.pref.okayama.jp/licsxp-opac/WOpacMsgNewListToTifTilDetailAction.do?tilcod=2002222342591</v>
      </c>
    </row>
    <row r="4876" spans="1:9" x14ac:dyDescent="0.4">
      <c r="A4876" t="str">
        <f>"やまと新聞"</f>
        <v>やまと新聞</v>
      </c>
      <c r="B4876" s="1" t="str">
        <f t="shared" si="240"/>
        <v>やまと新聞</v>
      </c>
      <c r="C4876" t="str">
        <f>"ヤマト　シンブン"</f>
        <v>ヤマト　シンブン</v>
      </c>
      <c r="D4876" t="str">
        <f>"やまと新聞岡山支社"</f>
        <v>やまと新聞岡山支社</v>
      </c>
      <c r="E4876" t="str">
        <f>"ヤマトシンブンオカヤマシシャ"</f>
        <v>ヤマトシンブンオカヤマシシャ</v>
      </c>
      <c r="F4876" t="str">
        <f>"岡山"</f>
        <v>岡山</v>
      </c>
      <c r="G4876" t="str">
        <f>"日刊"</f>
        <v>日刊</v>
      </c>
      <c r="H4876" t="str">
        <f>"2002222300976"</f>
        <v>2002222300976</v>
      </c>
      <c r="I4876" t="str">
        <f>HYPERLINK("#", "https://opac.libnet.pref.okayama.jp/licsxp-opac/WOpacMsgNewListToTifTilDetailAction.do?tilcod=2002222300976")</f>
        <v>https://opac.libnet.pref.okayama.jp/licsxp-opac/WOpacMsgNewListToTifTilDetailAction.do?tilcod=2002222300976</v>
      </c>
    </row>
    <row r="4877" spans="1:9" x14ac:dyDescent="0.4">
      <c r="A4877" t="str">
        <f>"やまなみ"</f>
        <v>やまなみ</v>
      </c>
      <c r="B4877" s="1" t="str">
        <f t="shared" si="240"/>
        <v>やまなみ</v>
      </c>
      <c r="C4877" t="str">
        <f>"ヤマナミ"</f>
        <v>ヤマナミ</v>
      </c>
      <c r="D4877" t="str">
        <f>"大佐荘文芸部"</f>
        <v>大佐荘文芸部</v>
      </c>
      <c r="E4877" t="str">
        <f>"オオサソウブンゲイブ"</f>
        <v>オオサソウブンゲイブ</v>
      </c>
      <c r="F4877" t="str">
        <f>""</f>
        <v/>
      </c>
      <c r="G4877" t="str">
        <f>"年刊"</f>
        <v>年刊</v>
      </c>
      <c r="H4877" t="str">
        <f>"2002222286573"</f>
        <v>2002222286573</v>
      </c>
      <c r="I4877" t="str">
        <f>HYPERLINK("#", "https://opac.libnet.pref.okayama.jp/licsxp-opac/WOpacMsgNewListToTifTilDetailAction.do?tilcod=2002222286573")</f>
        <v>https://opac.libnet.pref.okayama.jp/licsxp-opac/WOpacMsgNewListToTifTilDetailAction.do?tilcod=2002222286573</v>
      </c>
    </row>
    <row r="4878" spans="1:9" x14ac:dyDescent="0.4">
      <c r="A4878" t="str">
        <f>"山彦(やまひこ)"</f>
        <v>山彦(やまひこ)</v>
      </c>
      <c r="B4878" s="1" t="str">
        <f t="shared" si="240"/>
        <v>山彦(やまひこ)</v>
      </c>
      <c r="C4878" t="str">
        <f>"ヤマヒコ"</f>
        <v>ヤマヒコ</v>
      </c>
      <c r="D4878" t="str">
        <f>"山陽吟社"</f>
        <v>山陽吟社</v>
      </c>
      <c r="E4878" t="str">
        <f>"サンヨウギンシャ"</f>
        <v>サンヨウギンシャ</v>
      </c>
      <c r="F4878" t="str">
        <f>"津山"</f>
        <v>津山</v>
      </c>
      <c r="G4878" t="str">
        <f>"月刊"</f>
        <v>月刊</v>
      </c>
      <c r="H4878" t="str">
        <f>"2002222286593"</f>
        <v>2002222286593</v>
      </c>
      <c r="I4878" t="str">
        <f>HYPERLINK("#", "https://opac.libnet.pref.okayama.jp/licsxp-opac/WOpacMsgNewListToTifTilDetailAction.do?tilcod=2002222286593")</f>
        <v>https://opac.libnet.pref.okayama.jp/licsxp-opac/WOpacMsgNewListToTifTilDetailAction.do?tilcod=2002222286593</v>
      </c>
    </row>
    <row r="4879" spans="1:9" x14ac:dyDescent="0.4">
      <c r="A4879" t="str">
        <f>"やまびこ"</f>
        <v>やまびこ</v>
      </c>
      <c r="B4879" s="1" t="str">
        <f t="shared" si="240"/>
        <v>やまびこ</v>
      </c>
      <c r="C4879" t="str">
        <f>"ヤマビコ"</f>
        <v>ヤマビコ</v>
      </c>
      <c r="D4879" t="str">
        <f>"小橋盛夫"</f>
        <v>小橋盛夫</v>
      </c>
      <c r="E4879" t="str">
        <f>"コバシモリオ"</f>
        <v>コバシモリオ</v>
      </c>
      <c r="F4879" t="str">
        <f>"牛窓町（邑久郡）"</f>
        <v>牛窓町（邑久郡）</v>
      </c>
      <c r="G4879" t="str">
        <f>"季刊"</f>
        <v>季刊</v>
      </c>
      <c r="H4879" t="str">
        <f>"2002222293231"</f>
        <v>2002222293231</v>
      </c>
      <c r="I4879" t="str">
        <f>HYPERLINK("#", "https://opac.libnet.pref.okayama.jp/licsxp-opac/WOpacMsgNewListToTifTilDetailAction.do?tilcod=2002222293231")</f>
        <v>https://opac.libnet.pref.okayama.jp/licsxp-opac/WOpacMsgNewListToTifTilDetailAction.do?tilcod=2002222293231</v>
      </c>
    </row>
    <row r="4880" spans="1:9" x14ac:dyDescent="0.4">
      <c r="A4880" t="str">
        <f>"弥生"</f>
        <v>弥生</v>
      </c>
      <c r="B4880" s="1" t="str">
        <f t="shared" si="240"/>
        <v>弥生</v>
      </c>
      <c r="C4880" t="str">
        <f>"ヤヨイ"</f>
        <v>ヤヨイ</v>
      </c>
      <c r="D4880" t="str">
        <f>"弥生発行所"</f>
        <v>弥生発行所</v>
      </c>
      <c r="E4880" t="str">
        <f>"ヤヨイハッコウジョ"</f>
        <v>ヤヨイハッコウジョ</v>
      </c>
      <c r="F4880" t="str">
        <f>"中庄村(都窪郡)"</f>
        <v>中庄村(都窪郡)</v>
      </c>
      <c r="G4880" t="str">
        <f>"頻度不明"</f>
        <v>頻度不明</v>
      </c>
      <c r="H4880" t="str">
        <f>"2002222286603"</f>
        <v>2002222286603</v>
      </c>
      <c r="I4880" t="str">
        <f>HYPERLINK("#", "https://opac.libnet.pref.okayama.jp/licsxp-opac/WOpacMsgNewListToTifTilDetailAction.do?tilcod=2002222286603")</f>
        <v>https://opac.libnet.pref.okayama.jp/licsxp-opac/WOpacMsgNewListToTifTilDetailAction.do?tilcod=2002222286603</v>
      </c>
    </row>
    <row r="4881" spans="1:9" x14ac:dyDescent="0.4">
      <c r="A4881" t="str">
        <f>"やわらぎ；医療と人とのコミュニケーション情報誌"</f>
        <v>やわらぎ；医療と人とのコミュニケーション情報誌</v>
      </c>
      <c r="B4881" s="1" t="str">
        <f t="shared" si="240"/>
        <v>やわらぎ；医療と人とのコミュニケーション情報誌</v>
      </c>
      <c r="C4881" t="str">
        <f>"ヤワラギ＊イリョウ　ト　ヒト　トノ　コミュニケーション　ジョウホウ　シ"</f>
        <v>ヤワラギ＊イリョウ　ト　ヒト　トノ　コミュニケーション　ジョウホウ　シ</v>
      </c>
      <c r="D4881" t="str">
        <f>"岡山済生会総合病院"</f>
        <v>岡山済生会総合病院</v>
      </c>
      <c r="E4881" t="str">
        <f>"オカヤマ サイセイカイ ソウゴウ ビョウイン"</f>
        <v>オカヤマ サイセイカイ ソウゴウ ビョウイン</v>
      </c>
      <c r="F4881" t="str">
        <f>"岡山"</f>
        <v>岡山</v>
      </c>
      <c r="G4881" t="str">
        <f>"季刊"</f>
        <v>季刊</v>
      </c>
      <c r="H4881" t="str">
        <f>"2002222302365"</f>
        <v>2002222302365</v>
      </c>
      <c r="I4881" t="str">
        <f>HYPERLINK("#", "https://opac.libnet.pref.okayama.jp/licsxp-opac/WOpacMsgNewListToTifTilDetailAction.do?tilcod=2002222302365")</f>
        <v>https://opac.libnet.pref.okayama.jp/licsxp-opac/WOpacMsgNewListToTifTilDetailAction.do?tilcod=2002222302365</v>
      </c>
    </row>
    <row r="4882" spans="1:9" x14ac:dyDescent="0.4">
      <c r="A4882" t="str">
        <f>"八蕨"</f>
        <v>八蕨</v>
      </c>
      <c r="B4882" s="1" t="str">
        <f t="shared" si="240"/>
        <v>八蕨</v>
      </c>
      <c r="C4882" t="str">
        <f>"ヤワラビ"</f>
        <v>ヤワラビ</v>
      </c>
      <c r="D4882" t="str">
        <f>"倉敷レイヨン八蕨俳句会"</f>
        <v>倉敷レイヨン八蕨俳句会</v>
      </c>
      <c r="E4882" t="str">
        <f>"クラシキレイヨンヤワラビハイクカイ"</f>
        <v>クラシキレイヨンヤワラビハイクカイ</v>
      </c>
      <c r="F4882" t="str">
        <f>""</f>
        <v/>
      </c>
      <c r="G4882" t="str">
        <f>"頻度不明"</f>
        <v>頻度不明</v>
      </c>
      <c r="H4882" t="str">
        <f>"2002222286613"</f>
        <v>2002222286613</v>
      </c>
      <c r="I4882" t="str">
        <f>HYPERLINK("#", "https://opac.libnet.pref.okayama.jp/licsxp-opac/WOpacMsgNewListToTifTilDetailAction.do?tilcod=2002222286613")</f>
        <v>https://opac.libnet.pref.okayama.jp/licsxp-opac/WOpacMsgNewListToTifTilDetailAction.do?tilcod=2002222286613</v>
      </c>
    </row>
    <row r="4883" spans="1:9" x14ac:dyDescent="0.4">
      <c r="A4883" t="str">
        <f>"ＹＯＵＮＧフロンティア"</f>
        <v>ＹＯＵＮＧフロンティア</v>
      </c>
      <c r="B4883" s="1" t="str">
        <f t="shared" si="240"/>
        <v>ＹＯＵＮＧフロンティア</v>
      </c>
      <c r="C4883" t="str">
        <f>"ヤング　フロンティア"</f>
        <v>ヤング　フロンティア</v>
      </c>
      <c r="D4883" t="str">
        <f>"岡山県知事室広聴広報課"</f>
        <v>岡山県知事室広聴広報課</v>
      </c>
      <c r="E4883" t="str">
        <f>"オカヤマケン チジシツ コウチョウ コウホウカ"</f>
        <v>オカヤマケン チジシツ コウチョウ コウホウカ</v>
      </c>
      <c r="F4883" t="str">
        <f>"岡山"</f>
        <v>岡山</v>
      </c>
      <c r="G4883" t="str">
        <f>"頻度不明"</f>
        <v>頻度不明</v>
      </c>
      <c r="H4883" t="str">
        <f>"2002222293471"</f>
        <v>2002222293471</v>
      </c>
      <c r="I4883" t="str">
        <f>HYPERLINK("#", "https://opac.libnet.pref.okayama.jp/licsxp-opac/WOpacMsgNewListToTifTilDetailAction.do?tilcod=2002222293471")</f>
        <v>https://opac.libnet.pref.okayama.jp/licsxp-opac/WOpacMsgNewListToTifTilDetailAction.do?tilcod=2002222293471</v>
      </c>
    </row>
    <row r="4884" spans="1:9" x14ac:dyDescent="0.4">
      <c r="A4884" t="str">
        <f>"Ｙｏｕ＆Ｉ（ユーアンドアイ）；岡山県ボランティア・市民活動支援センター情報誌"</f>
        <v>Ｙｏｕ＆Ｉ（ユーアンドアイ）；岡山県ボランティア・市民活動支援センター情報誌</v>
      </c>
      <c r="B4884" s="1" t="str">
        <f t="shared" si="240"/>
        <v>Ｙｏｕ＆Ｉ（ユーアンドアイ）；岡山県ボランティア・市民活動支援センター情報誌</v>
      </c>
      <c r="C4884" t="str">
        <f>"ユー　アンド　アイ＊オカヤマケン　ボランティア　シミン　カツドウ　シエン　センター　ジョウホウシ"</f>
        <v>ユー　アンド　アイ＊オカヤマケン　ボランティア　シミン　カツドウ　シエン　センター　ジョウホウシ</v>
      </c>
      <c r="D4884" t="str">
        <f>"岡山県社会福祉協議会"</f>
        <v>岡山県社会福祉協議会</v>
      </c>
      <c r="E4884" t="str">
        <f>"オカヤマケンシャカイフクシキョウギカイ"</f>
        <v>オカヤマケンシャカイフクシキョウギカイ</v>
      </c>
      <c r="F4884" t="str">
        <f>"岡山"</f>
        <v>岡山</v>
      </c>
      <c r="G4884" t="str">
        <f>"頻度不明"</f>
        <v>頻度不明</v>
      </c>
      <c r="H4884" t="str">
        <f>"2002222282181"</f>
        <v>2002222282181</v>
      </c>
      <c r="I4884" t="str">
        <f>HYPERLINK("#", "https://opac.libnet.pref.okayama.jp/licsxp-opac/WOpacMsgNewListToTifTilDetailAction.do?tilcod=2002222282181")</f>
        <v>https://opac.libnet.pref.okayama.jp/licsxp-opac/WOpacMsgNewListToTifTilDetailAction.do?tilcod=2002222282181</v>
      </c>
    </row>
    <row r="4885" spans="1:9" x14ac:dyDescent="0.4">
      <c r="A4885" t="str">
        <f>"夕の校友"</f>
        <v>夕の校友</v>
      </c>
      <c r="B4885" s="1" t="str">
        <f t="shared" si="240"/>
        <v>夕の校友</v>
      </c>
      <c r="C4885" t="str">
        <f>"ユウ　ノ　コウユウ"</f>
        <v>ユウ　ノ　コウユウ</v>
      </c>
      <c r="D4885" t="str">
        <f>"岡山南高等学校生徒会文化部"</f>
        <v>岡山南高等学校生徒会文化部</v>
      </c>
      <c r="E4885" t="str">
        <f>"オカヤマミナミコウトウガッコウセイトカイブンカブ"</f>
        <v>オカヤマミナミコウトウガッコウセイトカイブンカブ</v>
      </c>
      <c r="F4885" t="str">
        <f>""</f>
        <v/>
      </c>
      <c r="G4885" t="str">
        <f>"頻度不明"</f>
        <v>頻度不明</v>
      </c>
      <c r="H4885" t="str">
        <f>"2002222280984"</f>
        <v>2002222280984</v>
      </c>
      <c r="I4885" t="str">
        <f>HYPERLINK("#", "https://opac.libnet.pref.okayama.jp/licsxp-opac/WOpacMsgNewListToTifTilDetailAction.do?tilcod=2002222280984")</f>
        <v>https://opac.libnet.pref.okayama.jp/licsxp-opac/WOpacMsgNewListToTifTilDetailAction.do?tilcod=2002222280984</v>
      </c>
    </row>
    <row r="4886" spans="1:9" x14ac:dyDescent="0.4">
      <c r="A4886" t="str">
        <f>"ゆう；瀬戸内市文化協会会報"</f>
        <v>ゆう；瀬戸内市文化協会会報</v>
      </c>
      <c r="B4886" s="1" t="str">
        <f t="shared" si="240"/>
        <v>ゆう；瀬戸内市文化協会会報</v>
      </c>
      <c r="C4886" t="str">
        <f>"ユウ＊セトウチシ　ブンカ　キョウカイ　カイホウ"</f>
        <v>ユウ＊セトウチシ　ブンカ　キョウカイ　カイホウ</v>
      </c>
      <c r="D4886" t="str">
        <f>"瀬戸内市文化協会"</f>
        <v>瀬戸内市文化協会</v>
      </c>
      <c r="E4886" t="str">
        <f>"セトウチシブンカキョウカイ"</f>
        <v>セトウチシブンカキョウカイ</v>
      </c>
      <c r="F4886" t="str">
        <f>"瀬戸内"</f>
        <v>瀬戸内</v>
      </c>
      <c r="G4886" t="str">
        <f>"年刊"</f>
        <v>年刊</v>
      </c>
      <c r="H4886" t="str">
        <f>"2002222327206"</f>
        <v>2002222327206</v>
      </c>
      <c r="I4886" t="str">
        <f>HYPERLINK("#", "https://opac.libnet.pref.okayama.jp/licsxp-opac/WOpacMsgNewListToTifTilDetailAction.do?tilcod=2002222327206")</f>
        <v>https://opac.libnet.pref.okayama.jp/licsxp-opac/WOpacMsgNewListToTifTilDetailAction.do?tilcod=2002222327206</v>
      </c>
    </row>
    <row r="4887" spans="1:9" x14ac:dyDescent="0.4">
      <c r="A4887" t="str">
        <f>"友愛"</f>
        <v>友愛</v>
      </c>
      <c r="B4887" s="1" t="str">
        <f t="shared" si="240"/>
        <v>友愛</v>
      </c>
      <c r="C4887" t="str">
        <f>"ユウアイ"</f>
        <v>ユウアイ</v>
      </c>
      <c r="D4887" t="str">
        <f>"岡山青年会議所"</f>
        <v>岡山青年会議所</v>
      </c>
      <c r="E4887" t="str">
        <f>"オカヤマ セイネン カイギショ"</f>
        <v>オカヤマ セイネン カイギショ</v>
      </c>
      <c r="F4887" t="str">
        <f>""</f>
        <v/>
      </c>
      <c r="G4887" t="str">
        <f>"頻度不明"</f>
        <v>頻度不明</v>
      </c>
      <c r="H4887" t="str">
        <f>"2002222286623"</f>
        <v>2002222286623</v>
      </c>
      <c r="I4887" t="str">
        <f>HYPERLINK("#", "https://opac.libnet.pref.okayama.jp/licsxp-opac/WOpacMsgNewListToTifTilDetailAction.do?tilcod=2002222286623")</f>
        <v>https://opac.libnet.pref.okayama.jp/licsxp-opac/WOpacMsgNewListToTifTilDetailAction.do?tilcod=2002222286623</v>
      </c>
    </row>
    <row r="4888" spans="1:9" x14ac:dyDescent="0.4">
      <c r="A4888" t="str">
        <f>"友愛"</f>
        <v>友愛</v>
      </c>
      <c r="B4888" s="1" t="str">
        <f t="shared" si="240"/>
        <v>友愛</v>
      </c>
      <c r="C4888" t="str">
        <f>"ユウアイ"</f>
        <v>ユウアイ</v>
      </c>
      <c r="D4888" t="str">
        <f>"岡山県友愛会"</f>
        <v>岡山県友愛会</v>
      </c>
      <c r="E4888" t="str">
        <f>"オカヤマケンユウアイカイ"</f>
        <v>オカヤマケンユウアイカイ</v>
      </c>
      <c r="F4888" t="str">
        <f>""</f>
        <v/>
      </c>
      <c r="G4888" t="str">
        <f>"頻度不明"</f>
        <v>頻度不明</v>
      </c>
      <c r="H4888" t="str">
        <f>"2002222286633"</f>
        <v>2002222286633</v>
      </c>
      <c r="I4888" t="str">
        <f>HYPERLINK("#", "https://opac.libnet.pref.okayama.jp/licsxp-opac/WOpacMsgNewListToTifTilDetailAction.do?tilcod=2002222286633")</f>
        <v>https://opac.libnet.pref.okayama.jp/licsxp-opac/WOpacMsgNewListToTifTilDetailAction.do?tilcod=2002222286633</v>
      </c>
    </row>
    <row r="4889" spans="1:9" x14ac:dyDescent="0.4">
      <c r="A4889" t="str">
        <f>"友苑"</f>
        <v>友苑</v>
      </c>
      <c r="B4889" s="1" t="str">
        <f t="shared" si="240"/>
        <v>友苑</v>
      </c>
      <c r="C4889" t="str">
        <f>"ユウエン"</f>
        <v>ユウエン</v>
      </c>
      <c r="D4889" t="str">
        <f>"中国配電岡山支店厚生課会誌部"</f>
        <v>中国配電岡山支店厚生課会誌部</v>
      </c>
      <c r="E4889" t="str">
        <f>"チュウゴク ハイデン オカヤマ シテン コウセイカ カイシブ"</f>
        <v>チュウゴク ハイデン オカヤマ シテン コウセイカ カイシブ</v>
      </c>
      <c r="F4889" t="str">
        <f>"岡山"</f>
        <v>岡山</v>
      </c>
      <c r="G4889" t="str">
        <f>"頻度不明"</f>
        <v>頻度不明</v>
      </c>
      <c r="H4889" t="str">
        <f>"2002222313588"</f>
        <v>2002222313588</v>
      </c>
      <c r="I4889" t="str">
        <f>HYPERLINK("#", "https://opac.libnet.pref.okayama.jp/licsxp-opac/WOpacMsgNewListToTifTilDetailAction.do?tilcod=2002222313588")</f>
        <v>https://opac.libnet.pref.okayama.jp/licsxp-opac/WOpacMsgNewListToTifTilDetailAction.do?tilcod=2002222313588</v>
      </c>
    </row>
    <row r="4890" spans="1:9" x14ac:dyDescent="0.4">
      <c r="A4890" t="str">
        <f>"悠久；岡山県日中教育交流協議会会報"</f>
        <v>悠久；岡山県日中教育交流協議会会報</v>
      </c>
      <c r="B4890" s="1" t="str">
        <f t="shared" si="240"/>
        <v>悠久；岡山県日中教育交流協議会会報</v>
      </c>
      <c r="C4890" t="str">
        <f>"ユウキュウ＊オカヤマケン　ニッチュウ　キョウイク　コウリュウ　キョウギカイ　カイホウ"</f>
        <v>ユウキュウ＊オカヤマケン　ニッチュウ　キョウイク　コウリュウ　キョウギカイ　カイホウ</v>
      </c>
      <c r="D4890" t="str">
        <f>"岡山県日中教育交流協議会"</f>
        <v>岡山県日中教育交流協議会</v>
      </c>
      <c r="E4890" t="str">
        <f>"オカヤマケンニッチュウキョウイクコウリュウキョウギカイ"</f>
        <v>オカヤマケンニッチュウキョウイクコウリュウキョウギカイ</v>
      </c>
      <c r="F4890" t="str">
        <f>"岡山"</f>
        <v>岡山</v>
      </c>
      <c r="G4890" t="str">
        <f>"季刊"</f>
        <v>季刊</v>
      </c>
      <c r="H4890" t="str">
        <f>"2002222282811"</f>
        <v>2002222282811</v>
      </c>
      <c r="I4890" t="str">
        <f>HYPERLINK("#", "https://opac.libnet.pref.okayama.jp/licsxp-opac/WOpacMsgNewListToTifTilDetailAction.do?tilcod=2002222282811")</f>
        <v>https://opac.libnet.pref.okayama.jp/licsxp-opac/WOpacMsgNewListToTifTilDetailAction.do?tilcod=2002222282811</v>
      </c>
    </row>
    <row r="4891" spans="1:9" x14ac:dyDescent="0.4">
      <c r="A4891" t="str">
        <f>"憂国愛郷"</f>
        <v>憂国愛郷</v>
      </c>
      <c r="B4891" s="1" t="str">
        <f t="shared" si="240"/>
        <v>憂国愛郷</v>
      </c>
      <c r="C4891" t="str">
        <f>"ユウコク　アイゴウ"</f>
        <v>ユウコク　アイゴウ</v>
      </c>
      <c r="D4891" t="str">
        <f>"自由之友社"</f>
        <v>自由之友社</v>
      </c>
      <c r="E4891" t="str">
        <f>"ジユウノトモシャ"</f>
        <v>ジユウノトモシャ</v>
      </c>
      <c r="F4891" t="str">
        <f>"岡山"</f>
        <v>岡山</v>
      </c>
      <c r="G4891" t="str">
        <f>"不定期刊"</f>
        <v>不定期刊</v>
      </c>
      <c r="H4891" t="str">
        <f>"2002222300977"</f>
        <v>2002222300977</v>
      </c>
      <c r="I4891" t="str">
        <f>HYPERLINK("#", "https://opac.libnet.pref.okayama.jp/licsxp-opac/WOpacMsgNewListToTifTilDetailAction.do?tilcod=2002222300977")</f>
        <v>https://opac.libnet.pref.okayama.jp/licsxp-opac/WOpacMsgNewListToTifTilDetailAction.do?tilcod=2002222300977</v>
      </c>
    </row>
    <row r="4892" spans="1:9" x14ac:dyDescent="0.4">
      <c r="A4892" t="str">
        <f>"木綿崎通信"</f>
        <v>木綿崎通信</v>
      </c>
      <c r="B4892" s="1" t="str">
        <f t="shared" si="240"/>
        <v>木綿崎通信</v>
      </c>
      <c r="C4892" t="str">
        <f>"ユウザキ　ツウシン"</f>
        <v>ユウザキ　ツウシン</v>
      </c>
      <c r="D4892" t="str">
        <f>"金光教徒社"</f>
        <v>金光教徒社</v>
      </c>
      <c r="E4892" t="str">
        <f>"コンコウキョウトシャ"</f>
        <v>コンコウキョウトシャ</v>
      </c>
      <c r="F4892" t="str">
        <f>"金光町（浅口郡）"</f>
        <v>金光町（浅口郡）</v>
      </c>
      <c r="G4892" t="str">
        <f>"月刊"</f>
        <v>月刊</v>
      </c>
      <c r="H4892" t="str">
        <f>"2002222300978"</f>
        <v>2002222300978</v>
      </c>
      <c r="I4892" t="str">
        <f>HYPERLINK("#", "https://opac.libnet.pref.okayama.jp/licsxp-opac/WOpacMsgNewListToTifTilDetailAction.do?tilcod=2002222300978")</f>
        <v>https://opac.libnet.pref.okayama.jp/licsxp-opac/WOpacMsgNewListToTifTilDetailAction.do?tilcod=2002222300978</v>
      </c>
    </row>
    <row r="4893" spans="1:9" x14ac:dyDescent="0.4">
      <c r="A4893" t="str">
        <f>"友周会誌"</f>
        <v>友周会誌</v>
      </c>
      <c r="B4893" s="1" t="str">
        <f t="shared" si="240"/>
        <v>友周会誌</v>
      </c>
      <c r="C4893" t="str">
        <f>"ユウシュウカイシ"</f>
        <v>ユウシュウカイシ</v>
      </c>
      <c r="D4893" t="str">
        <f>"岡山大学医学部小児科同門会｢友周会｣事務局"</f>
        <v>岡山大学医学部小児科同門会｢友周会｣事務局</v>
      </c>
      <c r="E4893" t="str">
        <f>"オカヤマ ダイガク イガクブ ショウニカ ドウモンカイ ユウシュウカイ ジムキョク"</f>
        <v>オカヤマ ダイガク イガクブ ショウニカ ドウモンカイ ユウシュウカイ ジムキョク</v>
      </c>
      <c r="F4893" t="str">
        <f>"岡山"</f>
        <v>岡山</v>
      </c>
      <c r="G4893" t="str">
        <f>"年刊"</f>
        <v>年刊</v>
      </c>
      <c r="H4893" t="str">
        <f>"2002222336427"</f>
        <v>2002222336427</v>
      </c>
      <c r="I4893" t="str">
        <f>HYPERLINK("#", "https://opac.libnet.pref.okayama.jp/licsxp-opac/WOpacMsgNewListToTifTilDetailAction.do?tilcod=2002222336427")</f>
        <v>https://opac.libnet.pref.okayama.jp/licsxp-opac/WOpacMsgNewListToTifTilDetailAction.do?tilcod=2002222336427</v>
      </c>
    </row>
    <row r="4894" spans="1:9" x14ac:dyDescent="0.4">
      <c r="A4894" t="str">
        <f>"有信"</f>
        <v>有信</v>
      </c>
      <c r="B4894" s="1" t="str">
        <f t="shared" si="240"/>
        <v>有信</v>
      </c>
      <c r="C4894" t="str">
        <f>"ユウシン"</f>
        <v>ユウシン</v>
      </c>
      <c r="D4894" t="str">
        <f>"私立中学岡山黌有信会"</f>
        <v>私立中学岡山黌有信会</v>
      </c>
      <c r="E4894" t="str">
        <f>"シリツチュウガクオカヤマコウユウシンカイ"</f>
        <v>シリツチュウガクオカヤマコウユウシンカイ</v>
      </c>
      <c r="F4894" t="str">
        <f>""</f>
        <v/>
      </c>
      <c r="G4894" t="str">
        <f>"年刊"</f>
        <v>年刊</v>
      </c>
      <c r="H4894" t="str">
        <f>"2002222286643"</f>
        <v>2002222286643</v>
      </c>
      <c r="I4894" t="str">
        <f>HYPERLINK("#", "https://opac.libnet.pref.okayama.jp/licsxp-opac/WOpacMsgNewListToTifTilDetailAction.do?tilcod=2002222286643")</f>
        <v>https://opac.libnet.pref.okayama.jp/licsxp-opac/WOpacMsgNewListToTifTilDetailAction.do?tilcod=2002222286643</v>
      </c>
    </row>
    <row r="4895" spans="1:9" x14ac:dyDescent="0.4">
      <c r="A4895" t="str">
        <f>"有信"</f>
        <v>有信</v>
      </c>
      <c r="B4895" s="1" t="str">
        <f t="shared" si="240"/>
        <v>有信</v>
      </c>
      <c r="C4895" t="str">
        <f>"ユウシン"</f>
        <v>ユウシン</v>
      </c>
      <c r="D4895" t="str">
        <f>"岡北中学校有信会"</f>
        <v>岡北中学校有信会</v>
      </c>
      <c r="E4895" t="str">
        <f>"コウホク チュウガッコウ ユウシンカイ"</f>
        <v>コウホク チュウガッコウ ユウシンカイ</v>
      </c>
      <c r="F4895" t="str">
        <f>""</f>
        <v/>
      </c>
      <c r="G4895" t="str">
        <f>"頻度不明"</f>
        <v>頻度不明</v>
      </c>
      <c r="H4895" t="str">
        <f>"2002222306700"</f>
        <v>2002222306700</v>
      </c>
      <c r="I4895" t="str">
        <f>HYPERLINK("#", "https://opac.libnet.pref.okayama.jp/licsxp-opac/WOpacMsgNewListToTifTilDetailAction.do?tilcod=2002222306700")</f>
        <v>https://opac.libnet.pref.okayama.jp/licsxp-opac/WOpacMsgNewListToTifTilDetailAction.do?tilcod=2002222306700</v>
      </c>
    </row>
    <row r="4896" spans="1:9" x14ac:dyDescent="0.4">
      <c r="A4896" t="str">
        <f>"ＹＯＵＴＨ（ユース）"</f>
        <v>ＹＯＵＴＨ（ユース）</v>
      </c>
      <c r="B4896" s="1" t="str">
        <f t="shared" si="240"/>
        <v>ＹＯＵＴＨ（ユース）</v>
      </c>
      <c r="C4896" t="str">
        <f>"ユース"</f>
        <v>ユース</v>
      </c>
      <c r="D4896" t="str">
        <f>"岡山県地域振興部婦人青少年対策室青少年課"</f>
        <v>岡山県地域振興部婦人青少年対策室青少年課</v>
      </c>
      <c r="E4896" t="str">
        <f>"オカヤマケン チイキ シンコウブ フジン セイショウネン タイサクシツ セイショウネンカ"</f>
        <v>オカヤマケン チイキ シンコウブ フジン セイショウネン タイサクシツ セイショウネンカ</v>
      </c>
      <c r="F4896" t="str">
        <f>"岡山"</f>
        <v>岡山</v>
      </c>
      <c r="G4896" t="str">
        <f>"頻度不明"</f>
        <v>頻度不明</v>
      </c>
      <c r="H4896" t="str">
        <f>"2002222286673"</f>
        <v>2002222286673</v>
      </c>
      <c r="I4896" t="str">
        <f>HYPERLINK("#", "https://opac.libnet.pref.okayama.jp/licsxp-opac/WOpacMsgNewListToTifTilDetailAction.do?tilcod=2002222286673")</f>
        <v>https://opac.libnet.pref.okayama.jp/licsxp-opac/WOpacMsgNewListToTifTilDetailAction.do?tilcod=2002222286673</v>
      </c>
    </row>
    <row r="4897" spans="1:9" x14ac:dyDescent="0.4">
      <c r="A4897" t="str">
        <f>"有声"</f>
        <v>有声</v>
      </c>
      <c r="B4897" s="1" t="str">
        <f t="shared" si="240"/>
        <v>有声</v>
      </c>
      <c r="C4897" t="str">
        <f>"ユウセイ"</f>
        <v>ユウセイ</v>
      </c>
      <c r="D4897" t="str">
        <f>"薇陽吟社"</f>
        <v>薇陽吟社</v>
      </c>
      <c r="E4897" t="str">
        <f>"ビヨウギンシャ"</f>
        <v>ビヨウギンシャ</v>
      </c>
      <c r="F4897" t="str">
        <f>"岡山"</f>
        <v>岡山</v>
      </c>
      <c r="G4897" t="str">
        <f>"月刊"</f>
        <v>月刊</v>
      </c>
      <c r="H4897" t="str">
        <f>"2002222286653"</f>
        <v>2002222286653</v>
      </c>
      <c r="I4897" t="str">
        <f>HYPERLINK("#", "https://opac.libnet.pref.okayama.jp/licsxp-opac/WOpacMsgNewListToTifTilDetailAction.do?tilcod=2002222286653")</f>
        <v>https://opac.libnet.pref.okayama.jp/licsxp-opac/WOpacMsgNewListToTifTilDetailAction.do?tilcod=2002222286653</v>
      </c>
    </row>
    <row r="4898" spans="1:9" x14ac:dyDescent="0.4">
      <c r="A4898" t="str">
        <f>"ユートピア通信"</f>
        <v>ユートピア通信</v>
      </c>
      <c r="B4898" s="1" t="str">
        <f t="shared" si="240"/>
        <v>ユートピア通信</v>
      </c>
      <c r="C4898" t="str">
        <f>"ユートピア ツウシン"</f>
        <v>ユートピア ツウシン</v>
      </c>
      <c r="D4898" t="str">
        <f>"ユートピア編集部"</f>
        <v>ユートピア編集部</v>
      </c>
      <c r="E4898" t="str">
        <f>"ユートピア ヘンシュウブ"</f>
        <v>ユートピア ヘンシュウブ</v>
      </c>
      <c r="F4898" t="str">
        <f>"岡山"</f>
        <v>岡山</v>
      </c>
      <c r="G4898" t="str">
        <f>"頻度不明"</f>
        <v>頻度不明</v>
      </c>
      <c r="H4898" t="str">
        <f>"2002222337871"</f>
        <v>2002222337871</v>
      </c>
      <c r="I4898" t="str">
        <f>HYPERLINK("#", "https://opac.libnet.pref.okayama.jp/licsxp-opac/WOpacMsgNewListToTifTilDetailAction.do?tilcod=2002222337871")</f>
        <v>https://opac.libnet.pref.okayama.jp/licsxp-opac/WOpacMsgNewListToTifTilDetailAction.do?tilcod=2002222337871</v>
      </c>
    </row>
    <row r="4899" spans="1:9" x14ac:dyDescent="0.4">
      <c r="A4899" t="str">
        <f>"ＵＰＣＯ街づくりニュースレター"</f>
        <v>ＵＰＣＯ街づくりニュースレター</v>
      </c>
      <c r="B4899" s="1" t="str">
        <f t="shared" si="240"/>
        <v>ＵＰＣＯ街づくりニュースレター</v>
      </c>
      <c r="C4899" t="str">
        <f>"ユーピーシーオー　マチツクリ　ニュース　レター"</f>
        <v>ユーピーシーオー　マチツクリ　ニュース　レター</v>
      </c>
      <c r="D4899" t="str">
        <f>"岡山街づくり連絡協議会"</f>
        <v>岡山街づくり連絡協議会</v>
      </c>
      <c r="E4899" t="str">
        <f>"オカヤママチズクリレンラクキョウギカイ"</f>
        <v>オカヤママチズクリレンラクキョウギカイ</v>
      </c>
      <c r="F4899" t="str">
        <f>"岡山"</f>
        <v>岡山</v>
      </c>
      <c r="G4899" t="str">
        <f>"頻度不明"</f>
        <v>頻度不明</v>
      </c>
      <c r="H4899" t="str">
        <f>"2002222282351"</f>
        <v>2002222282351</v>
      </c>
      <c r="I4899" t="str">
        <f>HYPERLINK("#", "https://opac.libnet.pref.okayama.jp/licsxp-opac/WOpacMsgNewListToTifTilDetailAction.do?tilcod=2002222282351")</f>
        <v>https://opac.libnet.pref.okayama.jp/licsxp-opac/WOpacMsgNewListToTifTilDetailAction.do?tilcod=2002222282351</v>
      </c>
    </row>
    <row r="4900" spans="1:9" x14ac:dyDescent="0.4">
      <c r="A4900" t="str">
        <f>"郵便；岡山県郵便局ニュース"</f>
        <v>郵便；岡山県郵便局ニュース</v>
      </c>
      <c r="B4900" s="1" t="str">
        <f t="shared" si="240"/>
        <v>郵便；岡山県郵便局ニュース</v>
      </c>
      <c r="C4900" t="str">
        <f>"ユウビン＊オカヤマケン　ユウビンキョク　ニュース"</f>
        <v>ユウビン＊オカヤマケン　ユウビンキョク　ニュース</v>
      </c>
      <c r="D4900" t="str">
        <f>"岡山地区郵便協力会"</f>
        <v>岡山地区郵便協力会</v>
      </c>
      <c r="E4900" t="str">
        <f>"オカヤマチクユウビンキョウリョクカイ"</f>
        <v>オカヤマチクユウビンキョウリョクカイ</v>
      </c>
      <c r="F4900" t="str">
        <f>"岡山"</f>
        <v>岡山</v>
      </c>
      <c r="G4900" t="str">
        <f>"月刊"</f>
        <v>月刊</v>
      </c>
      <c r="H4900" t="str">
        <f>"2002222300852"</f>
        <v>2002222300852</v>
      </c>
      <c r="I4900" t="str">
        <f>HYPERLINK("#", "https://opac.libnet.pref.okayama.jp/licsxp-opac/WOpacMsgNewListToTifTilDetailAction.do?tilcod=2002222300852")</f>
        <v>https://opac.libnet.pref.okayama.jp/licsxp-opac/WOpacMsgNewListToTifTilDetailAction.do?tilcod=2002222300852</v>
      </c>
    </row>
    <row r="4901" spans="1:9" x14ac:dyDescent="0.4">
      <c r="A4901" t="str">
        <f>"ＵＦＯ　ＮＥＴＷＯＲＫ（ユーフォー　ネットワーク）"</f>
        <v>ＵＦＯ　ＮＥＴＷＯＲＫ（ユーフォー　ネットワーク）</v>
      </c>
      <c r="B4901" s="1" t="str">
        <f t="shared" si="240"/>
        <v>ＵＦＯ　ＮＥＴＷＯＲＫ（ユーフォー　ネットワーク）</v>
      </c>
      <c r="C4901" t="str">
        <f>"ユーフォー　ネットワーク"</f>
        <v>ユーフォー　ネットワーク</v>
      </c>
      <c r="D4901" t="str">
        <f>"ＵＥＣ本部"</f>
        <v>ＵＥＣ本部</v>
      </c>
      <c r="E4901" t="str">
        <f>"ユーイーシー　ホンブ"</f>
        <v>ユーイーシー　ホンブ</v>
      </c>
      <c r="F4901" t="str">
        <f>""</f>
        <v/>
      </c>
      <c r="G4901" t="str">
        <f>"頻度不明"</f>
        <v>頻度不明</v>
      </c>
      <c r="H4901" t="str">
        <f>"2002222286683"</f>
        <v>2002222286683</v>
      </c>
      <c r="I4901" t="str">
        <f>HYPERLINK("#", "https://opac.libnet.pref.okayama.jp/licsxp-opac/WOpacMsgNewListToTifTilDetailAction.do?tilcod=2002222286683")</f>
        <v>https://opac.libnet.pref.okayama.jp/licsxp-opac/WOpacMsgNewListToTifTilDetailAction.do?tilcod=2002222286683</v>
      </c>
    </row>
    <row r="4902" spans="1:9" x14ac:dyDescent="0.4">
      <c r="A4902" t="str">
        <f>"有朋"</f>
        <v>有朋</v>
      </c>
      <c r="B4902" s="1" t="str">
        <f t="shared" si="240"/>
        <v>有朋</v>
      </c>
      <c r="C4902" t="str">
        <f>"ユウホウ"</f>
        <v>ユウホウ</v>
      </c>
      <c r="D4902" t="str">
        <f>"こやま泰生"</f>
        <v>こやま泰生</v>
      </c>
      <c r="E4902" t="str">
        <f>"コヤマヤスオ"</f>
        <v>コヤマヤスオ</v>
      </c>
      <c r="F4902" t="str">
        <f>"里庄町(浅口郡)"</f>
        <v>里庄町(浅口郡)</v>
      </c>
      <c r="G4902" t="str">
        <f>"頻度不明"</f>
        <v>頻度不明</v>
      </c>
      <c r="H4902" t="str">
        <f>"2002222312966"</f>
        <v>2002222312966</v>
      </c>
      <c r="I4902" t="str">
        <f>HYPERLINK("#", "https://opac.libnet.pref.okayama.jp/licsxp-opac/WOpacMsgNewListToTifTilDetailAction.do?tilcod=2002222312966")</f>
        <v>https://opac.libnet.pref.okayama.jp/licsxp-opac/WOpacMsgNewListToTifTilDetailAction.do?tilcod=2002222312966</v>
      </c>
    </row>
    <row r="4903" spans="1:9" x14ac:dyDescent="0.4">
      <c r="A4903" t="str">
        <f>"悠々素敵"</f>
        <v>悠々素敵</v>
      </c>
      <c r="B4903" s="1" t="str">
        <f t="shared" si="240"/>
        <v>悠々素敵</v>
      </c>
      <c r="C4903" t="str">
        <f>"ユウユウ ステキ"</f>
        <v>ユウユウ ステキ</v>
      </c>
      <c r="D4903" t="str">
        <f>"「悠々素敵」編集室"</f>
        <v>「悠々素敵」編集室</v>
      </c>
      <c r="E4903" t="str">
        <f>"ユウユウ ステキ ヘンシュウシツ"</f>
        <v>ユウユウ ステキ ヘンシュウシツ</v>
      </c>
      <c r="F4903" t="str">
        <f>"岡山"</f>
        <v>岡山</v>
      </c>
      <c r="G4903" t="str">
        <f>"隔月刊"</f>
        <v>隔月刊</v>
      </c>
      <c r="H4903" t="str">
        <f>"2002222317726"</f>
        <v>2002222317726</v>
      </c>
      <c r="I4903" t="str">
        <f>HYPERLINK("#", "https://opac.libnet.pref.okayama.jp/licsxp-opac/WOpacMsgNewListToTifTilDetailAction.do?tilcod=2002222317726")</f>
        <v>https://opac.libnet.pref.okayama.jp/licsxp-opac/WOpacMsgNewListToTifTilDetailAction.do?tilcod=2002222317726</v>
      </c>
    </row>
    <row r="4904" spans="1:9" x14ac:dyDescent="0.4">
      <c r="A4904" t="str">
        <f>"悠々すてき"</f>
        <v>悠々すてき</v>
      </c>
      <c r="B4904" s="1" t="str">
        <f t="shared" si="240"/>
        <v>悠々すてき</v>
      </c>
      <c r="C4904" t="str">
        <f>"ユウユウ ステキ"</f>
        <v>ユウユウ ステキ</v>
      </c>
      <c r="D4904" t="str">
        <f>"「悠々すてき」編集室"</f>
        <v>「悠々すてき」編集室</v>
      </c>
      <c r="E4904" t="str">
        <f>"ユウユウ ステキ ヘンシュウシツ"</f>
        <v>ユウユウ ステキ ヘンシュウシツ</v>
      </c>
      <c r="F4904" t="str">
        <f>"岡山"</f>
        <v>岡山</v>
      </c>
      <c r="G4904" t="str">
        <f>"頻度不明"</f>
        <v>頻度不明</v>
      </c>
      <c r="H4904" t="str">
        <f>"2002222313527"</f>
        <v>2002222313527</v>
      </c>
      <c r="I4904" t="str">
        <f>HYPERLINK("#", "https://opac.libnet.pref.okayama.jp/licsxp-opac/WOpacMsgNewListToTifTilDetailAction.do?tilcod=2002222313527")</f>
        <v>https://opac.libnet.pref.okayama.jp/licsxp-opac/WOpacMsgNewListToTifTilDetailAction.do?tilcod=2002222313527</v>
      </c>
    </row>
    <row r="4905" spans="1:9" x14ac:dyDescent="0.4">
      <c r="A4905" t="str">
        <f>"邑遊ぽけっと；子どものための遊び＆学びの情報誌"</f>
        <v>邑遊ぽけっと；子どものための遊び＆学びの情報誌</v>
      </c>
      <c r="B4905" s="1" t="str">
        <f t="shared" si="240"/>
        <v>邑遊ぽけっと；子どものための遊び＆学びの情報誌</v>
      </c>
      <c r="C4905" t="str">
        <f>"ユウユウ　ポケット＊コドモ　ノ　タメ　ノ　アソビ　アンド　マナビ　ノ　ジョウホウシ"</f>
        <v>ユウユウ　ポケット＊コドモ　ノ　タメ　ノ　アソビ　アンド　マナビ　ノ　ジョウホウシ</v>
      </c>
      <c r="D4905" t="str">
        <f>"おく子どもセンター事務局"</f>
        <v>おく子どもセンター事務局</v>
      </c>
      <c r="E4905" t="str">
        <f>"オクコドモセンタージムキョク"</f>
        <v>オクコドモセンタージムキョク</v>
      </c>
      <c r="F4905" t="str">
        <f>"邑久町（邑久郡）"</f>
        <v>邑久町（邑久郡）</v>
      </c>
      <c r="G4905" t="str">
        <f>"頻度不明"</f>
        <v>頻度不明</v>
      </c>
      <c r="H4905" t="str">
        <f>"2002222285821"</f>
        <v>2002222285821</v>
      </c>
      <c r="I4905" t="str">
        <f>HYPERLINK("#", "https://opac.libnet.pref.okayama.jp/licsxp-opac/WOpacMsgNewListToTifTilDetailAction.do?tilcod=2002222285821")</f>
        <v>https://opac.libnet.pref.okayama.jp/licsxp-opac/WOpacMsgNewListToTifTilDetailAction.do?tilcod=2002222285821</v>
      </c>
    </row>
    <row r="4906" spans="1:9" x14ac:dyDescent="0.4">
      <c r="A4906" t="str">
        <f>"弓削高等学校学校案内"</f>
        <v>弓削高等学校学校案内</v>
      </c>
      <c r="B4906" s="1" t="str">
        <f t="shared" si="240"/>
        <v>弓削高等学校学校案内</v>
      </c>
      <c r="C4906" t="str">
        <f>"ユゲ　コウトウ　ガッコウ　ガッコウ　アンナイ"</f>
        <v>ユゲ　コウトウ　ガッコウ　ガッコウ　アンナイ</v>
      </c>
      <c r="D4906" t="str">
        <f>"弓削高等学校"</f>
        <v>弓削高等学校</v>
      </c>
      <c r="E4906" t="str">
        <f>"ユゲコウトウガッコウ"</f>
        <v>ユゲコウトウガッコウ</v>
      </c>
      <c r="F4906" t="str">
        <f>"久米南町（久米郡）"</f>
        <v>久米南町（久米郡）</v>
      </c>
      <c r="G4906" t="str">
        <f>"年刊"</f>
        <v>年刊</v>
      </c>
      <c r="H4906" t="str">
        <f>"2002222301290"</f>
        <v>2002222301290</v>
      </c>
      <c r="I4906" t="str">
        <f>HYPERLINK("#", "https://opac.libnet.pref.okayama.jp/licsxp-opac/WOpacMsgNewListToTifTilDetailAction.do?tilcod=2002222301290")</f>
        <v>https://opac.libnet.pref.okayama.jp/licsxp-opac/WOpacMsgNewListToTifTilDetailAction.do?tilcod=2002222301290</v>
      </c>
    </row>
    <row r="4907" spans="1:9" x14ac:dyDescent="0.4">
      <c r="A4907" t="str">
        <f>"弓削高等学校学校要覧"</f>
        <v>弓削高等学校学校要覧</v>
      </c>
      <c r="B4907" s="1" t="str">
        <f t="shared" si="240"/>
        <v>弓削高等学校学校要覧</v>
      </c>
      <c r="C4907" t="str">
        <f>"ユゲ　コウトウ　ガッコウ　ガッコウ　ヨウラン"</f>
        <v>ユゲ　コウトウ　ガッコウ　ガッコウ　ヨウラン</v>
      </c>
      <c r="D4907" t="str">
        <f>"弓削高等学校"</f>
        <v>弓削高等学校</v>
      </c>
      <c r="E4907" t="str">
        <f>"ユゲコウトウガッコウ"</f>
        <v>ユゲコウトウガッコウ</v>
      </c>
      <c r="F4907" t="str">
        <f>"久米南町（久米郡）"</f>
        <v>久米南町（久米郡）</v>
      </c>
      <c r="G4907" t="str">
        <f>"年刊"</f>
        <v>年刊</v>
      </c>
      <c r="H4907" t="str">
        <f>"2002222300551"</f>
        <v>2002222300551</v>
      </c>
      <c r="I4907" t="str">
        <f>HYPERLINK("#", "https://opac.libnet.pref.okayama.jp/licsxp-opac/WOpacMsgNewListToTifTilDetailAction.do?tilcod=2002222300551")</f>
        <v>https://opac.libnet.pref.okayama.jp/licsxp-opac/WOpacMsgNewListToTifTilDetailAction.do?tilcod=2002222300551</v>
      </c>
    </row>
    <row r="4908" spans="1:9" x14ac:dyDescent="0.4">
      <c r="A4908" t="str">
        <f>"弓削校報"</f>
        <v>弓削校報</v>
      </c>
      <c r="B4908" s="1" t="str">
        <f t="shared" si="240"/>
        <v>弓削校報</v>
      </c>
      <c r="C4908" t="str">
        <f>"ユゲ コウホウ"</f>
        <v>ユゲ コウホウ</v>
      </c>
      <c r="D4908" t="str">
        <f>"弓削尋常高等小学校"</f>
        <v>弓削尋常高等小学校</v>
      </c>
      <c r="E4908" t="str">
        <f>"ユゲ ジンジョウ コウトウ ショウガッコウ"</f>
        <v>ユゲ ジンジョウ コウトウ ショウガッコウ</v>
      </c>
      <c r="F4908" t="str">
        <f>""</f>
        <v/>
      </c>
      <c r="G4908" t="str">
        <f>"頻度不明"</f>
        <v>頻度不明</v>
      </c>
      <c r="H4908" t="str">
        <f>"2002222333650"</f>
        <v>2002222333650</v>
      </c>
      <c r="I4908" t="str">
        <f>HYPERLINK("#", "https://opac.libnet.pref.okayama.jp/licsxp-opac/WOpacMsgNewListToTifTilDetailAction.do?tilcod=2002222333650")</f>
        <v>https://opac.libnet.pref.okayama.jp/licsxp-opac/WOpacMsgNewListToTifTilDetailAction.do?tilcod=2002222333650</v>
      </c>
    </row>
    <row r="4909" spans="1:9" x14ac:dyDescent="0.4">
      <c r="A4909" t="str">
        <f>"[弓削小学校]学校要覧"</f>
        <v>[弓削小学校]学校要覧</v>
      </c>
      <c r="B4909" s="1" t="str">
        <f t="shared" si="240"/>
        <v>[弓削小学校]学校要覧</v>
      </c>
      <c r="C4909" t="str">
        <f>"ユゲ ショウガッコウ ガッコウ ヨウラン"</f>
        <v>ユゲ ショウガッコウ ガッコウ ヨウラン</v>
      </c>
      <c r="D4909" t="str">
        <f>"久米南町立弓削小学校"</f>
        <v>久米南町立弓削小学校</v>
      </c>
      <c r="E4909" t="str">
        <f>"クメナンチョウリツ ユゲ ショウガッコウ"</f>
        <v>クメナンチョウリツ ユゲ ショウガッコウ</v>
      </c>
      <c r="F4909" t="str">
        <f>"久米南町（久米郡）"</f>
        <v>久米南町（久米郡）</v>
      </c>
      <c r="G4909" t="str">
        <f>"年刊"</f>
        <v>年刊</v>
      </c>
      <c r="H4909" t="str">
        <f>"2002222333649"</f>
        <v>2002222333649</v>
      </c>
      <c r="I4909" t="str">
        <f>HYPERLINK("#", "https://opac.libnet.pref.okayama.jp/licsxp-opac/WOpacMsgNewListToTifTilDetailAction.do?tilcod=2002222333649")</f>
        <v>https://opac.libnet.pref.okayama.jp/licsxp-opac/WOpacMsgNewListToTifTilDetailAction.do?tilcod=2002222333649</v>
      </c>
    </row>
    <row r="4910" spans="1:9" x14ac:dyDescent="0.4">
      <c r="A4910" t="str">
        <f>"[弓削中学校]学校要覧"</f>
        <v>[弓削中学校]学校要覧</v>
      </c>
      <c r="B4910" s="1" t="str">
        <f t="shared" si="240"/>
        <v>[弓削中学校]学校要覧</v>
      </c>
      <c r="C4910" t="str">
        <f>"ユゲ チュウガッコウ ガッコウ ヨウラン"</f>
        <v>ユゲ チュウガッコウ ガッコウ ヨウラン</v>
      </c>
      <c r="D4910" t="str">
        <f>"久米南町立弓削中学校"</f>
        <v>久米南町立弓削中学校</v>
      </c>
      <c r="E4910" t="str">
        <f>"クメナンチョウリツ ユゲ チュウガッコウ"</f>
        <v>クメナンチョウリツ ユゲ チュウガッコウ</v>
      </c>
      <c r="F4910" t="str">
        <f>"久米南町（久米郡）"</f>
        <v>久米南町（久米郡）</v>
      </c>
      <c r="G4910" t="str">
        <f>"年刊"</f>
        <v>年刊</v>
      </c>
      <c r="H4910" t="str">
        <f>"2002222333648"</f>
        <v>2002222333648</v>
      </c>
      <c r="I4910" t="str">
        <f>HYPERLINK("#", "https://opac.libnet.pref.okayama.jp/licsxp-opac/WOpacMsgNewListToTifTilDetailAction.do?tilcod=2002222333648")</f>
        <v>https://opac.libnet.pref.okayama.jp/licsxp-opac/WOpacMsgNewListToTifTilDetailAction.do?tilcod=2002222333648</v>
      </c>
    </row>
    <row r="4911" spans="1:9" x14ac:dyDescent="0.4">
      <c r="A4911" t="str">
        <f>"ゆず"</f>
        <v>ゆず</v>
      </c>
      <c r="B4911" s="1" t="str">
        <f t="shared" si="240"/>
        <v>ゆず</v>
      </c>
      <c r="C4911" t="str">
        <f>"ユズ"</f>
        <v>ユズ</v>
      </c>
      <c r="D4911" t="str">
        <f>"出版社ガラガラ"</f>
        <v>出版社ガラガラ</v>
      </c>
      <c r="E4911" t="str">
        <f>"シュッパンシャガラガラ"</f>
        <v>シュッパンシャガラガラ</v>
      </c>
      <c r="F4911" t="str">
        <f>"岡山"</f>
        <v>岡山</v>
      </c>
      <c r="G4911" t="str">
        <f>"年２回刊"</f>
        <v>年２回刊</v>
      </c>
      <c r="H4911" t="str">
        <f>"2002222293241"</f>
        <v>2002222293241</v>
      </c>
      <c r="I4911" t="str">
        <f>HYPERLINK("#", "https://opac.libnet.pref.okayama.jp/licsxp-opac/WOpacMsgNewListToTifTilDetailAction.do?tilcod=2002222293241")</f>
        <v>https://opac.libnet.pref.okayama.jp/licsxp-opac/WOpacMsgNewListToTifTilDetailAction.do?tilcod=2002222293241</v>
      </c>
    </row>
    <row r="4912" spans="1:9" x14ac:dyDescent="0.4">
      <c r="A4912" t="str">
        <f>"ユネスカン"</f>
        <v>ユネスカン</v>
      </c>
      <c r="B4912" s="1" t="str">
        <f t="shared" si="240"/>
        <v>ユネスカン</v>
      </c>
      <c r="C4912" t="str">
        <f>"ユネスカン"</f>
        <v>ユネスカン</v>
      </c>
      <c r="D4912" t="str">
        <f>"岡山大学ユネスコ研究会"</f>
        <v>岡山大学ユネスコ研究会</v>
      </c>
      <c r="E4912" t="str">
        <f>"オカヤマ ダイガク ユネスコ ケンキュウカイ"</f>
        <v>オカヤマ ダイガク ユネスコ ケンキュウカイ</v>
      </c>
      <c r="F4912" t="str">
        <f>"岡山"</f>
        <v>岡山</v>
      </c>
      <c r="G4912" t="str">
        <f>"頻度不明"</f>
        <v>頻度不明</v>
      </c>
      <c r="H4912" t="str">
        <f>"2002222288511"</f>
        <v>2002222288511</v>
      </c>
      <c r="I4912" t="str">
        <f>HYPERLINK("#", "https://opac.libnet.pref.okayama.jp/licsxp-opac/WOpacMsgNewListToTifTilDetailAction.do?tilcod=2002222288511")</f>
        <v>https://opac.libnet.pref.okayama.jp/licsxp-opac/WOpacMsgNewListToTifTilDetailAction.do?tilcod=2002222288511</v>
      </c>
    </row>
    <row r="4913" spans="1:9" x14ac:dyDescent="0.4">
      <c r="A4913" t="str">
        <f>"湯原町町政だより"</f>
        <v>湯原町町政だより</v>
      </c>
      <c r="B4913" s="1" t="str">
        <f t="shared" si="240"/>
        <v>湯原町町政だより</v>
      </c>
      <c r="C4913" t="str">
        <f>"ユバラチョウ チョウセイ ダヨリ"</f>
        <v>ユバラチョウ チョウセイ ダヨリ</v>
      </c>
      <c r="D4913" t="str">
        <f>"湯原町"</f>
        <v>湯原町</v>
      </c>
      <c r="E4913" t="str">
        <f>"ユバラチョウ"</f>
        <v>ユバラチョウ</v>
      </c>
      <c r="F4913" t="str">
        <f>"湯原町(真庭郡)"</f>
        <v>湯原町(真庭郡)</v>
      </c>
      <c r="G4913" t="str">
        <f>"月刊"</f>
        <v>月刊</v>
      </c>
      <c r="H4913" t="str">
        <f>"2002222301721"</f>
        <v>2002222301721</v>
      </c>
      <c r="I4913" t="str">
        <f>HYPERLINK("#", "https://opac.libnet.pref.okayama.jp/licsxp-opac/WOpacMsgNewListToTifTilDetailAction.do?tilcod=2002222301721")</f>
        <v>https://opac.libnet.pref.okayama.jp/licsxp-opac/WOpacMsgNewListToTifTilDetailAction.do?tilcod=2002222301721</v>
      </c>
    </row>
    <row r="4914" spans="1:9" x14ac:dyDescent="0.4">
      <c r="A4914" t="str">
        <f>"遊美工房通信"</f>
        <v>遊美工房通信</v>
      </c>
      <c r="B4914" s="1" t="str">
        <f t="shared" si="240"/>
        <v>遊美工房通信</v>
      </c>
      <c r="C4914" t="str">
        <f>"ユミ コウボウ ツウシン"</f>
        <v>ユミ コウボウ ツウシン</v>
      </c>
      <c r="D4914" t="str">
        <f>"遊美工房"</f>
        <v>遊美工房</v>
      </c>
      <c r="E4914" t="str">
        <f>"ユミ コウボウ"</f>
        <v>ユミ コウボウ</v>
      </c>
      <c r="F4914" t="str">
        <f>"岡山"</f>
        <v>岡山</v>
      </c>
      <c r="G4914" t="str">
        <f>"年２回刊"</f>
        <v>年２回刊</v>
      </c>
      <c r="H4914" t="str">
        <f>"2002222331467"</f>
        <v>2002222331467</v>
      </c>
      <c r="I4914" t="str">
        <f>HYPERLINK("#", "https://opac.libnet.pref.okayama.jp/licsxp-opac/WOpacMsgNewListToTifTilDetailAction.do?tilcod=2002222331467")</f>
        <v>https://opac.libnet.pref.okayama.jp/licsxp-opac/WOpacMsgNewListToTifTilDetailAction.do?tilcod=2002222331467</v>
      </c>
    </row>
    <row r="4915" spans="1:9" x14ac:dyDescent="0.4">
      <c r="A4915" t="str">
        <f>"夢"</f>
        <v>夢</v>
      </c>
      <c r="B4915" s="1" t="str">
        <f t="shared" si="240"/>
        <v>夢</v>
      </c>
      <c r="C4915" t="str">
        <f>"ユメ　"</f>
        <v>ユメ　</v>
      </c>
      <c r="D4915" t="str">
        <f>"夢二郷土美術館"</f>
        <v>夢二郷土美術館</v>
      </c>
      <c r="E4915" t="str">
        <f>"ユメジ キョウド ビジュツカン"</f>
        <v>ユメジ キョウド ビジュツカン</v>
      </c>
      <c r="F4915" t="str">
        <f>"岡山"</f>
        <v>岡山</v>
      </c>
      <c r="G4915" t="str">
        <f>"頻度不明"</f>
        <v>頻度不明</v>
      </c>
      <c r="H4915" t="str">
        <f>"2002222324926"</f>
        <v>2002222324926</v>
      </c>
      <c r="I4915" t="str">
        <f>HYPERLINK("#", "https://opac.libnet.pref.okayama.jp/licsxp-opac/WOpacMsgNewListToTifTilDetailAction.do?tilcod=2002222324926")</f>
        <v>https://opac.libnet.pref.okayama.jp/licsxp-opac/WOpacMsgNewListToTifTilDetailAction.do?tilcod=2002222324926</v>
      </c>
    </row>
    <row r="4916" spans="1:9" x14ac:dyDescent="0.4">
      <c r="A4916" t="str">
        <f>"夢つうしん岡山かわら版"</f>
        <v>夢つうしん岡山かわら版</v>
      </c>
      <c r="B4916" s="1" t="str">
        <f t="shared" si="240"/>
        <v>夢つうしん岡山かわら版</v>
      </c>
      <c r="C4916" t="str">
        <f>"ユメ ツウシン オカヤマ カワラバン "</f>
        <v xml:space="preserve">ユメ ツウシン オカヤマ カワラバン </v>
      </c>
      <c r="D4916" t="str">
        <f>"バイオス(カサブランカ岡山支局)"</f>
        <v>バイオス(カサブランカ岡山支局)</v>
      </c>
      <c r="E4916" t="str">
        <f>"バイオス"</f>
        <v>バイオス</v>
      </c>
      <c r="F4916" t="str">
        <f>""</f>
        <v/>
      </c>
      <c r="G4916" t="str">
        <f>"月２回刊"</f>
        <v>月２回刊</v>
      </c>
      <c r="H4916" t="str">
        <f>"2002222332326"</f>
        <v>2002222332326</v>
      </c>
      <c r="I4916" t="str">
        <f>HYPERLINK("#", "https://opac.libnet.pref.okayama.jp/licsxp-opac/WOpacMsgNewListToTifTilDetailAction.do?tilcod=2002222332326")</f>
        <v>https://opac.libnet.pref.okayama.jp/licsxp-opac/WOpacMsgNewListToTifTilDetailAction.do?tilcod=2002222332326</v>
      </c>
    </row>
    <row r="4917" spans="1:9" x14ac:dyDescent="0.4">
      <c r="A4917" t="str">
        <f>"夢つうしん倉敷かわら版"</f>
        <v>夢つうしん倉敷かわら版</v>
      </c>
      <c r="B4917" s="1" t="str">
        <f t="shared" si="240"/>
        <v>夢つうしん倉敷かわら版</v>
      </c>
      <c r="C4917" t="str">
        <f>"ユメ ツウシン クラシキ カワラバン"</f>
        <v>ユメ ツウシン クラシキ カワラバン</v>
      </c>
      <c r="D4917" t="str">
        <f>"バイオス"</f>
        <v>バイオス</v>
      </c>
      <c r="E4917" t="str">
        <f>"バイオス"</f>
        <v>バイオス</v>
      </c>
      <c r="F4917" t="str">
        <f>"岡山"</f>
        <v>岡山</v>
      </c>
      <c r="G4917" t="str">
        <f>"月刊"</f>
        <v>月刊</v>
      </c>
      <c r="H4917" t="str">
        <f>"2002222340711"</f>
        <v>2002222340711</v>
      </c>
      <c r="I4917" t="str">
        <f>HYPERLINK("#", "https://opac.libnet.pref.okayama.jp/licsxp-opac/WOpacMsgNewListToTifTilDetailAction.do?tilcod=2002222340711")</f>
        <v>https://opac.libnet.pref.okayama.jp/licsxp-opac/WOpacMsgNewListToTifTilDetailAction.do?tilcod=2002222340711</v>
      </c>
    </row>
    <row r="4918" spans="1:9" x14ac:dyDescent="0.4">
      <c r="A4918" t="str">
        <f>"夢ひろば"</f>
        <v>夢ひろば</v>
      </c>
      <c r="B4918" s="1" t="str">
        <f t="shared" si="240"/>
        <v>夢ひろば</v>
      </c>
      <c r="C4918" t="str">
        <f>"ユメ　ヒロバ"</f>
        <v>ユメ　ヒロバ</v>
      </c>
      <c r="D4918" t="str">
        <f>"学びのひろば岡山事務局"</f>
        <v>学びのひろば岡山事務局</v>
      </c>
      <c r="E4918" t="str">
        <f>"マナビノ　ヒロバ　オカヤマ　ジムキョク"</f>
        <v>マナビノ　ヒロバ　オカヤマ　ジムキョク</v>
      </c>
      <c r="F4918" t="str">
        <f>""</f>
        <v/>
      </c>
      <c r="G4918" t="str">
        <f>"月刊"</f>
        <v>月刊</v>
      </c>
      <c r="H4918" t="str">
        <f>"2002222328230"</f>
        <v>2002222328230</v>
      </c>
      <c r="I4918" t="str">
        <f>HYPERLINK("#", "https://opac.libnet.pref.okayama.jp/licsxp-opac/WOpacMsgNewListToTifTilDetailAction.do?tilcod=2002222328230")</f>
        <v>https://opac.libnet.pref.okayama.jp/licsxp-opac/WOpacMsgNewListToTifTilDetailAction.do?tilcod=2002222328230</v>
      </c>
    </row>
    <row r="4919" spans="1:9" x14ac:dyDescent="0.4">
      <c r="A4919" t="str">
        <f>"夢づくりネット；岡山県コミュニティ広報誌"</f>
        <v>夢づくりネット；岡山県コミュニティ広報誌</v>
      </c>
      <c r="B4919" s="1" t="str">
        <f t="shared" si="240"/>
        <v>夢づくりネット；岡山県コミュニティ広報誌</v>
      </c>
      <c r="C4919" t="str">
        <f>"ユメヅクリ　ネット＊オカヤマケン　コミュニティ　コウホウシ"</f>
        <v>ユメヅクリ　ネット＊オカヤマケン　コミュニティ　コウホウシ</v>
      </c>
      <c r="D4919" t="str">
        <f>"岡山県県民生活部県民生活交通課"</f>
        <v>岡山県県民生活部県民生活交通課</v>
      </c>
      <c r="E4919" t="str">
        <f>"オカヤマケンケンミンセイカツブケンミンセイカツコウツウカ"</f>
        <v>オカヤマケンケンミンセイカツブケンミンセイカツコウツウカ</v>
      </c>
      <c r="F4919" t="str">
        <f t="shared" ref="F4919:F4924" si="241">"岡山"</f>
        <v>岡山</v>
      </c>
      <c r="G4919" t="str">
        <f>"頻度不明"</f>
        <v>頻度不明</v>
      </c>
      <c r="H4919" t="str">
        <f>"2002222302077"</f>
        <v>2002222302077</v>
      </c>
      <c r="I4919" t="str">
        <f>HYPERLINK("#", "https://opac.libnet.pref.okayama.jp/licsxp-opac/WOpacMsgNewListToTifTilDetailAction.do?tilcod=2002222302077")</f>
        <v>https://opac.libnet.pref.okayama.jp/licsxp-opac/WOpacMsgNewListToTifTilDetailAction.do?tilcod=2002222302077</v>
      </c>
    </row>
    <row r="4920" spans="1:9" x14ac:dyDescent="0.4">
      <c r="A4920" t="str">
        <f>"ゆめびぃ通信"</f>
        <v>ゆめびぃ通信</v>
      </c>
      <c r="B4920" s="1" t="str">
        <f t="shared" si="240"/>
        <v>ゆめびぃ通信</v>
      </c>
      <c r="C4920" t="str">
        <f>"ユメビィ　ツウシン"</f>
        <v>ユメビィ　ツウシン</v>
      </c>
      <c r="D4920" t="str">
        <f>"夢二郷土美術館"</f>
        <v>夢二郷土美術館</v>
      </c>
      <c r="E4920" t="str">
        <f>"ユメジ キョウド ビジュツカン"</f>
        <v>ユメジ キョウド ビジュツカン</v>
      </c>
      <c r="F4920" t="str">
        <f t="shared" si="241"/>
        <v>岡山</v>
      </c>
      <c r="G4920" t="str">
        <f>"頻度不明"</f>
        <v>頻度不明</v>
      </c>
      <c r="H4920" t="str">
        <f>"2002222329386"</f>
        <v>2002222329386</v>
      </c>
      <c r="I4920" t="str">
        <f>HYPERLINK("#", "https://opac.libnet.pref.okayama.jp/licsxp-opac/WOpacMsgNewListToTifTilDetailAction.do?tilcod=2002222329386")</f>
        <v>https://opac.libnet.pref.okayama.jp/licsxp-opac/WOpacMsgNewListToTifTilDetailAction.do?tilcod=2002222329386</v>
      </c>
    </row>
    <row r="4921" spans="1:9" x14ac:dyDescent="0.4">
      <c r="A4921" t="str">
        <f>"ゆめら"</f>
        <v>ゆめら</v>
      </c>
      <c r="B4921" s="1" t="str">
        <f t="shared" si="240"/>
        <v>ゆめら</v>
      </c>
      <c r="C4921" t="str">
        <f>"ユメラ"</f>
        <v>ユメラ</v>
      </c>
      <c r="D4921" t="str">
        <f>"岡山放送"</f>
        <v>岡山放送</v>
      </c>
      <c r="E4921" t="str">
        <f>"オカヤマホウソウ"</f>
        <v>オカヤマホウソウ</v>
      </c>
      <c r="F4921" t="str">
        <f t="shared" si="241"/>
        <v>岡山</v>
      </c>
      <c r="G4921" t="str">
        <f>"月刊"</f>
        <v>月刊</v>
      </c>
      <c r="H4921" t="str">
        <f>"2002222293351"</f>
        <v>2002222293351</v>
      </c>
      <c r="I4921" t="str">
        <f>HYPERLINK("#", "https://opac.libnet.pref.okayama.jp/licsxp-opac/WOpacMsgNewListToTifTilDetailAction.do?tilcod=2002222293351")</f>
        <v>https://opac.libnet.pref.okayama.jp/licsxp-opac/WOpacMsgNewListToTifTilDetailAction.do?tilcod=2002222293351</v>
      </c>
    </row>
    <row r="4922" spans="1:9" x14ac:dyDescent="0.4">
      <c r="A4922" t="str">
        <f>"洋学資料館　ＯＰＥＮ準備"</f>
        <v>洋学資料館　ＯＰＥＮ準備</v>
      </c>
      <c r="B4922" s="1" t="str">
        <f t="shared" si="240"/>
        <v>洋学資料館　ＯＰＥＮ準備</v>
      </c>
      <c r="C4922" t="str">
        <f>"ヨウガクシリョウカン　オープン　ジュンビ"</f>
        <v>ヨウガクシリョウカン　オープン　ジュンビ</v>
      </c>
      <c r="D4922" t="str">
        <f>"津山洋学資料館"</f>
        <v>津山洋学資料館</v>
      </c>
      <c r="E4922" t="str">
        <f>"ツヤマ ヨウガク シリョウカン"</f>
        <v>ツヤマ ヨウガク シリョウカン</v>
      </c>
      <c r="F4922" t="str">
        <f t="shared" si="241"/>
        <v>岡山</v>
      </c>
      <c r="G4922" t="str">
        <f>"季刊"</f>
        <v>季刊</v>
      </c>
      <c r="H4922" t="str">
        <f>"2002222302119"</f>
        <v>2002222302119</v>
      </c>
      <c r="I4922" t="str">
        <f>HYPERLINK("#", "https://opac.libnet.pref.okayama.jp/licsxp-opac/WOpacMsgNewListToTifTilDetailAction.do?tilcod=2002222302119")</f>
        <v>https://opac.libnet.pref.okayama.jp/licsxp-opac/WOpacMsgNewListToTifTilDetailAction.do?tilcod=2002222302119</v>
      </c>
    </row>
    <row r="4923" spans="1:9" x14ac:dyDescent="0.4">
      <c r="A4923" t="str">
        <f>"養鶏の岡山"</f>
        <v>養鶏の岡山</v>
      </c>
      <c r="B4923" s="1" t="str">
        <f t="shared" si="240"/>
        <v>養鶏の岡山</v>
      </c>
      <c r="C4923" t="str">
        <f>"ヨウケイ　ノ　オカヤマ"</f>
        <v>ヨウケイ　ノ　オカヤマ</v>
      </c>
      <c r="D4923" t="str">
        <f>"養鶏の岡山社"</f>
        <v>養鶏の岡山社</v>
      </c>
      <c r="E4923" t="str">
        <f>"ヨウケイノオカヤマシャ"</f>
        <v>ヨウケイノオカヤマシャ</v>
      </c>
      <c r="F4923" t="str">
        <f t="shared" si="241"/>
        <v>岡山</v>
      </c>
      <c r="G4923" t="str">
        <f>"旬刊"</f>
        <v>旬刊</v>
      </c>
      <c r="H4923" t="str">
        <f>"2002222300980"</f>
        <v>2002222300980</v>
      </c>
      <c r="I4923" t="str">
        <f>HYPERLINK("#", "https://opac.libnet.pref.okayama.jp/licsxp-opac/WOpacMsgNewListToTifTilDetailAction.do?tilcod=2002222300980")</f>
        <v>https://opac.libnet.pref.okayama.jp/licsxp-opac/WOpacMsgNewListToTifTilDetailAction.do?tilcod=2002222300980</v>
      </c>
    </row>
    <row r="4924" spans="1:9" x14ac:dyDescent="0.4">
      <c r="A4924" t="str">
        <f>"養護部会誌"</f>
        <v>養護部会誌</v>
      </c>
      <c r="B4924" s="1" t="str">
        <f t="shared" si="240"/>
        <v>養護部会誌</v>
      </c>
      <c r="C4924" t="str">
        <f>"ヨウゴ ブカイシ"</f>
        <v>ヨウゴ ブカイシ</v>
      </c>
      <c r="D4924" t="str">
        <f>"岡山県学校保健会養護教諭部会"</f>
        <v>岡山県学校保健会養護教諭部会</v>
      </c>
      <c r="E4924" t="str">
        <f>"オカヤマケン ガッコウ ホケンカイ ヨウゴ キョウユ ブカイ "</f>
        <v xml:space="preserve">オカヤマケン ガッコウ ホケンカイ ヨウゴ キョウユ ブカイ </v>
      </c>
      <c r="F4924" t="str">
        <f t="shared" si="241"/>
        <v>岡山</v>
      </c>
      <c r="G4924" t="str">
        <f>"その他"</f>
        <v>その他</v>
      </c>
      <c r="H4924" t="str">
        <f>"2002222312447"</f>
        <v>2002222312447</v>
      </c>
      <c r="I4924" t="str">
        <f>HYPERLINK("#", "https://opac.libnet.pref.okayama.jp/licsxp-opac/WOpacMsgNewListToTifTilDetailAction.do?tilcod=2002222312447")</f>
        <v>https://opac.libnet.pref.okayama.jp/licsxp-opac/WOpacMsgNewListToTifTilDetailAction.do?tilcod=2002222312447</v>
      </c>
    </row>
    <row r="4925" spans="1:9" x14ac:dyDescent="0.4">
      <c r="A4925" t="str">
        <f>"遙照文芸"</f>
        <v>遙照文芸</v>
      </c>
      <c r="B4925" s="1" t="str">
        <f t="shared" si="240"/>
        <v>遙照文芸</v>
      </c>
      <c r="C4925" t="str">
        <f>"ヨウショウ　ブンゲイ"</f>
        <v>ヨウショウ　ブンゲイ</v>
      </c>
      <c r="D4925" t="str">
        <f>"西山 五百枝"</f>
        <v>西山 五百枝</v>
      </c>
      <c r="E4925" t="str">
        <f>"ニシヤマ イホエ"</f>
        <v>ニシヤマ イホエ</v>
      </c>
      <c r="F4925" t="str">
        <f>"浅口郡鴨方町"</f>
        <v>浅口郡鴨方町</v>
      </c>
      <c r="G4925" t="str">
        <f>"頻度不明"</f>
        <v>頻度不明</v>
      </c>
      <c r="H4925" t="str">
        <f>"2002222282933"</f>
        <v>2002222282933</v>
      </c>
      <c r="I4925" t="str">
        <f>HYPERLINK("#", "https://opac.libnet.pref.okayama.jp/licsxp-opac/WOpacMsgNewListToTifTilDetailAction.do?tilcod=2002222282933")</f>
        <v>https://opac.libnet.pref.okayama.jp/licsxp-opac/WOpacMsgNewListToTifTilDetailAction.do?tilcod=2002222282933</v>
      </c>
    </row>
    <row r="4926" spans="1:9" x14ac:dyDescent="0.4">
      <c r="A4926" t="str">
        <f>"養和"</f>
        <v>養和</v>
      </c>
      <c r="B4926" s="1" t="str">
        <f t="shared" si="240"/>
        <v>養和</v>
      </c>
      <c r="C4926" t="str">
        <f>"ヨウワ"</f>
        <v>ヨウワ</v>
      </c>
      <c r="D4926" t="str">
        <f>"養和書道院"</f>
        <v>養和書道院</v>
      </c>
      <c r="E4926" t="str">
        <f>"ヨウワショドウイン"</f>
        <v>ヨウワショドウイン</v>
      </c>
      <c r="F4926" t="str">
        <f>""</f>
        <v/>
      </c>
      <c r="G4926" t="str">
        <f>"頻度不明"</f>
        <v>頻度不明</v>
      </c>
      <c r="H4926" t="str">
        <f>"2002222286703"</f>
        <v>2002222286703</v>
      </c>
      <c r="I4926" t="str">
        <f>HYPERLINK("#", "https://opac.libnet.pref.okayama.jp/licsxp-opac/WOpacMsgNewListToTifTilDetailAction.do?tilcod=2002222286703")</f>
        <v>https://opac.libnet.pref.okayama.jp/licsxp-opac/WOpacMsgNewListToTifTilDetailAction.do?tilcod=2002222286703</v>
      </c>
    </row>
    <row r="4927" spans="1:9" x14ac:dyDescent="0.4">
      <c r="A4927" t="str">
        <f>"ヨーロッパ言語文化研究"</f>
        <v>ヨーロッパ言語文化研究</v>
      </c>
      <c r="B4927" s="1" t="str">
        <f t="shared" si="240"/>
        <v>ヨーロッパ言語文化研究</v>
      </c>
      <c r="C4927" t="str">
        <f>"ヨーロッパ　ゲンゴ　ブンカ　ケンキュウ"</f>
        <v>ヨーロッパ　ゲンゴ　ブンカ　ケンキュウ</v>
      </c>
      <c r="D4927" t="str">
        <f>"岡山大学ヨーロッパ言語文化研究会"</f>
        <v>岡山大学ヨーロッパ言語文化研究会</v>
      </c>
      <c r="E4927" t="str">
        <f>"オカヤマダイガクヨーロッパゲンゴブンカケンキュウカイ"</f>
        <v>オカヤマダイガクヨーロッパゲンゴブンカケンキュウカイ</v>
      </c>
      <c r="F4927" t="str">
        <f>"岡山"</f>
        <v>岡山</v>
      </c>
      <c r="G4927" t="str">
        <f>"年刊"</f>
        <v>年刊</v>
      </c>
      <c r="H4927" t="str">
        <f>"2002222281214"</f>
        <v>2002222281214</v>
      </c>
      <c r="I4927" t="str">
        <f>HYPERLINK("#", "https://opac.libnet.pref.okayama.jp/licsxp-opac/WOpacMsgNewListToTifTilDetailAction.do?tilcod=2002222281214")</f>
        <v>https://opac.libnet.pref.okayama.jp/licsxp-opac/WOpacMsgNewListToTifTilDetailAction.do?tilcod=2002222281214</v>
      </c>
    </row>
    <row r="4928" spans="1:9" x14ac:dyDescent="0.4">
      <c r="A4928" t="str">
        <f>"吉井川下流改良区だより"</f>
        <v>吉井川下流改良区だより</v>
      </c>
      <c r="B4928" s="1" t="str">
        <f t="shared" si="240"/>
        <v>吉井川下流改良区だより</v>
      </c>
      <c r="C4928" t="str">
        <f>"ヨシイガワ カリュウ カイリョウクダヨリ"</f>
        <v>ヨシイガワ カリュウ カイリョウクダヨリ</v>
      </c>
      <c r="D4928" t="str">
        <f>"吉井川下流土地改良区"</f>
        <v>吉井川下流土地改良区</v>
      </c>
      <c r="E4928" t="str">
        <f>"ヨシイガワ カリュウ トチ カイリョウク"</f>
        <v>ヨシイガワ カリュウ トチ カイリョウク</v>
      </c>
      <c r="F4928" t="str">
        <f>"岡山"</f>
        <v>岡山</v>
      </c>
      <c r="G4928" t="str">
        <f>"頻度不明"</f>
        <v>頻度不明</v>
      </c>
      <c r="H4928" t="str">
        <f>"2002222327907"</f>
        <v>2002222327907</v>
      </c>
      <c r="I4928" t="str">
        <f>HYPERLINK("#", "https://opac.libnet.pref.okayama.jp/licsxp-opac/WOpacMsgNewListToTifTilDetailAction.do?tilcod=2002222327907")</f>
        <v>https://opac.libnet.pref.okayama.jp/licsxp-opac/WOpacMsgNewListToTifTilDetailAction.do?tilcod=2002222327907</v>
      </c>
    </row>
    <row r="4929" spans="1:9" x14ac:dyDescent="0.4">
      <c r="A4929" t="str">
        <f>"吉井町議会だより"</f>
        <v>吉井町議会だより</v>
      </c>
      <c r="B4929" s="1" t="str">
        <f t="shared" si="240"/>
        <v>吉井町議会だより</v>
      </c>
      <c r="C4929" t="str">
        <f>"ヨシイチョウ　ギカイ　ダヨリ"</f>
        <v>ヨシイチョウ　ギカイ　ダヨリ</v>
      </c>
      <c r="D4929" t="str">
        <f>"赤磐郡吉井町議会"</f>
        <v>赤磐郡吉井町議会</v>
      </c>
      <c r="E4929" t="str">
        <f>"アカイワグンヨシイチョウギカイ"</f>
        <v>アカイワグンヨシイチョウギカイ</v>
      </c>
      <c r="F4929" t="str">
        <f>"赤磐郡吉井町"</f>
        <v>赤磐郡吉井町</v>
      </c>
      <c r="G4929" t="str">
        <f>"頻度不明"</f>
        <v>頻度不明</v>
      </c>
      <c r="H4929" t="str">
        <f>"2002222281081"</f>
        <v>2002222281081</v>
      </c>
      <c r="I4929" t="str">
        <f>HYPERLINK("#", "https://opac.libnet.pref.okayama.jp/licsxp-opac/WOpacMsgNewListToTifTilDetailAction.do?tilcod=2002222281081")</f>
        <v>https://opac.libnet.pref.okayama.jp/licsxp-opac/WOpacMsgNewListToTifTilDetailAction.do?tilcod=2002222281081</v>
      </c>
    </row>
    <row r="4930" spans="1:9" x14ac:dyDescent="0.4">
      <c r="A4930" t="str">
        <f>"よしだ"</f>
        <v>よしだ</v>
      </c>
      <c r="B4930" s="1" t="str">
        <f t="shared" si="240"/>
        <v>よしだ</v>
      </c>
      <c r="C4930" t="str">
        <f>"ヨシダ"</f>
        <v>ヨシダ</v>
      </c>
      <c r="D4930" t="str">
        <f>"岡山市立芳田小学校"</f>
        <v>岡山市立芳田小学校</v>
      </c>
      <c r="E4930" t="str">
        <f>"オカヤマシリツ ヨシダ ショウガッコウ"</f>
        <v>オカヤマシリツ ヨシダ ショウガッコウ</v>
      </c>
      <c r="F4930" t="str">
        <f>"岡山"</f>
        <v>岡山</v>
      </c>
      <c r="G4930" t="str">
        <f>"頻度不明"</f>
        <v>頻度不明</v>
      </c>
      <c r="H4930" t="str">
        <f>"2002222338113"</f>
        <v>2002222338113</v>
      </c>
      <c r="I4930" t="str">
        <f>HYPERLINK("#", "https://opac.libnet.pref.okayama.jp/licsxp-opac/WOpacMsgNewListToTifTilDetailAction.do?tilcod=2002222338113")</f>
        <v>https://opac.libnet.pref.okayama.jp/licsxp-opac/WOpacMsgNewListToTifTilDetailAction.do?tilcod=2002222338113</v>
      </c>
    </row>
    <row r="4931" spans="1:9" x14ac:dyDescent="0.4">
      <c r="A4931" t="str">
        <f>"芳田公民館だより"</f>
        <v>芳田公民館だより</v>
      </c>
      <c r="B4931" s="1" t="str">
        <f t="shared" si="240"/>
        <v>芳田公民館だより</v>
      </c>
      <c r="C4931" t="str">
        <f>"ヨシダ コウミンカン ダヨリ"</f>
        <v>ヨシダ コウミンカン ダヨリ</v>
      </c>
      <c r="D4931" t="str">
        <f>"岡山市立芳田公民館"</f>
        <v>岡山市立芳田公民館</v>
      </c>
      <c r="E4931" t="str">
        <f>"オカヤマシリツ ヨシダ コウミンカン"</f>
        <v>オカヤマシリツ ヨシダ コウミンカン</v>
      </c>
      <c r="F4931" t="str">
        <f>"岡山"</f>
        <v>岡山</v>
      </c>
      <c r="G4931" t="str">
        <f>"隔月刊"</f>
        <v>隔月刊</v>
      </c>
      <c r="H4931" t="str">
        <f>"2002222341380"</f>
        <v>2002222341380</v>
      </c>
      <c r="I4931" t="str">
        <f>HYPERLINK("#", "https://opac.libnet.pref.okayama.jp/licsxp-opac/WOpacMsgNewListToTifTilDetailAction.do?tilcod=2002222341380")</f>
        <v>https://opac.libnet.pref.okayama.jp/licsxp-opac/WOpacMsgNewListToTifTilDetailAction.do?tilcod=2002222341380</v>
      </c>
    </row>
    <row r="4932" spans="1:9" x14ac:dyDescent="0.4">
      <c r="A4932" t="str">
        <f>"吉田政治経済研究所報"</f>
        <v>吉田政治経済研究所報</v>
      </c>
      <c r="B4932" s="1" t="str">
        <f t="shared" ref="B4932:B4995" si="242">HYPERLINK("#", A4932)</f>
        <v>吉田政治経済研究所報</v>
      </c>
      <c r="C4932" t="str">
        <f>"ヨシダ　セイジ　ケイザイ　ケンキュウ　ショホウ"</f>
        <v>ヨシダ　セイジ　ケイザイ　ケンキュウ　ショホウ</v>
      </c>
      <c r="D4932" t="str">
        <f>"吉田政治経済研究所"</f>
        <v>吉田政治経済研究所</v>
      </c>
      <c r="E4932" t="str">
        <f>"ヨシダセイジケイザイケンキュウジョ"</f>
        <v>ヨシダセイジケイザイケンキュウジョ</v>
      </c>
      <c r="F4932" t="str">
        <f>"岡山"</f>
        <v>岡山</v>
      </c>
      <c r="G4932" t="str">
        <f>"月刊"</f>
        <v>月刊</v>
      </c>
      <c r="H4932" t="str">
        <f>"2002222301348"</f>
        <v>2002222301348</v>
      </c>
      <c r="I4932" t="str">
        <f>HYPERLINK("#", "https://opac.libnet.pref.okayama.jp/licsxp-opac/WOpacMsgNewListToTifTilDetailAction.do?tilcod=2002222301348")</f>
        <v>https://opac.libnet.pref.okayama.jp/licsxp-opac/WOpacMsgNewListToTifTilDetailAction.do?tilcod=2002222301348</v>
      </c>
    </row>
    <row r="4933" spans="1:9" x14ac:dyDescent="0.4">
      <c r="A4933" t="str">
        <f>"よしだの子"</f>
        <v>よしだの子</v>
      </c>
      <c r="B4933" s="1" t="str">
        <f t="shared" si="242"/>
        <v>よしだの子</v>
      </c>
      <c r="C4933" t="str">
        <f>"ヨシダ　ノ　コ"</f>
        <v>ヨシダ　ノ　コ</v>
      </c>
      <c r="D4933" t="str">
        <f>"岡山市立芳田小学校"</f>
        <v>岡山市立芳田小学校</v>
      </c>
      <c r="E4933" t="str">
        <f>"オカヤマシリツ ヨシダ ショウガッコウ"</f>
        <v>オカヤマシリツ ヨシダ ショウガッコウ</v>
      </c>
      <c r="F4933" t="str">
        <f>"岡山"</f>
        <v>岡山</v>
      </c>
      <c r="G4933" t="str">
        <f>"頻度不明"</f>
        <v>頻度不明</v>
      </c>
      <c r="H4933" t="str">
        <f>"2002222281194"</f>
        <v>2002222281194</v>
      </c>
      <c r="I4933" t="str">
        <f>HYPERLINK("#", "https://opac.libnet.pref.okayama.jp/licsxp-opac/WOpacMsgNewListToTifTilDetailAction.do?tilcod=2002222281194")</f>
        <v>https://opac.libnet.pref.okayama.jp/licsxp-opac/WOpacMsgNewListToTifTilDetailAction.do?tilcod=2002222281194</v>
      </c>
    </row>
    <row r="4934" spans="1:9" x14ac:dyDescent="0.4">
      <c r="A4934" t="str">
        <f>"吉永青少協"</f>
        <v>吉永青少協</v>
      </c>
      <c r="B4934" s="1" t="str">
        <f t="shared" si="242"/>
        <v>吉永青少協</v>
      </c>
      <c r="C4934" t="str">
        <f>"ヨシナガ　セイショウキョウ"</f>
        <v>ヨシナガ　セイショウキョウ</v>
      </c>
      <c r="D4934" t="str">
        <f>"吉永町青少年問題協議会広報調査部会"</f>
        <v>吉永町青少年問題協議会広報調査部会</v>
      </c>
      <c r="E4934" t="str">
        <f>"ヨシナガチョウセイショウネンモンダイキョウギカイコウホウチョウサブカイブカイ"</f>
        <v>ヨシナガチョウセイショウネンモンダイキョウギカイコウホウチョウサブカイブカイ</v>
      </c>
      <c r="F4934" t="str">
        <f>"和気郡吉永町"</f>
        <v>和気郡吉永町</v>
      </c>
      <c r="G4934" t="str">
        <f>"頻度不明"</f>
        <v>頻度不明</v>
      </c>
      <c r="H4934" t="str">
        <f>"2002222281341"</f>
        <v>2002222281341</v>
      </c>
      <c r="I4934" t="str">
        <f>HYPERLINK("#", "https://opac.libnet.pref.okayama.jp/licsxp-opac/WOpacMsgNewListToTifTilDetailAction.do?tilcod=2002222281341")</f>
        <v>https://opac.libnet.pref.okayama.jp/licsxp-opac/WOpacMsgNewListToTifTilDetailAction.do?tilcod=2002222281341</v>
      </c>
    </row>
    <row r="4935" spans="1:9" x14ac:dyDescent="0.4">
      <c r="A4935" t="str">
        <f>"吉原校友会雑誌"</f>
        <v>吉原校友会雑誌</v>
      </c>
      <c r="B4935" s="1" t="str">
        <f t="shared" si="242"/>
        <v>吉原校友会雑誌</v>
      </c>
      <c r="C4935" t="str">
        <f>"ヨシハラ　コウユウカイ　ザッシ"</f>
        <v>ヨシハラ　コウユウカイ　ザッシ</v>
      </c>
      <c r="D4935" t="str">
        <f>"吉原校友会"</f>
        <v>吉原校友会</v>
      </c>
      <c r="E4935" t="str">
        <f>"ヨシハラコウユウカイ"</f>
        <v>ヨシハラコウユウカイ</v>
      </c>
      <c r="F4935" t="str">
        <f>""</f>
        <v/>
      </c>
      <c r="G4935" t="str">
        <f>"頻度不明"</f>
        <v>頻度不明</v>
      </c>
      <c r="H4935" t="str">
        <f>"2002222286713"</f>
        <v>2002222286713</v>
      </c>
      <c r="I4935" t="str">
        <f>HYPERLINK("#", "https://opac.libnet.pref.okayama.jp/licsxp-opac/WOpacMsgNewListToTifTilDetailAction.do?tilcod=2002222286713")</f>
        <v>https://opac.libnet.pref.okayama.jp/licsxp-opac/WOpacMsgNewListToTifTilDetailAction.do?tilcod=2002222286713</v>
      </c>
    </row>
    <row r="4936" spans="1:9" x14ac:dyDescent="0.4">
      <c r="A4936" t="str">
        <f>"夜盗虫"</f>
        <v>夜盗虫</v>
      </c>
      <c r="B4936" s="1" t="str">
        <f t="shared" si="242"/>
        <v>夜盗虫</v>
      </c>
      <c r="C4936" t="str">
        <f>"ヨトウムシ"</f>
        <v>ヨトウムシ</v>
      </c>
      <c r="D4936" t="str">
        <f>"田中保"</f>
        <v>田中保</v>
      </c>
      <c r="E4936" t="str">
        <f>"タナカタモツ"</f>
        <v>タナカタモツ</v>
      </c>
      <c r="F4936" t="str">
        <f>""</f>
        <v/>
      </c>
      <c r="G4936" t="str">
        <f>"頻度不明"</f>
        <v>頻度不明</v>
      </c>
      <c r="H4936" t="str">
        <f>"2002222286723"</f>
        <v>2002222286723</v>
      </c>
      <c r="I4936" t="str">
        <f>HYPERLINK("#", "https://opac.libnet.pref.okayama.jp/licsxp-opac/WOpacMsgNewListToTifTilDetailAction.do?tilcod=2002222286723")</f>
        <v>https://opac.libnet.pref.okayama.jp/licsxp-opac/WOpacMsgNewListToTifTilDetailAction.do?tilcod=2002222286723</v>
      </c>
    </row>
    <row r="4937" spans="1:9" x14ac:dyDescent="0.4">
      <c r="A4937" t="str">
        <f>"読売岡山ライフ"</f>
        <v>読売岡山ライフ</v>
      </c>
      <c r="B4937" s="1" t="str">
        <f t="shared" si="242"/>
        <v>読売岡山ライフ</v>
      </c>
      <c r="C4937" t="str">
        <f>"ヨミウリ　オカヤマ　ライフ"</f>
        <v>ヨミウリ　オカヤマ　ライフ</v>
      </c>
      <c r="D4937" t="str">
        <f>"読売新聞大阪本社販売局"</f>
        <v>読売新聞大阪本社販売局</v>
      </c>
      <c r="E4937" t="str">
        <f>"ヨミウリシンブンオオサカホンシャハンバイキョク"</f>
        <v>ヨミウリシンブンオオサカホンシャハンバイキョク</v>
      </c>
      <c r="F4937" t="str">
        <f>"大阪"</f>
        <v>大阪</v>
      </c>
      <c r="G4937" t="str">
        <f>"月刊"</f>
        <v>月刊</v>
      </c>
      <c r="H4937" t="str">
        <f>"2002222291691"</f>
        <v>2002222291691</v>
      </c>
      <c r="I4937" t="str">
        <f>HYPERLINK("#", "https://opac.libnet.pref.okayama.jp/licsxp-opac/WOpacMsgNewListToTifTilDetailAction.do?tilcod=2002222291691")</f>
        <v>https://opac.libnet.pref.okayama.jp/licsxp-opac/WOpacMsgNewListToTifTilDetailAction.do?tilcod=2002222291691</v>
      </c>
    </row>
    <row r="4938" spans="1:9" x14ac:dyDescent="0.4">
      <c r="A4938" t="str">
        <f>"読売Ｌｉｆｅ（ライフ）中国版"</f>
        <v>読売Ｌｉｆｅ（ライフ）中国版</v>
      </c>
      <c r="B4938" s="1" t="str">
        <f t="shared" si="242"/>
        <v>読売Ｌｉｆｅ（ライフ）中国版</v>
      </c>
      <c r="C4938" t="str">
        <f>"ヨミウリ　ライフ　チュウゴクバン"</f>
        <v>ヨミウリ　ライフ　チュウゴクバン</v>
      </c>
      <c r="D4938" t="str">
        <f>"読売ライフ"</f>
        <v>読売ライフ</v>
      </c>
      <c r="E4938" t="str">
        <f>"ヨミウリライフ"</f>
        <v>ヨミウリライフ</v>
      </c>
      <c r="F4938" t="str">
        <f>"大阪"</f>
        <v>大阪</v>
      </c>
      <c r="G4938" t="str">
        <f>"月刊"</f>
        <v>月刊</v>
      </c>
      <c r="H4938" t="str">
        <f>"2002222302104"</f>
        <v>2002222302104</v>
      </c>
      <c r="I4938" t="str">
        <f>HYPERLINK("#", "https://opac.libnet.pref.okayama.jp/licsxp-opac/WOpacMsgNewListToTifTilDetailAction.do?tilcod=2002222302104")</f>
        <v>https://opac.libnet.pref.okayama.jp/licsxp-opac/WOpacMsgNewListToTifTilDetailAction.do?tilcod=2002222302104</v>
      </c>
    </row>
    <row r="4939" spans="1:9" x14ac:dyDescent="0.4">
      <c r="A4939" t="str">
        <f>"読物調査書"</f>
        <v>読物調査書</v>
      </c>
      <c r="B4939" s="1" t="str">
        <f t="shared" si="242"/>
        <v>読物調査書</v>
      </c>
      <c r="C4939" t="str">
        <f>"ヨミモノ　チョウサショ"</f>
        <v>ヨミモノ　チョウサショ</v>
      </c>
      <c r="D4939" t="str">
        <f>"岡山図書館"</f>
        <v>岡山図書館</v>
      </c>
      <c r="E4939" t="str">
        <f>"オカヤマトショカン"</f>
        <v>オカヤマトショカン</v>
      </c>
      <c r="F4939" t="str">
        <f>"岡山"</f>
        <v>岡山</v>
      </c>
      <c r="G4939" t="str">
        <f>"頻度不明"</f>
        <v>頻度不明</v>
      </c>
      <c r="H4939" t="str">
        <f>"2002222286733"</f>
        <v>2002222286733</v>
      </c>
      <c r="I4939" t="str">
        <f>HYPERLINK("#", "https://opac.libnet.pref.okayama.jp/licsxp-opac/WOpacMsgNewListToTifTilDetailAction.do?tilcod=2002222286733")</f>
        <v>https://opac.libnet.pref.okayama.jp/licsxp-opac/WOpacMsgNewListToTifTilDetailAction.do?tilcod=2002222286733</v>
      </c>
    </row>
    <row r="4940" spans="1:9" x14ac:dyDescent="0.4">
      <c r="A4940" t="str">
        <f>"YORU-COM"</f>
        <v>YORU-COM</v>
      </c>
      <c r="B4940" s="1" t="str">
        <f t="shared" si="242"/>
        <v>YORU-COM</v>
      </c>
      <c r="C4940" t="str">
        <f>"ヨル コム"</f>
        <v>ヨル コム</v>
      </c>
      <c r="D4940" t="str">
        <f>"CLOUD incorporated"</f>
        <v>CLOUD incorporated</v>
      </c>
      <c r="E4940" t="str">
        <f>"クラウド インコーポレーテッド"</f>
        <v>クラウド インコーポレーテッド</v>
      </c>
      <c r="F4940" t="str">
        <f>""</f>
        <v/>
      </c>
      <c r="G4940" t="str">
        <f>"月刊"</f>
        <v>月刊</v>
      </c>
      <c r="H4940" t="str">
        <f>"2002222334754"</f>
        <v>2002222334754</v>
      </c>
      <c r="I4940" t="str">
        <f>HYPERLINK("#", "https://opac.libnet.pref.okayama.jp/licsxp-opac/WOpacMsgNewListToTifTilDetailAction.do?tilcod=2002222334754")</f>
        <v>https://opac.libnet.pref.okayama.jp/licsxp-opac/WOpacMsgNewListToTifTilDetailAction.do?tilcod=2002222334754</v>
      </c>
    </row>
    <row r="4941" spans="1:9" x14ac:dyDescent="0.4">
      <c r="A4941" t="str">
        <f>"よろこび"</f>
        <v>よろこび</v>
      </c>
      <c r="B4941" s="1" t="str">
        <f t="shared" si="242"/>
        <v>よろこび</v>
      </c>
      <c r="C4941" t="str">
        <f>"ヨロコビ"</f>
        <v>ヨロコビ</v>
      </c>
      <c r="D4941" t="str">
        <f>"国民厚生協会"</f>
        <v>国民厚生協会</v>
      </c>
      <c r="E4941" t="str">
        <f>"コクミン コウセイ キョウカイ"</f>
        <v>コクミン コウセイ キョウカイ</v>
      </c>
      <c r="F4941" t="str">
        <f>"岡山"</f>
        <v>岡山</v>
      </c>
      <c r="G4941" t="str">
        <f>"月刊"</f>
        <v>月刊</v>
      </c>
      <c r="H4941" t="str">
        <f>"2002222319619"</f>
        <v>2002222319619</v>
      </c>
      <c r="I4941" t="str">
        <f>HYPERLINK("#", "https://opac.libnet.pref.okayama.jp/licsxp-opac/WOpacMsgNewListToTifTilDetailAction.do?tilcod=2002222319619")</f>
        <v>https://opac.libnet.pref.okayama.jp/licsxp-opac/WOpacMsgNewListToTifTilDetailAction.do?tilcod=2002222319619</v>
      </c>
    </row>
    <row r="4942" spans="1:9" x14ac:dyDescent="0.4">
      <c r="A4942" t="str">
        <f>"よろこび"</f>
        <v>よろこび</v>
      </c>
      <c r="B4942" s="1" t="str">
        <f t="shared" si="242"/>
        <v>よろこび</v>
      </c>
      <c r="C4942" t="str">
        <f>"ヨロコビ"</f>
        <v>ヨロコビ</v>
      </c>
      <c r="D4942" t="str">
        <f>"岡山県友愛会"</f>
        <v>岡山県友愛会</v>
      </c>
      <c r="E4942" t="str">
        <f>"オカヤマケンユウアイカイ"</f>
        <v>オカヤマケンユウアイカイ</v>
      </c>
      <c r="F4942" t="str">
        <f>"岡山"</f>
        <v>岡山</v>
      </c>
      <c r="G4942" t="str">
        <f>"月刊"</f>
        <v>月刊</v>
      </c>
      <c r="H4942" t="str">
        <f>"2002222300981"</f>
        <v>2002222300981</v>
      </c>
      <c r="I4942" t="str">
        <f>HYPERLINK("#", "https://opac.libnet.pref.okayama.jp/licsxp-opac/WOpacMsgNewListToTifTilDetailAction.do?tilcod=2002222300981")</f>
        <v>https://opac.libnet.pref.okayama.jp/licsxp-opac/WOpacMsgNewListToTifTilDetailAction.do?tilcod=2002222300981</v>
      </c>
    </row>
    <row r="4943" spans="1:9" x14ac:dyDescent="0.4">
      <c r="A4943" t="str">
        <f>"輿論岡山"</f>
        <v>輿論岡山</v>
      </c>
      <c r="B4943" s="1" t="str">
        <f t="shared" si="242"/>
        <v>輿論岡山</v>
      </c>
      <c r="C4943" t="str">
        <f>"ヨロン　オカヤマ"</f>
        <v>ヨロン　オカヤマ</v>
      </c>
      <c r="D4943" t="str">
        <f>"輿論岡山社"</f>
        <v>輿論岡山社</v>
      </c>
      <c r="E4943" t="str">
        <f>"ヨロンオカヤマシャ"</f>
        <v>ヨロンオカヤマシャ</v>
      </c>
      <c r="F4943" t="str">
        <f>""</f>
        <v/>
      </c>
      <c r="G4943" t="str">
        <f>"月刊"</f>
        <v>月刊</v>
      </c>
      <c r="H4943" t="str">
        <f>"2002222286743"</f>
        <v>2002222286743</v>
      </c>
      <c r="I4943" t="str">
        <f>HYPERLINK("#", "https://opac.libnet.pref.okayama.jp/licsxp-opac/WOpacMsgNewListToTifTilDetailAction.do?tilcod=2002222286743")</f>
        <v>https://opac.libnet.pref.okayama.jp/licsxp-opac/WOpacMsgNewListToTifTilDetailAction.do?tilcod=2002222286743</v>
      </c>
    </row>
    <row r="4944" spans="1:9" x14ac:dyDescent="0.4">
      <c r="A4944" t="str">
        <f>"世論タイムス"</f>
        <v>世論タイムス</v>
      </c>
      <c r="B4944" s="1" t="str">
        <f t="shared" si="242"/>
        <v>世論タイムス</v>
      </c>
      <c r="C4944" t="str">
        <f>"ヨロン　タイムス"</f>
        <v>ヨロン　タイムス</v>
      </c>
      <c r="D4944" t="str">
        <f>"世論タイムス社"</f>
        <v>世論タイムス社</v>
      </c>
      <c r="E4944" t="str">
        <f>"ヨロンタイムスシャ"</f>
        <v>ヨロンタイムスシャ</v>
      </c>
      <c r="F4944" t="str">
        <f>"岡山"</f>
        <v>岡山</v>
      </c>
      <c r="G4944" t="str">
        <f>"旬刊"</f>
        <v>旬刊</v>
      </c>
      <c r="H4944" t="str">
        <f>"2002222300998"</f>
        <v>2002222300998</v>
      </c>
      <c r="I4944" t="str">
        <f>HYPERLINK("#", "https://opac.libnet.pref.okayama.jp/licsxp-opac/WOpacMsgNewListToTifTilDetailAction.do?tilcod=2002222300998")</f>
        <v>https://opac.libnet.pref.okayama.jp/licsxp-opac/WOpacMsgNewListToTifTilDetailAction.do?tilcod=2002222300998</v>
      </c>
    </row>
    <row r="4945" spans="1:9" x14ac:dyDescent="0.4">
      <c r="A4945" t="str">
        <f>"輿論中国"</f>
        <v>輿論中国</v>
      </c>
      <c r="B4945" s="1" t="str">
        <f t="shared" si="242"/>
        <v>輿論中国</v>
      </c>
      <c r="C4945" t="str">
        <f>"ヨロン　チュウゴク"</f>
        <v>ヨロン　チュウゴク</v>
      </c>
      <c r="D4945" t="str">
        <f>"[輿論中国社]"</f>
        <v>[輿論中国社]</v>
      </c>
      <c r="E4945" t="str">
        <f>"ヨロンチュウゴクシャ"</f>
        <v>ヨロンチュウゴクシャ</v>
      </c>
      <c r="F4945" t="str">
        <f>"岡山"</f>
        <v>岡山</v>
      </c>
      <c r="G4945" t="str">
        <f>"月刊"</f>
        <v>月刊</v>
      </c>
      <c r="H4945" t="str">
        <f>"2002222294611"</f>
        <v>2002222294611</v>
      </c>
      <c r="I4945" t="str">
        <f>HYPERLINK("#", "https://opac.libnet.pref.okayama.jp/licsxp-opac/WOpacMsgNewListToTifTilDetailAction.do?tilcod=2002222294611")</f>
        <v>https://opac.libnet.pref.okayama.jp/licsxp-opac/WOpacMsgNewListToTifTilDetailAction.do?tilcod=2002222294611</v>
      </c>
    </row>
    <row r="4946" spans="1:9" x14ac:dyDescent="0.4">
      <c r="A4946" t="str">
        <f>"４５いっちょ・・・がんばるか！；高年齢者（４５歳以上の方の）求人情報"</f>
        <v>４５いっちょ・・・がんばるか！；高年齢者（４５歳以上の方の）求人情報</v>
      </c>
      <c r="B4946" s="1" t="str">
        <f t="shared" si="242"/>
        <v>４５いっちょ・・・がんばるか！；高年齢者（４５歳以上の方の）求人情報</v>
      </c>
      <c r="C4946" t="str">
        <f>"ヨンジュウゴ　イッチョ　ガンバルカ＊コウネンレイシャ　ヨンジュウゴサイ　イジョウ　ノ　カタ　ノ　キュウジン　ジョウホウ"</f>
        <v>ヨンジュウゴ　イッチョ　ガンバルカ＊コウネンレイシャ　ヨンジュウゴサイ　イジョウ　ノ　カタ　ノ　キュウジン　ジョウホウ</v>
      </c>
      <c r="D4946" t="str">
        <f>"ハローワーク岡山"</f>
        <v>ハローワーク岡山</v>
      </c>
      <c r="E4946" t="str">
        <f>"ハローワークオカヤマ"</f>
        <v>ハローワークオカヤマ</v>
      </c>
      <c r="F4946" t="str">
        <f>"岡山"</f>
        <v>岡山</v>
      </c>
      <c r="G4946" t="str">
        <f>"月刊"</f>
        <v>月刊</v>
      </c>
      <c r="H4946" t="str">
        <f>"2002222282371"</f>
        <v>2002222282371</v>
      </c>
      <c r="I4946" t="str">
        <f>HYPERLINK("#", "https://opac.libnet.pref.okayama.jp/licsxp-opac/WOpacMsgNewListToTifTilDetailAction.do?tilcod=2002222282371")</f>
        <v>https://opac.libnet.pref.okayama.jp/licsxp-opac/WOpacMsgNewListToTifTilDetailAction.do?tilcod=2002222282371</v>
      </c>
    </row>
    <row r="4947" spans="1:9" x14ac:dyDescent="0.4">
      <c r="A4947" t="str">
        <f>"ラ・シャンブル"</f>
        <v>ラ・シャンブル</v>
      </c>
      <c r="B4947" s="1" t="str">
        <f t="shared" si="242"/>
        <v>ラ・シャンブル</v>
      </c>
      <c r="C4947" t="str">
        <f>"ラ　シャンブル"</f>
        <v>ラ　シャンブル</v>
      </c>
      <c r="D4947" t="str">
        <f>"岡山商工会議所"</f>
        <v>岡山商工会議所</v>
      </c>
      <c r="E4947" t="str">
        <f>"オカヤマショウコウカイギショ"</f>
        <v>オカヤマショウコウカイギショ</v>
      </c>
      <c r="F4947" t="str">
        <f>"岡山"</f>
        <v>岡山</v>
      </c>
      <c r="G4947" t="str">
        <f>"頻度不明"</f>
        <v>頻度不明</v>
      </c>
      <c r="H4947" t="str">
        <f>"2002222286783"</f>
        <v>2002222286783</v>
      </c>
      <c r="I4947" t="str">
        <f>HYPERLINK("#", "https://opac.libnet.pref.okayama.jp/licsxp-opac/WOpacMsgNewListToTifTilDetailAction.do?tilcod=2002222286783")</f>
        <v>https://opac.libnet.pref.okayama.jp/licsxp-opac/WOpacMsgNewListToTifTilDetailAction.do?tilcod=2002222286783</v>
      </c>
    </row>
    <row r="4948" spans="1:9" x14ac:dyDescent="0.4">
      <c r="A4948" t="str">
        <f>"ラ・マリエ；タウン情報おかやま臨時増刊"</f>
        <v>ラ・マリエ；タウン情報おかやま臨時増刊</v>
      </c>
      <c r="B4948" s="1" t="str">
        <f t="shared" si="242"/>
        <v>ラ・マリエ；タウン情報おかやま臨時増刊</v>
      </c>
      <c r="C4948" t="str">
        <f>"ラ　マリエ＊タウン　ジョウホウ　オカヤマ　リンジ　ゾウカン"</f>
        <v>ラ　マリエ＊タウン　ジョウホウ　オカヤマ　リンジ　ゾウカン</v>
      </c>
      <c r="D4948" t="str">
        <f>"アス"</f>
        <v>アス</v>
      </c>
      <c r="E4948" t="str">
        <f>"アス"</f>
        <v>アス</v>
      </c>
      <c r="F4948" t="str">
        <f>"岡山"</f>
        <v>岡山</v>
      </c>
      <c r="G4948" t="str">
        <f>"年２回刊"</f>
        <v>年２回刊</v>
      </c>
      <c r="H4948" t="str">
        <f>"2002222281174"</f>
        <v>2002222281174</v>
      </c>
      <c r="I4948" t="str">
        <f>HYPERLINK("#", "https://opac.libnet.pref.okayama.jp/licsxp-opac/WOpacMsgNewListToTifTilDetailAction.do?tilcod=2002222281174")</f>
        <v>https://opac.libnet.pref.okayama.jp/licsxp-opac/WOpacMsgNewListToTifTilDetailAction.do?tilcod=2002222281174</v>
      </c>
    </row>
    <row r="4949" spans="1:9" x14ac:dyDescent="0.4">
      <c r="A4949" t="str">
        <f>"Ｌｉｏｎ（ライオン）"</f>
        <v>Ｌｉｏｎ（ライオン）</v>
      </c>
      <c r="B4949" s="1" t="str">
        <f t="shared" si="242"/>
        <v>Ｌｉｏｎ（ライオン）</v>
      </c>
      <c r="C4949" t="str">
        <f>"ライオン"</f>
        <v>ライオン</v>
      </c>
      <c r="D4949" t="str">
        <f>"ライオンズクラブ国際協会３０２Ｗ-２地区キャビネット事務局"</f>
        <v>ライオンズクラブ国際協会３０２Ｗ-２地区キャビネット事務局</v>
      </c>
      <c r="E4949" t="str">
        <f>"ライオンズクラブコクサイキョウカイサンビャクニダブリューニチクキャビネットジムキョク"</f>
        <v>ライオンズクラブコクサイキョウカイサンビャクニダブリューニチクキャビネットジムキョク</v>
      </c>
      <c r="F4949" t="str">
        <f>"倉敷"</f>
        <v>倉敷</v>
      </c>
      <c r="G4949" t="str">
        <f>"月刊"</f>
        <v>月刊</v>
      </c>
      <c r="H4949" t="str">
        <f>"2002222300772"</f>
        <v>2002222300772</v>
      </c>
      <c r="I4949" t="str">
        <f>HYPERLINK("#", "https://opac.libnet.pref.okayama.jp/licsxp-opac/WOpacMsgNewListToTifTilDetailAction.do?tilcod=2002222300772")</f>
        <v>https://opac.libnet.pref.okayama.jp/licsxp-opac/WOpacMsgNewListToTifTilDetailAction.do?tilcod=2002222300772</v>
      </c>
    </row>
    <row r="4950" spans="1:9" x14ac:dyDescent="0.4">
      <c r="A4950" t="str">
        <f>"Lion"</f>
        <v>Lion</v>
      </c>
      <c r="B4950" s="1" t="str">
        <f t="shared" si="242"/>
        <v>Lion</v>
      </c>
      <c r="C4950" t="str">
        <f>"ライオン"</f>
        <v>ライオン</v>
      </c>
      <c r="D4950" t="str">
        <f>"ライオンズクラブ国際協会336-B地区キャビネット事務局"</f>
        <v>ライオンズクラブ国際協会336-B地区キャビネット事務局</v>
      </c>
      <c r="E4950" t="str">
        <f>"ライオンズ クラブ コクサイ キョウカイ サンビャクサンジュウロク ビー チク キャビネット ジムキョク"</f>
        <v>ライオンズ クラブ コクサイ キョウカイ サンビャクサンジュウロク ビー チク キャビネット ジムキョク</v>
      </c>
      <c r="F4950" t="str">
        <f>"岡山"</f>
        <v>岡山</v>
      </c>
      <c r="G4950" t="str">
        <f>"隔月刊"</f>
        <v>隔月刊</v>
      </c>
      <c r="H4950" t="str">
        <f>"2002222329887"</f>
        <v>2002222329887</v>
      </c>
      <c r="I4950" t="str">
        <f>HYPERLINK("#", "https://opac.libnet.pref.okayama.jp/licsxp-opac/WOpacMsgNewListToTifTilDetailAction.do?tilcod=2002222329887")</f>
        <v>https://opac.libnet.pref.okayama.jp/licsxp-opac/WOpacMsgNewListToTifTilDetailAction.do?tilcod=2002222329887</v>
      </c>
    </row>
    <row r="4951" spans="1:9" x14ac:dyDescent="0.4">
      <c r="A4951" t="str">
        <f>"らいふ君"</f>
        <v>らいふ君</v>
      </c>
      <c r="B4951" s="1" t="str">
        <f t="shared" si="242"/>
        <v>らいふ君</v>
      </c>
      <c r="C4951" t="str">
        <f>"ライフ　クン"</f>
        <v>ライフ　クン</v>
      </c>
      <c r="D4951" t="str">
        <f>"久世町生涯学習推進会議"</f>
        <v>久世町生涯学習推進会議</v>
      </c>
      <c r="E4951" t="str">
        <f>"クセチョウショウガイガクシュウスイシンカイギ"</f>
        <v>クセチョウショウガイガクシュウスイシンカイギ</v>
      </c>
      <c r="F4951" t="str">
        <f>"久世町（真庭郡）"</f>
        <v>久世町（真庭郡）</v>
      </c>
      <c r="G4951" t="str">
        <f>"頻度不明"</f>
        <v>頻度不明</v>
      </c>
      <c r="H4951" t="str">
        <f>"2002222282881"</f>
        <v>2002222282881</v>
      </c>
      <c r="I4951" t="str">
        <f>HYPERLINK("#", "https://opac.libnet.pref.okayama.jp/licsxp-opac/WOpacMsgNewListToTifTilDetailAction.do?tilcod=2002222282881")</f>
        <v>https://opac.libnet.pref.okayama.jp/licsxp-opac/WOpacMsgNewListToTifTilDetailAction.do?tilcod=2002222282881</v>
      </c>
    </row>
    <row r="4952" spans="1:9" x14ac:dyDescent="0.4">
      <c r="A4952" t="str">
        <f>"ライフサポートニュースレター"</f>
        <v>ライフサポートニュースレター</v>
      </c>
      <c r="B4952" s="1" t="str">
        <f t="shared" si="242"/>
        <v>ライフサポートニュースレター</v>
      </c>
      <c r="C4952" t="str">
        <f>"ライフ　サポート　ニュース　レター"</f>
        <v>ライフ　サポート　ニュース　レター</v>
      </c>
      <c r="D4952" t="str">
        <f>"ライフサポート"</f>
        <v>ライフサポート</v>
      </c>
      <c r="E4952" t="str">
        <f>"ライフサポート"</f>
        <v>ライフサポート</v>
      </c>
      <c r="F4952" t="str">
        <f>"岡山"</f>
        <v>岡山</v>
      </c>
      <c r="G4952" t="str">
        <f>"月刊"</f>
        <v>月刊</v>
      </c>
      <c r="H4952" t="str">
        <f>"2002222301431"</f>
        <v>2002222301431</v>
      </c>
      <c r="I4952" t="str">
        <f>HYPERLINK("#", "https://opac.libnet.pref.okayama.jp/licsxp-opac/WOpacMsgNewListToTifTilDetailAction.do?tilcod=2002222301431")</f>
        <v>https://opac.libnet.pref.okayama.jp/licsxp-opac/WOpacMsgNewListToTifTilDetailAction.do?tilcod=2002222301431</v>
      </c>
    </row>
    <row r="4953" spans="1:9" x14ac:dyDescent="0.4">
      <c r="A4953" t="str">
        <f>"LIFE DESIGN"</f>
        <v>LIFE DESIGN</v>
      </c>
      <c r="B4953" s="1" t="str">
        <f t="shared" si="242"/>
        <v>LIFE DESIGN</v>
      </c>
      <c r="C4953" t="str">
        <f>"ライフ デザイン"</f>
        <v>ライフ デザイン</v>
      </c>
      <c r="D4953" t="str">
        <f>"イールドインテリアプロダクツ"</f>
        <v>イールドインテリアプロダクツ</v>
      </c>
      <c r="E4953" t="str">
        <f>"イールド インテリア プロダクツ"</f>
        <v>イールド インテリア プロダクツ</v>
      </c>
      <c r="F4953" t="str">
        <f>"岡山"</f>
        <v>岡山</v>
      </c>
      <c r="G4953" t="str">
        <f>"不定期刊"</f>
        <v>不定期刊</v>
      </c>
      <c r="H4953" t="str">
        <f>"2002222316526"</f>
        <v>2002222316526</v>
      </c>
      <c r="I4953" t="str">
        <f>HYPERLINK("#", "https://opac.libnet.pref.okayama.jp/licsxp-opac/WOpacMsgNewListToTifTilDetailAction.do?tilcod=2002222316526")</f>
        <v>https://opac.libnet.pref.okayama.jp/licsxp-opac/WOpacMsgNewListToTifTilDetailAction.do?tilcod=2002222316526</v>
      </c>
    </row>
    <row r="4954" spans="1:9" x14ac:dyDescent="0.4">
      <c r="A4954" t="str">
        <f>"Life Park EyE (ライフパークアイ) ; ライフパーク倉敷情報誌"</f>
        <v>Life Park EyE (ライフパークアイ) ; ライフパーク倉敷情報誌</v>
      </c>
      <c r="B4954" s="1" t="str">
        <f t="shared" si="242"/>
        <v>Life Park EyE (ライフパークアイ) ; ライフパーク倉敷情報誌</v>
      </c>
      <c r="C4954" t="str">
        <f>"ライフ パーク アイ ライフ パーク クラシキ ジョウホウシ"</f>
        <v>ライフ パーク アイ ライフ パーク クラシキ ジョウホウシ</v>
      </c>
      <c r="D4954" t="str">
        <f>"ライフパーク倉敷"</f>
        <v>ライフパーク倉敷</v>
      </c>
      <c r="E4954" t="str">
        <f>"ライフ パーク クラシキ"</f>
        <v>ライフ パーク クラシキ</v>
      </c>
      <c r="F4954" t="str">
        <f>"倉敷"</f>
        <v>倉敷</v>
      </c>
      <c r="G4954" t="str">
        <f>"季刊"</f>
        <v>季刊</v>
      </c>
      <c r="H4954" t="str">
        <f>"2002222309991"</f>
        <v>2002222309991</v>
      </c>
      <c r="I4954" t="str">
        <f>HYPERLINK("#", "https://opac.libnet.pref.okayama.jp/licsxp-opac/WOpacMsgNewListToTifTilDetailAction.do?tilcod=2002222309991")</f>
        <v>https://opac.libnet.pref.okayama.jp/licsxp-opac/WOpacMsgNewListToTifTilDetailAction.do?tilcod=2002222309991</v>
      </c>
    </row>
    <row r="4955" spans="1:9" x14ac:dyDescent="0.4">
      <c r="A4955" t="str">
        <f>"Life Plan"</f>
        <v>Life Plan</v>
      </c>
      <c r="B4955" s="1" t="str">
        <f t="shared" si="242"/>
        <v>Life Plan</v>
      </c>
      <c r="C4955" t="str">
        <f>"ライフ プラン"</f>
        <v>ライフ プラン</v>
      </c>
      <c r="D4955" t="str">
        <f>"スクエア"</f>
        <v>スクエア</v>
      </c>
      <c r="E4955" t="str">
        <f>"スクエア"</f>
        <v>スクエア</v>
      </c>
      <c r="F4955" t="str">
        <f>"岡山"</f>
        <v>岡山</v>
      </c>
      <c r="G4955" t="str">
        <f>"頻度不明"</f>
        <v>頻度不明</v>
      </c>
      <c r="H4955" t="str">
        <f>"2002222321506"</f>
        <v>2002222321506</v>
      </c>
      <c r="I4955" t="str">
        <f>HYPERLINK("#", "https://opac.libnet.pref.okayama.jp/licsxp-opac/WOpacMsgNewListToTifTilDetailAction.do?tilcod=2002222321506")</f>
        <v>https://opac.libnet.pref.okayama.jp/licsxp-opac/WOpacMsgNewListToTifTilDetailAction.do?tilcod=2002222321506</v>
      </c>
    </row>
    <row r="4956" spans="1:9" x14ac:dyDescent="0.4">
      <c r="A4956" t="str">
        <f>"ＬＩＦＥ　ＷＯＲＫ"</f>
        <v>ＬＩＦＥ　ＷＯＲＫ</v>
      </c>
      <c r="B4956" s="1" t="str">
        <f t="shared" si="242"/>
        <v>ＬＩＦＥ　ＷＯＲＫ</v>
      </c>
      <c r="C4956" t="str">
        <f>"ライフ　ワーク"</f>
        <v>ライフ　ワーク</v>
      </c>
      <c r="D4956" t="str">
        <f>"松本伸夫"</f>
        <v>松本伸夫</v>
      </c>
      <c r="E4956" t="str">
        <f>"マツモトノブオ"</f>
        <v>マツモトノブオ</v>
      </c>
      <c r="F4956" t="str">
        <f>""</f>
        <v/>
      </c>
      <c r="G4956" t="str">
        <f>"頻度不明"</f>
        <v>頻度不明</v>
      </c>
      <c r="H4956" t="str">
        <f>"2002222286763"</f>
        <v>2002222286763</v>
      </c>
      <c r="I4956" t="str">
        <f>HYPERLINK("#", "https://opac.libnet.pref.okayama.jp/licsxp-opac/WOpacMsgNewListToTifTilDetailAction.do?tilcod=2002222286763")</f>
        <v>https://opac.libnet.pref.okayama.jp/licsxp-opac/WOpacMsgNewListToTifTilDetailAction.do?tilcod=2002222286763</v>
      </c>
    </row>
    <row r="4957" spans="1:9" x14ac:dyDescent="0.4">
      <c r="A4957" t="str">
        <f>"ライフパーク倉敷図書室文集"</f>
        <v>ライフパーク倉敷図書室文集</v>
      </c>
      <c r="B4957" s="1" t="str">
        <f t="shared" si="242"/>
        <v>ライフパーク倉敷図書室文集</v>
      </c>
      <c r="C4957" t="str">
        <f>"ライフパーク　クラシキ　トショシツ　ブンシュウ"</f>
        <v>ライフパーク　クラシキ　トショシツ　ブンシュウ</v>
      </c>
      <c r="D4957" t="str">
        <f>"ライフパーク倉敷図書室"</f>
        <v>ライフパーク倉敷図書室</v>
      </c>
      <c r="E4957" t="str">
        <f>"ライフパーククラシキトショシツ"</f>
        <v>ライフパーククラシキトショシツ</v>
      </c>
      <c r="F4957" t="str">
        <f>"倉敷"</f>
        <v>倉敷</v>
      </c>
      <c r="G4957" t="str">
        <f>"頻度不明"</f>
        <v>頻度不明</v>
      </c>
      <c r="H4957" t="str">
        <f>"2002222282973"</f>
        <v>2002222282973</v>
      </c>
      <c r="I4957" t="str">
        <f>HYPERLINK("#", "https://opac.libnet.pref.okayama.jp/licsxp-opac/WOpacMsgNewListToTifTilDetailAction.do?tilcod=2002222282973")</f>
        <v>https://opac.libnet.pref.okayama.jp/licsxp-opac/WOpacMsgNewListToTifTilDetailAction.do?tilcod=2002222282973</v>
      </c>
    </row>
    <row r="4958" spans="1:9" x14ac:dyDescent="0.4">
      <c r="A4958" t="str">
        <f>"ラウンド・テーブル"</f>
        <v>ラウンド・テーブル</v>
      </c>
      <c r="B4958" s="1" t="str">
        <f t="shared" si="242"/>
        <v>ラウンド・テーブル</v>
      </c>
      <c r="C4958" t="str">
        <f>"ラウンド　テーブル"</f>
        <v>ラウンド　テーブル</v>
      </c>
      <c r="D4958" t="str">
        <f>"ラウンドテーブル福祉文化交流会"</f>
        <v>ラウンドテーブル福祉文化交流会</v>
      </c>
      <c r="E4958" t="str">
        <f>"ラウンドテーブルフクシブンカコウリュウカイ"</f>
        <v>ラウンドテーブルフクシブンカコウリュウカイ</v>
      </c>
      <c r="F4958" t="str">
        <f>"［岡山］"</f>
        <v>［岡山］</v>
      </c>
      <c r="G4958" t="str">
        <f>"年刊"</f>
        <v>年刊</v>
      </c>
      <c r="H4958" t="str">
        <f>"2002222283261"</f>
        <v>2002222283261</v>
      </c>
      <c r="I4958" t="str">
        <f>HYPERLINK("#", "https://opac.libnet.pref.okayama.jp/licsxp-opac/WOpacMsgNewListToTifTilDetailAction.do?tilcod=2002222283261")</f>
        <v>https://opac.libnet.pref.okayama.jp/licsxp-opac/WOpacMsgNewListToTifTilDetailAction.do?tilcod=2002222283261</v>
      </c>
    </row>
    <row r="4959" spans="1:9" x14ac:dyDescent="0.4">
      <c r="A4959" t="str">
        <f>"裸形"</f>
        <v>裸形</v>
      </c>
      <c r="B4959" s="1" t="str">
        <f t="shared" si="242"/>
        <v>裸形</v>
      </c>
      <c r="C4959" t="str">
        <f>"ラギョウ"</f>
        <v>ラギョウ</v>
      </c>
      <c r="D4959" t="str">
        <f>"長島詩話会"</f>
        <v>長島詩話会</v>
      </c>
      <c r="E4959" t="str">
        <f>"ナガシマシワカイ"</f>
        <v>ナガシマシワカイ</v>
      </c>
      <c r="F4959" t="str">
        <f>""</f>
        <v/>
      </c>
      <c r="G4959" t="str">
        <f>"頻度不明"</f>
        <v>頻度不明</v>
      </c>
      <c r="H4959" t="str">
        <f>"2002222286773"</f>
        <v>2002222286773</v>
      </c>
      <c r="I4959" t="str">
        <f>HYPERLINK("#", "https://opac.libnet.pref.okayama.jp/licsxp-opac/WOpacMsgNewListToTifTilDetailAction.do?tilcod=2002222286773")</f>
        <v>https://opac.libnet.pref.okayama.jp/licsxp-opac/WOpacMsgNewListToTifTilDetailAction.do?tilcod=2002222286773</v>
      </c>
    </row>
    <row r="4960" spans="1:9" x14ac:dyDescent="0.4">
      <c r="A4960" t="str">
        <f>"らくがき"</f>
        <v>らくがき</v>
      </c>
      <c r="B4960" s="1" t="str">
        <f t="shared" si="242"/>
        <v>らくがき</v>
      </c>
      <c r="C4960" t="str">
        <f>"ラクガキ "</f>
        <v xml:space="preserve">ラクガキ </v>
      </c>
      <c r="D4960" t="str">
        <f>"[岡山大学]事務局内「らくがき」編集部"</f>
        <v>[岡山大学]事務局内「らくがき」編集部</v>
      </c>
      <c r="E4960" t="str">
        <f>"オカヤマ ダイガク ジムキョク ナイ ラクガキ ヘンシュウブ"</f>
        <v>オカヤマ ダイガク ジムキョク ナイ ラクガキ ヘンシュウブ</v>
      </c>
      <c r="F4960" t="str">
        <f>"[岡山]"</f>
        <v>[岡山]</v>
      </c>
      <c r="G4960" t="str">
        <f>"月刊"</f>
        <v>月刊</v>
      </c>
      <c r="H4960" t="str">
        <f>"2002222327226"</f>
        <v>2002222327226</v>
      </c>
      <c r="I4960" t="str">
        <f>HYPERLINK("#", "https://opac.libnet.pref.okayama.jp/licsxp-opac/WOpacMsgNewListToTifTilDetailAction.do?tilcod=2002222327226")</f>
        <v>https://opac.libnet.pref.okayama.jp/licsxp-opac/WOpacMsgNewListToTifTilDetailAction.do?tilcod=2002222327226</v>
      </c>
    </row>
    <row r="4961" spans="1:9" x14ac:dyDescent="0.4">
      <c r="A4961" t="str">
        <f>"ラサッシ"</f>
        <v>ラサッシ</v>
      </c>
      <c r="B4961" s="1" t="str">
        <f t="shared" si="242"/>
        <v>ラサッシ</v>
      </c>
      <c r="C4961" t="str">
        <f>"ラサッシ"</f>
        <v>ラサッシ</v>
      </c>
      <c r="D4961" t="str">
        <f>"タブララサ"</f>
        <v>タブララサ</v>
      </c>
      <c r="E4961" t="str">
        <f>"タブララサ"</f>
        <v>タブララサ</v>
      </c>
      <c r="F4961" t="str">
        <f>"岡山"</f>
        <v>岡山</v>
      </c>
      <c r="G4961" t="str">
        <f>"不定期刊"</f>
        <v>不定期刊</v>
      </c>
      <c r="H4961" t="str">
        <f>"2002222319873"</f>
        <v>2002222319873</v>
      </c>
      <c r="I4961" t="str">
        <f>HYPERLINK("#", "https://opac.libnet.pref.okayama.jp/licsxp-opac/WOpacMsgNewListToTifTilDetailAction.do?tilcod=2002222319873")</f>
        <v>https://opac.libnet.pref.okayama.jp/licsxp-opac/WOpacMsgNewListToTifTilDetailAction.do?tilcod=2002222319873</v>
      </c>
    </row>
    <row r="4962" spans="1:9" x14ac:dyDescent="0.4">
      <c r="A4962" t="str">
        <f>"ラジオ山陽"</f>
        <v>ラジオ山陽</v>
      </c>
      <c r="B4962" s="1" t="str">
        <f t="shared" si="242"/>
        <v>ラジオ山陽</v>
      </c>
      <c r="C4962" t="str">
        <f>"ラジオ サンヨウ"</f>
        <v>ラジオ サンヨウ</v>
      </c>
      <c r="D4962" t="str">
        <f>"山陽放送"</f>
        <v>山陽放送</v>
      </c>
      <c r="E4962" t="str">
        <f>"サンヨウ ホウソウ"</f>
        <v>サンヨウ ホウソウ</v>
      </c>
      <c r="F4962" t="str">
        <f>"岡山"</f>
        <v>岡山</v>
      </c>
      <c r="G4962" t="str">
        <f>"頻度不明"</f>
        <v>頻度不明</v>
      </c>
      <c r="H4962" t="str">
        <f>"2002222334067"</f>
        <v>2002222334067</v>
      </c>
      <c r="I4962" t="str">
        <f>HYPERLINK("#", "https://opac.libnet.pref.okayama.jp/licsxp-opac/WOpacMsgNewListToTifTilDetailAction.do?tilcod=2002222334067")</f>
        <v>https://opac.libnet.pref.okayama.jp/licsxp-opac/WOpacMsgNewListToTifTilDetailAction.do?tilcod=2002222334067</v>
      </c>
    </row>
    <row r="4963" spans="1:9" x14ac:dyDescent="0.4">
      <c r="A4963" t="str">
        <f>"羅針盤 ; 岡山県総合教育センターだより"</f>
        <v>羅針盤 ; 岡山県総合教育センターだより</v>
      </c>
      <c r="B4963" s="1" t="str">
        <f t="shared" si="242"/>
        <v>羅針盤 ; 岡山県総合教育センターだより</v>
      </c>
      <c r="C4963" t="str">
        <f>"ラシンバン オカヤマケン ソウゴウ キョウイク センター ダヨリ"</f>
        <v>ラシンバン オカヤマケン ソウゴウ キョウイク センター ダヨリ</v>
      </c>
      <c r="D4963" t="str">
        <f>"岡山県総合教育センター"</f>
        <v>岡山県総合教育センター</v>
      </c>
      <c r="E4963" t="str">
        <f>"オカヤマケン ソウゴウ キョウイク センター"</f>
        <v>オカヤマケン ソウゴウ キョウイク センター</v>
      </c>
      <c r="F4963" t="str">
        <f>"岡山"</f>
        <v>岡山</v>
      </c>
      <c r="G4963" t="str">
        <f>"月刊"</f>
        <v>月刊</v>
      </c>
      <c r="H4963" t="str">
        <f>"2002222302381"</f>
        <v>2002222302381</v>
      </c>
      <c r="I4963" t="str">
        <f>HYPERLINK("#", "https://opac.libnet.pref.okayama.jp/licsxp-opac/WOpacMsgNewListToTifTilDetailAction.do?tilcod=2002222302381")</f>
        <v>https://opac.libnet.pref.okayama.jp/licsxp-opac/WOpacMsgNewListToTifTilDetailAction.do?tilcod=2002222302381</v>
      </c>
    </row>
    <row r="4964" spans="1:9" x14ac:dyDescent="0.4">
      <c r="A4964" t="str">
        <f>"らしんばん縮刷版"</f>
        <v>らしんばん縮刷版</v>
      </c>
      <c r="B4964" s="1" t="str">
        <f t="shared" si="242"/>
        <v>らしんばん縮刷版</v>
      </c>
      <c r="C4964" t="str">
        <f>"ラシンバン　シュクサツバン"</f>
        <v>ラシンバン　シュクサツバン</v>
      </c>
      <c r="D4964" t="str">
        <f>"日本共産党愛生支部"</f>
        <v>日本共産党愛生支部</v>
      </c>
      <c r="E4964" t="str">
        <f>"ニホンキョウサントウアイセイシブ"</f>
        <v>ニホンキョウサントウアイセイシブ</v>
      </c>
      <c r="F4964" t="str">
        <f>"邑久町（邑久郡）"</f>
        <v>邑久町（邑久郡）</v>
      </c>
      <c r="G4964" t="str">
        <f>"頻度不明"</f>
        <v>頻度不明</v>
      </c>
      <c r="H4964" t="str">
        <f>"2002222301347"</f>
        <v>2002222301347</v>
      </c>
      <c r="I4964" t="str">
        <f>HYPERLINK("#", "https://opac.libnet.pref.okayama.jp/licsxp-opac/WOpacMsgNewListToTifTilDetailAction.do?tilcod=2002222301347")</f>
        <v>https://opac.libnet.pref.okayama.jp/licsxp-opac/WOpacMsgNewListToTifTilDetailAction.do?tilcod=2002222301347</v>
      </c>
    </row>
    <row r="4965" spans="1:9" x14ac:dyDescent="0.4">
      <c r="A4965" t="str">
        <f>"らっきょう"</f>
        <v>らっきょう</v>
      </c>
      <c r="B4965" s="1" t="str">
        <f t="shared" si="242"/>
        <v>らっきょう</v>
      </c>
      <c r="C4965" t="str">
        <f>"ラッキョウ"</f>
        <v>ラッキョウ</v>
      </c>
      <c r="D4965" t="str">
        <f>"津山中央高等看護学院"</f>
        <v>津山中央高等看護学院</v>
      </c>
      <c r="E4965" t="str">
        <f>"ツヤマチュウオウコウトウカンゴガクイン"</f>
        <v>ツヤマチュウオウコウトウカンゴガクイン</v>
      </c>
      <c r="F4965" t="str">
        <f>"津山"</f>
        <v>津山</v>
      </c>
      <c r="G4965" t="str">
        <f>"年刊"</f>
        <v>年刊</v>
      </c>
      <c r="H4965" t="str">
        <f>"2002222302377"</f>
        <v>2002222302377</v>
      </c>
      <c r="I4965" t="str">
        <f>HYPERLINK("#", "https://opac.libnet.pref.okayama.jp/licsxp-opac/WOpacMsgNewListToTifTilDetailAction.do?tilcod=2002222302377")</f>
        <v>https://opac.libnet.pref.okayama.jp/licsxp-opac/WOpacMsgNewListToTifTilDetailAction.do?tilcod=2002222302377</v>
      </c>
    </row>
    <row r="4966" spans="1:9" x14ac:dyDescent="0.4">
      <c r="A4966" t="str">
        <f>"らぴす"</f>
        <v>らぴす</v>
      </c>
      <c r="B4966" s="1" t="str">
        <f t="shared" si="242"/>
        <v>らぴす</v>
      </c>
      <c r="C4966" t="str">
        <f>"ラピス"</f>
        <v>ラピス</v>
      </c>
      <c r="D4966" t="str">
        <f>"岡嶋 隆司"</f>
        <v>岡嶋 隆司</v>
      </c>
      <c r="E4966" t="str">
        <f>"オカジマ タカシ"</f>
        <v>オカジマ タカシ</v>
      </c>
      <c r="F4966" t="str">
        <f>"岡山"</f>
        <v>岡山</v>
      </c>
      <c r="G4966" t="str">
        <f>"不定期刊"</f>
        <v>不定期刊</v>
      </c>
      <c r="H4966" t="str">
        <f>"2002222293551"</f>
        <v>2002222293551</v>
      </c>
      <c r="I4966" t="str">
        <f>HYPERLINK("#", "https://opac.libnet.pref.okayama.jp/licsxp-opac/WOpacMsgNewListToTifTilDetailAction.do?tilcod=2002222293551")</f>
        <v>https://opac.libnet.pref.okayama.jp/licsxp-opac/WOpacMsgNewListToTifTilDetailAction.do?tilcod=2002222293551</v>
      </c>
    </row>
    <row r="4967" spans="1:9" x14ac:dyDescent="0.4">
      <c r="A4967" t="str">
        <f>"ラピス；岡山市立オリエント美術館友の会会報"</f>
        <v>ラピス；岡山市立オリエント美術館友の会会報</v>
      </c>
      <c r="B4967" s="1" t="str">
        <f t="shared" si="242"/>
        <v>ラピス；岡山市立オリエント美術館友の会会報</v>
      </c>
      <c r="C4967" t="str">
        <f>"ラピス＊オカヤマシリツオリエントビジュツカントモノカイカイホウ"</f>
        <v>ラピス＊オカヤマシリツオリエントビジュツカントモノカイカイホウ</v>
      </c>
      <c r="D4967" t="str">
        <f>"岡山市立オリエント美術館友の会・岡山市立オリエント美術館"</f>
        <v>岡山市立オリエント美術館友の会・岡山市立オリエント美術館</v>
      </c>
      <c r="E4967" t="str">
        <f>"オカヤマシリツオリエントビジュツカントモノカイオカヤマシリツオリエントビジュツカン"</f>
        <v>オカヤマシリツオリエントビジュツカントモノカイオカヤマシリツオリエントビジュツカン</v>
      </c>
      <c r="F4967" t="str">
        <f>"岡山"</f>
        <v>岡山</v>
      </c>
      <c r="G4967" t="str">
        <f>"年刊"</f>
        <v>年刊</v>
      </c>
      <c r="H4967" t="str">
        <f>"2002222286101"</f>
        <v>2002222286101</v>
      </c>
      <c r="I4967" t="str">
        <f>HYPERLINK("#", "https://opac.libnet.pref.okayama.jp/licsxp-opac/WOpacMsgNewListToTifTilDetailAction.do?tilcod=2002222286101")</f>
        <v>https://opac.libnet.pref.okayama.jp/licsxp-opac/WOpacMsgNewListToTifTilDetailAction.do?tilcod=2002222286101</v>
      </c>
    </row>
    <row r="4968" spans="1:9" x14ac:dyDescent="0.4">
      <c r="A4968" t="str">
        <f>"LOVE ALL"</f>
        <v>LOVE ALL</v>
      </c>
      <c r="B4968" s="1" t="str">
        <f t="shared" si="242"/>
        <v>LOVE ALL</v>
      </c>
      <c r="C4968" t="str">
        <f>"ラブ オール"</f>
        <v>ラブ オール</v>
      </c>
      <c r="D4968" t="str">
        <f>"岡山大学庭球部"</f>
        <v>岡山大学庭球部</v>
      </c>
      <c r="E4968" t="str">
        <f>"オカヤマ ダイガク テイキュウブ"</f>
        <v>オカヤマ ダイガク テイキュウブ</v>
      </c>
      <c r="F4968" t="str">
        <f>"[岡山]"</f>
        <v>[岡山]</v>
      </c>
      <c r="G4968" t="str">
        <f>"頻度不明"</f>
        <v>頻度不明</v>
      </c>
      <c r="H4968" t="str">
        <f>"2002222330309"</f>
        <v>2002222330309</v>
      </c>
      <c r="I4968" t="str">
        <f>HYPERLINK("#", "https://opac.libnet.pref.okayama.jp/licsxp-opac/WOpacMsgNewListToTifTilDetailAction.do?tilcod=2002222330309")</f>
        <v>https://opac.libnet.pref.okayama.jp/licsxp-opac/WOpacMsgNewListToTifTilDetailAction.do?tilcod=2002222330309</v>
      </c>
    </row>
    <row r="4969" spans="1:9" x14ac:dyDescent="0.4">
      <c r="A4969" t="str">
        <f>"ＬＯＶＳＰＯ（ラブスポ）"</f>
        <v>ＬＯＶＳＰＯ（ラブスポ）</v>
      </c>
      <c r="B4969" s="1" t="str">
        <f t="shared" si="242"/>
        <v>ＬＯＶＳＰＯ（ラブスポ）</v>
      </c>
      <c r="C4969" t="str">
        <f>"ラブスポ"</f>
        <v>ラブスポ</v>
      </c>
      <c r="D4969" t="str">
        <f>"マルシン広告社"</f>
        <v>マルシン広告社</v>
      </c>
      <c r="E4969" t="str">
        <f>"マルシンコウコクシャ"</f>
        <v>マルシンコウコクシャ</v>
      </c>
      <c r="F4969" t="str">
        <f>"岡山"</f>
        <v>岡山</v>
      </c>
      <c r="G4969" t="str">
        <f>"月刊"</f>
        <v>月刊</v>
      </c>
      <c r="H4969" t="str">
        <f>"2002222301644"</f>
        <v>2002222301644</v>
      </c>
      <c r="I4969" t="str">
        <f>HYPERLINK("#", "https://opac.libnet.pref.okayama.jp/licsxp-opac/WOpacMsgNewListToTifTilDetailAction.do?tilcod=2002222301644")</f>
        <v>https://opac.libnet.pref.okayama.jp/licsxp-opac/WOpacMsgNewListToTifTilDetailAction.do?tilcod=2002222301644</v>
      </c>
    </row>
    <row r="4970" spans="1:9" x14ac:dyDescent="0.4">
      <c r="A4970" t="str">
        <f>"ラポール"</f>
        <v>ラポール</v>
      </c>
      <c r="B4970" s="1" t="str">
        <f t="shared" si="242"/>
        <v>ラポール</v>
      </c>
      <c r="C4970" t="str">
        <f>"ラポール"</f>
        <v>ラポール</v>
      </c>
      <c r="D4970" t="str">
        <f>"サンコー印刷"</f>
        <v>サンコー印刷</v>
      </c>
      <c r="E4970" t="str">
        <f>"サンコー インサツ"</f>
        <v>サンコー インサツ</v>
      </c>
      <c r="F4970" t="str">
        <f>"総社"</f>
        <v>総社</v>
      </c>
      <c r="G4970" t="str">
        <f>"頻度不明"</f>
        <v>頻度不明</v>
      </c>
      <c r="H4970" t="str">
        <f>"2002222287713"</f>
        <v>2002222287713</v>
      </c>
      <c r="I4970" t="str">
        <f>HYPERLINK("#", "https://opac.libnet.pref.okayama.jp/licsxp-opac/WOpacMsgNewListToTifTilDetailAction.do?tilcod=2002222287713")</f>
        <v>https://opac.libnet.pref.okayama.jp/licsxp-opac/WOpacMsgNewListToTifTilDetailAction.do?tilcod=2002222287713</v>
      </c>
    </row>
    <row r="4971" spans="1:9" x14ac:dyDescent="0.4">
      <c r="A4971" t="str">
        <f>"蘭之花"</f>
        <v>蘭之花</v>
      </c>
      <c r="B4971" s="1" t="str">
        <f t="shared" si="242"/>
        <v>蘭之花</v>
      </c>
      <c r="C4971" t="str">
        <f>"ラン　ノ　ハナ"</f>
        <v>ラン　ノ　ハナ</v>
      </c>
      <c r="D4971" t="str">
        <f>"蘭の花発行所"</f>
        <v>蘭の花発行所</v>
      </c>
      <c r="E4971" t="str">
        <f>"ランノハナハッコウジョ"</f>
        <v>ランノハナハッコウジョ</v>
      </c>
      <c r="F4971" t="str">
        <f>"岡山"</f>
        <v>岡山</v>
      </c>
      <c r="G4971" t="str">
        <f>"頻度不明"</f>
        <v>頻度不明</v>
      </c>
      <c r="H4971" t="str">
        <f>"2002222287451"</f>
        <v>2002222287451</v>
      </c>
      <c r="I4971" t="str">
        <f>HYPERLINK("#", "https://opac.libnet.pref.okayama.jp/licsxp-opac/WOpacMsgNewListToTifTilDetailAction.do?tilcod=2002222287451")</f>
        <v>https://opac.libnet.pref.okayama.jp/licsxp-opac/WOpacMsgNewListToTifTilDetailAction.do?tilcod=2002222287451</v>
      </c>
    </row>
    <row r="4972" spans="1:9" x14ac:dyDescent="0.4">
      <c r="A4972" t="str">
        <f>"藍松（らんしょう）"</f>
        <v>藍松（らんしょう）</v>
      </c>
      <c r="B4972" s="1" t="str">
        <f t="shared" si="242"/>
        <v>藍松（らんしょう）</v>
      </c>
      <c r="C4972" t="str">
        <f>"ランショウ"</f>
        <v>ランショウ</v>
      </c>
      <c r="D4972" t="str">
        <f>"大本育英会"</f>
        <v>大本育英会</v>
      </c>
      <c r="E4972" t="str">
        <f>"オオモトイクエイカイ"</f>
        <v>オオモトイクエイカイ</v>
      </c>
      <c r="F4972" t="str">
        <f>""</f>
        <v/>
      </c>
      <c r="G4972" t="str">
        <f>"年刊"</f>
        <v>年刊</v>
      </c>
      <c r="H4972" t="str">
        <f>"2002222287001"</f>
        <v>2002222287001</v>
      </c>
      <c r="I4972" t="str">
        <f>HYPERLINK("#", "https://opac.libnet.pref.okayama.jp/licsxp-opac/WOpacMsgNewListToTifTilDetailAction.do?tilcod=2002222287001")</f>
        <v>https://opac.libnet.pref.okayama.jp/licsxp-opac/WOpacMsgNewListToTifTilDetailAction.do?tilcod=2002222287001</v>
      </c>
    </row>
    <row r="4973" spans="1:9" x14ac:dyDescent="0.4">
      <c r="A4973" t="str">
        <f>"ランプ"</f>
        <v>ランプ</v>
      </c>
      <c r="B4973" s="1" t="str">
        <f t="shared" si="242"/>
        <v>ランプ</v>
      </c>
      <c r="C4973" t="str">
        <f>"ランプ"</f>
        <v>ランプ</v>
      </c>
      <c r="D4973" t="str">
        <f>"岡山県へき地教育研究連盟"</f>
        <v>岡山県へき地教育研究連盟</v>
      </c>
      <c r="E4973" t="str">
        <f>"オカヤマケン ヘキチ キョウイク ケンキュウ レンメイ"</f>
        <v>オカヤマケン ヘキチ キョウイク ケンキュウ レンメイ</v>
      </c>
      <c r="F4973" t="str">
        <f>""</f>
        <v/>
      </c>
      <c r="G4973" t="str">
        <f>"頻度不明"</f>
        <v>頻度不明</v>
      </c>
      <c r="H4973" t="str">
        <f>"2002222286803"</f>
        <v>2002222286803</v>
      </c>
      <c r="I4973" t="str">
        <f>HYPERLINK("#", "https://opac.libnet.pref.okayama.jp/licsxp-opac/WOpacMsgNewListToTifTilDetailAction.do?tilcod=2002222286803")</f>
        <v>https://opac.libnet.pref.okayama.jp/licsxp-opac/WOpacMsgNewListToTifTilDetailAction.do?tilcod=2002222286803</v>
      </c>
    </row>
    <row r="4974" spans="1:9" x14ac:dyDescent="0.4">
      <c r="A4974" t="str">
        <f>"ｌｅｖｅ（リーヴ）"</f>
        <v>ｌｅｖｅ（リーヴ）</v>
      </c>
      <c r="B4974" s="1" t="str">
        <f t="shared" si="242"/>
        <v>ｌｅｖｅ（リーヴ）</v>
      </c>
      <c r="C4974" t="str">
        <f>"リーヴ"</f>
        <v>リーヴ</v>
      </c>
      <c r="D4974" t="str">
        <f>"岡山市民生活協同組合"</f>
        <v>岡山市民生活協同組合</v>
      </c>
      <c r="E4974" t="str">
        <f>"オカヤマシミンセイカツキョウドウクミアイ"</f>
        <v>オカヤマシミンセイカツキョウドウクミアイ</v>
      </c>
      <c r="F4974" t="str">
        <f>""</f>
        <v/>
      </c>
      <c r="G4974" t="str">
        <f>"季刊"</f>
        <v>季刊</v>
      </c>
      <c r="H4974" t="str">
        <f>"2002222282903"</f>
        <v>2002222282903</v>
      </c>
      <c r="I4974" t="str">
        <f>HYPERLINK("#", "https://opac.libnet.pref.okayama.jp/licsxp-opac/WOpacMsgNewListToTifTilDetailAction.do?tilcod=2002222282903")</f>
        <v>https://opac.libnet.pref.okayama.jp/licsxp-opac/WOpacMsgNewListToTifTilDetailAction.do?tilcod=2002222282903</v>
      </c>
    </row>
    <row r="4975" spans="1:9" x14ac:dyDescent="0.4">
      <c r="A4975" t="str">
        <f>"リーガルネット"</f>
        <v>リーガルネット</v>
      </c>
      <c r="B4975" s="1" t="str">
        <f t="shared" si="242"/>
        <v>リーガルネット</v>
      </c>
      <c r="C4975" t="str">
        <f>"リーガル　ネット"</f>
        <v>リーガル　ネット</v>
      </c>
      <c r="D4975" t="str">
        <f>"姫井由美子"</f>
        <v>姫井由美子</v>
      </c>
      <c r="E4975" t="str">
        <f>"ヒメイユミコ"</f>
        <v>ヒメイユミコ</v>
      </c>
      <c r="F4975" t="str">
        <f>"岡山"</f>
        <v>岡山</v>
      </c>
      <c r="G4975" t="str">
        <f>"隔月刊"</f>
        <v>隔月刊</v>
      </c>
      <c r="H4975" t="str">
        <f>"2002222293371"</f>
        <v>2002222293371</v>
      </c>
      <c r="I4975" t="str">
        <f>HYPERLINK("#", "https://opac.libnet.pref.okayama.jp/licsxp-opac/WOpacMsgNewListToTifTilDetailAction.do?tilcod=2002222293371")</f>
        <v>https://opac.libnet.pref.okayama.jp/licsxp-opac/WOpacMsgNewListToTifTilDetailAction.do?tilcod=2002222293371</v>
      </c>
    </row>
    <row r="4976" spans="1:9" x14ac:dyDescent="0.4">
      <c r="A4976" t="str">
        <f>"リエゾン３１３"</f>
        <v>リエゾン３１３</v>
      </c>
      <c r="B4976" s="1" t="str">
        <f t="shared" si="242"/>
        <v>リエゾン３１３</v>
      </c>
      <c r="C4976" t="str">
        <f>"リエゾン　サンイチサン"</f>
        <v>リエゾン　サンイチサン</v>
      </c>
      <c r="D4976" t="str">
        <f>"キングパーツ"</f>
        <v>キングパーツ</v>
      </c>
      <c r="E4976" t="str">
        <f>"キングパーツ"</f>
        <v>キングパーツ</v>
      </c>
      <c r="F4976" t="str">
        <f>"福山"</f>
        <v>福山</v>
      </c>
      <c r="G4976" t="str">
        <f>"季刊"</f>
        <v>季刊</v>
      </c>
      <c r="H4976" t="str">
        <f>"2002222293361"</f>
        <v>2002222293361</v>
      </c>
      <c r="I4976" t="str">
        <f>HYPERLINK("#", "https://opac.libnet.pref.okayama.jp/licsxp-opac/WOpacMsgNewListToTifTilDetailAction.do?tilcod=2002222293361")</f>
        <v>https://opac.libnet.pref.okayama.jp/licsxp-opac/WOpacMsgNewListToTifTilDetailAction.do?tilcod=2002222293361</v>
      </c>
    </row>
    <row r="4977" spans="1:9" x14ac:dyDescent="0.4">
      <c r="A4977" t="str">
        <f>"六英；六英会誌"</f>
        <v>六英；六英会誌</v>
      </c>
      <c r="B4977" s="1" t="str">
        <f t="shared" si="242"/>
        <v>六英；六英会誌</v>
      </c>
      <c r="C4977" t="str">
        <f>"リクエイ＊リクエイカイ　シ"</f>
        <v>リクエイ＊リクエイカイ　シ</v>
      </c>
      <c r="D4977" t="str">
        <f>"〔六英会〕"</f>
        <v>〔六英会〕</v>
      </c>
      <c r="E4977" t="str">
        <f>"リクエイカイ"</f>
        <v>リクエイカイ</v>
      </c>
      <c r="F4977" t="str">
        <f>""</f>
        <v/>
      </c>
      <c r="G4977" t="str">
        <f>"頻度不明"</f>
        <v>頻度不明</v>
      </c>
      <c r="H4977" t="str">
        <f>"2002222282953"</f>
        <v>2002222282953</v>
      </c>
      <c r="I4977" t="str">
        <f>HYPERLINK("#", "https://opac.libnet.pref.okayama.jp/licsxp-opac/WOpacMsgNewListToTifTilDetailAction.do?tilcod=2002222282953")</f>
        <v>https://opac.libnet.pref.okayama.jp/licsxp-opac/WOpacMsgNewListToTifTilDetailAction.do?tilcod=2002222282953</v>
      </c>
    </row>
    <row r="4978" spans="1:9" x14ac:dyDescent="0.4">
      <c r="A4978" t="str">
        <f>"六蹴"</f>
        <v>六蹴</v>
      </c>
      <c r="B4978" s="1" t="str">
        <f t="shared" si="242"/>
        <v>六蹴</v>
      </c>
      <c r="C4978" t="str">
        <f>"リクシュウ"</f>
        <v>リクシュウ</v>
      </c>
      <c r="D4978" t="str">
        <f>"六蹴会"</f>
        <v>六蹴会</v>
      </c>
      <c r="E4978" t="str">
        <f>"リクシュウカイ"</f>
        <v>リクシュウカイ</v>
      </c>
      <c r="F4978" t="str">
        <f>"〔出版地不明〕"</f>
        <v>〔出版地不明〕</v>
      </c>
      <c r="G4978" t="str">
        <f>"年２回刊"</f>
        <v>年２回刊</v>
      </c>
      <c r="H4978" t="str">
        <f>"2002222301369"</f>
        <v>2002222301369</v>
      </c>
      <c r="I4978" t="str">
        <f>HYPERLINK("#", "https://opac.libnet.pref.okayama.jp/licsxp-opac/WOpacMsgNewListToTifTilDetailAction.do?tilcod=2002222301369")</f>
        <v>https://opac.libnet.pref.okayama.jp/licsxp-opac/WOpacMsgNewListToTifTilDetailAction.do?tilcod=2002222301369</v>
      </c>
    </row>
    <row r="4979" spans="1:9" x14ac:dyDescent="0.4">
      <c r="A4979" t="str">
        <f>"リクルート"</f>
        <v>リクルート</v>
      </c>
      <c r="B4979" s="1" t="str">
        <f t="shared" si="242"/>
        <v>リクルート</v>
      </c>
      <c r="C4979" t="str">
        <f>"リクルート"</f>
        <v>リクルート</v>
      </c>
      <c r="D4979" t="str">
        <f>"ファースト・ブレーン"</f>
        <v>ファースト・ブレーン</v>
      </c>
      <c r="E4979" t="str">
        <f>"ファーストブレーン"</f>
        <v>ファーストブレーン</v>
      </c>
      <c r="F4979" t="str">
        <f>""</f>
        <v/>
      </c>
      <c r="G4979" t="str">
        <f>"旬刊"</f>
        <v>旬刊</v>
      </c>
      <c r="H4979" t="str">
        <f>"2002222286813"</f>
        <v>2002222286813</v>
      </c>
      <c r="I4979" t="str">
        <f>HYPERLINK("#", "https://opac.libnet.pref.okayama.jp/licsxp-opac/WOpacMsgNewListToTifTilDetailAction.do?tilcod=2002222286813")</f>
        <v>https://opac.libnet.pref.okayama.jp/licsxp-opac/WOpacMsgNewListToTifTilDetailAction.do?tilcod=2002222286813</v>
      </c>
    </row>
    <row r="4980" spans="1:9" x14ac:dyDescent="0.4">
      <c r="A4980" t="str">
        <f>"リサイクリングニュース"</f>
        <v>リサイクリングニュース</v>
      </c>
      <c r="B4980" s="1" t="str">
        <f t="shared" si="242"/>
        <v>リサイクリングニュース</v>
      </c>
      <c r="C4980" t="str">
        <f>"リサイクリング　ニュース"</f>
        <v>リサイクリング　ニュース</v>
      </c>
      <c r="D4980" t="str">
        <f>"姫井由美子"</f>
        <v>姫井由美子</v>
      </c>
      <c r="E4980" t="str">
        <f>"ヒメイユミコ"</f>
        <v>ヒメイユミコ</v>
      </c>
      <c r="F4980" t="str">
        <f>""</f>
        <v/>
      </c>
      <c r="G4980" t="str">
        <f>"頻度不明"</f>
        <v>頻度不明</v>
      </c>
      <c r="H4980" t="str">
        <f>"2002222286823"</f>
        <v>2002222286823</v>
      </c>
      <c r="I4980" t="str">
        <f>HYPERLINK("#", "https://opac.libnet.pref.okayama.jp/licsxp-opac/WOpacMsgNewListToTifTilDetailAction.do?tilcod=2002222286823")</f>
        <v>https://opac.libnet.pref.okayama.jp/licsxp-opac/WOpacMsgNewListToTifTilDetailAction.do?tilcod=2002222286823</v>
      </c>
    </row>
    <row r="4981" spans="1:9" x14ac:dyDescent="0.4">
      <c r="A4981" t="str">
        <f>"リサイクルニュース"</f>
        <v>リサイクルニュース</v>
      </c>
      <c r="B4981" s="1" t="str">
        <f t="shared" si="242"/>
        <v>リサイクルニュース</v>
      </c>
      <c r="C4981" t="str">
        <f>"リサイクル　ニュース"</f>
        <v>リサイクル　ニュース</v>
      </c>
      <c r="D4981" t="str">
        <f>"リサイクルフォーラム"</f>
        <v>リサイクルフォーラム</v>
      </c>
      <c r="E4981" t="str">
        <f>"リサイクルフォーラム"</f>
        <v>リサイクルフォーラム</v>
      </c>
      <c r="F4981" t="str">
        <f>"岡山"</f>
        <v>岡山</v>
      </c>
      <c r="G4981" t="str">
        <f>"頻度不明"</f>
        <v>頻度不明</v>
      </c>
      <c r="H4981" t="str">
        <f>"2002222280761"</f>
        <v>2002222280761</v>
      </c>
      <c r="I4981" t="str">
        <f>HYPERLINK("#", "https://opac.libnet.pref.okayama.jp/licsxp-opac/WOpacMsgNewListToTifTilDetailAction.do?tilcod=2002222280761")</f>
        <v>https://opac.libnet.pref.okayama.jp/licsxp-opac/WOpacMsgNewListToTifTilDetailAction.do?tilcod=2002222280761</v>
      </c>
    </row>
    <row r="4982" spans="1:9" x14ac:dyDescent="0.4">
      <c r="A4982" t="str">
        <f>"理大通信；ＲＩＤＡＩ　ＮＥＷＳ＆ＴＯＰＩＣＳ"</f>
        <v>理大通信；ＲＩＤＡＩ　ＮＥＷＳ＆ＴＯＰＩＣＳ</v>
      </c>
      <c r="B4982" s="1" t="str">
        <f t="shared" si="242"/>
        <v>理大通信；ＲＩＤＡＩ　ＮＥＷＳ＆ＴＯＰＩＣＳ</v>
      </c>
      <c r="C4982" t="str">
        <f>"リダイ　ツウシン＊リダイ　ニュース　アンド　トピックス"</f>
        <v>リダイ　ツウシン＊リダイ　ニュース　アンド　トピックス</v>
      </c>
      <c r="D4982" t="str">
        <f>"岡山理科大学"</f>
        <v>岡山理科大学</v>
      </c>
      <c r="E4982" t="str">
        <f>"オカヤマリカダイガク"</f>
        <v>オカヤマリカダイガク</v>
      </c>
      <c r="F4982" t="str">
        <f>"岡山"</f>
        <v>岡山</v>
      </c>
      <c r="G4982" t="str">
        <f>"年３回刊"</f>
        <v>年３回刊</v>
      </c>
      <c r="H4982" t="str">
        <f>"2002222302335"</f>
        <v>2002222302335</v>
      </c>
      <c r="I4982" t="str">
        <f>HYPERLINK("#", "https://opac.libnet.pref.okayama.jp/licsxp-opac/WOpacMsgNewListToTifTilDetailAction.do?tilcod=2002222302335")</f>
        <v>https://opac.libnet.pref.okayama.jp/licsxp-opac/WOpacMsgNewListToTifTilDetailAction.do?tilcod=2002222302335</v>
      </c>
    </row>
    <row r="4983" spans="1:9" x14ac:dyDescent="0.4">
      <c r="A4983" t="str">
        <f>"六華"</f>
        <v>六華</v>
      </c>
      <c r="B4983" s="1" t="str">
        <f t="shared" si="242"/>
        <v>六華</v>
      </c>
      <c r="C4983" t="str">
        <f>"リッカ"</f>
        <v>リッカ</v>
      </c>
      <c r="D4983" t="str">
        <f>"六華会本部"</f>
        <v>六華会本部</v>
      </c>
      <c r="E4983" t="str">
        <f>"リッカカイホンブ"</f>
        <v>リッカカイホンブ</v>
      </c>
      <c r="F4983" t="str">
        <f>""</f>
        <v/>
      </c>
      <c r="G4983" t="str">
        <f>"頻度不明"</f>
        <v>頻度不明</v>
      </c>
      <c r="H4983" t="str">
        <f>"2002222288033"</f>
        <v>2002222288033</v>
      </c>
      <c r="I4983" t="str">
        <f>HYPERLINK("#", "https://opac.libnet.pref.okayama.jp/licsxp-opac/WOpacMsgNewListToTifTilDetailAction.do?tilcod=2002222288033")</f>
        <v>https://opac.libnet.pref.okayama.jp/licsxp-opac/WOpacMsgNewListToTifTilDetailAction.do?tilcod=2002222288033</v>
      </c>
    </row>
    <row r="4984" spans="1:9" x14ac:dyDescent="0.4">
      <c r="A4984" t="str">
        <f>"立正護法会報"</f>
        <v>立正護法会報</v>
      </c>
      <c r="B4984" s="1" t="str">
        <f t="shared" si="242"/>
        <v>立正護法会報</v>
      </c>
      <c r="C4984" t="str">
        <f>"リッショウ　ゴホウカイ　ホウ"</f>
        <v>リッショウ　ゴホウカイ　ホウ</v>
      </c>
      <c r="D4984" t="str">
        <f>"立正護法会"</f>
        <v>立正護法会</v>
      </c>
      <c r="E4984" t="str">
        <f>"リッショウ ゴホウカイ"</f>
        <v>リッショウ ゴホウカイ</v>
      </c>
      <c r="F4984" t="str">
        <f>"岡山市"</f>
        <v>岡山市</v>
      </c>
      <c r="G4984" t="str">
        <f>"年３回刊"</f>
        <v>年３回刊</v>
      </c>
      <c r="H4984" t="str">
        <f>"2002222294141"</f>
        <v>2002222294141</v>
      </c>
      <c r="I4984" t="str">
        <f>HYPERLINK("#", "https://opac.libnet.pref.okayama.jp/licsxp-opac/WOpacMsgNewListToTifTilDetailAction.do?tilcod=2002222294141")</f>
        <v>https://opac.libnet.pref.okayama.jp/licsxp-opac/WOpacMsgNewListToTifTilDetailAction.do?tilcod=2002222294141</v>
      </c>
    </row>
    <row r="4985" spans="1:9" x14ac:dyDescent="0.4">
      <c r="A4985" t="str">
        <f>"立体川柳"</f>
        <v>立体川柳</v>
      </c>
      <c r="B4985" s="1" t="str">
        <f t="shared" si="242"/>
        <v>立体川柳</v>
      </c>
      <c r="C4985" t="str">
        <f>"リッタイ　センリュウ"</f>
        <v>リッタイ　センリュウ</v>
      </c>
      <c r="D4985" t="str">
        <f>"立体川柳研究会"</f>
        <v>立体川柳研究会</v>
      </c>
      <c r="E4985" t="str">
        <f>"リッタイ センリュウ ケンキュウカイ"</f>
        <v>リッタイ センリュウ ケンキュウカイ</v>
      </c>
      <c r="F4985" t="str">
        <f>"倉敷"</f>
        <v>倉敷</v>
      </c>
      <c r="G4985" t="str">
        <f>"月刊"</f>
        <v>月刊</v>
      </c>
      <c r="H4985" t="str">
        <f>"2002222293391"</f>
        <v>2002222293391</v>
      </c>
      <c r="I4985" t="str">
        <f>HYPERLINK("#", "https://opac.libnet.pref.okayama.jp/licsxp-opac/WOpacMsgNewListToTifTilDetailAction.do?tilcod=2002222293391")</f>
        <v>https://opac.libnet.pref.okayama.jp/licsxp-opac/WOpacMsgNewListToTifTilDetailAction.do?tilcod=2002222293391</v>
      </c>
    </row>
    <row r="4986" spans="1:9" x14ac:dyDescent="0.4">
      <c r="A4986" t="str">
        <f>"岡山理科大学図書館報；りとにゅーす"</f>
        <v>岡山理科大学図書館報；りとにゅーす</v>
      </c>
      <c r="B4986" s="1" t="str">
        <f t="shared" si="242"/>
        <v>岡山理科大学図書館報；りとにゅーす</v>
      </c>
      <c r="C4986" t="str">
        <f>"リト　ニュース"</f>
        <v>リト　ニュース</v>
      </c>
      <c r="D4986" t="str">
        <f>"岡山理科大学図書館"</f>
        <v>岡山理科大学図書館</v>
      </c>
      <c r="E4986" t="str">
        <f>"オカヤマ リカ ダイガク トショカン"</f>
        <v>オカヤマ リカ ダイガク トショカン</v>
      </c>
      <c r="F4986" t="str">
        <f>"岡山"</f>
        <v>岡山</v>
      </c>
      <c r="G4986" t="str">
        <f>"不定期刊"</f>
        <v>不定期刊</v>
      </c>
      <c r="H4986" t="str">
        <f>"2002222293401"</f>
        <v>2002222293401</v>
      </c>
      <c r="I4986" t="str">
        <f>HYPERLINK("#", "https://opac.libnet.pref.okayama.jp/licsxp-opac/WOpacMsgNewListToTifTilDetailAction.do?tilcod=2002222293401")</f>
        <v>https://opac.libnet.pref.okayama.jp/licsxp-opac/WOpacMsgNewListToTifTilDetailAction.do?tilcod=2002222293401</v>
      </c>
    </row>
    <row r="4987" spans="1:9" x14ac:dyDescent="0.4">
      <c r="A4987" t="str">
        <f>"リビングおかやま"</f>
        <v>リビングおかやま</v>
      </c>
      <c r="B4987" s="1" t="str">
        <f t="shared" si="242"/>
        <v>リビングおかやま</v>
      </c>
      <c r="C4987" t="str">
        <f>"リビング　オカヤマ"</f>
        <v>リビング　オカヤマ</v>
      </c>
      <c r="D4987" t="str">
        <f>"岡山リビング新聞社"</f>
        <v>岡山リビング新聞社</v>
      </c>
      <c r="E4987" t="str">
        <f>"オカヤマ リビング シンブンシャ"</f>
        <v>オカヤマ リビング シンブンシャ</v>
      </c>
      <c r="F4987" t="str">
        <f>"岡山"</f>
        <v>岡山</v>
      </c>
      <c r="G4987" t="str">
        <f>"週刊"</f>
        <v>週刊</v>
      </c>
      <c r="H4987" t="str">
        <f>"2002222300896"</f>
        <v>2002222300896</v>
      </c>
      <c r="I4987" t="str">
        <f>HYPERLINK("#", "https://opac.libnet.pref.okayama.jp/licsxp-opac/WOpacMsgNewListToTifTilDetailAction.do?tilcod=2002222300896")</f>
        <v>https://opac.libnet.pref.okayama.jp/licsxp-opac/WOpacMsgNewListToTifTilDetailAction.do?tilcod=2002222300896</v>
      </c>
    </row>
    <row r="4988" spans="1:9" x14ac:dyDescent="0.4">
      <c r="A4988" t="str">
        <f>"リビングくらしき"</f>
        <v>リビングくらしき</v>
      </c>
      <c r="B4988" s="1" t="str">
        <f t="shared" si="242"/>
        <v>リビングくらしき</v>
      </c>
      <c r="C4988" t="str">
        <f>"リビング　クラシキ"</f>
        <v>リビング　クラシキ</v>
      </c>
      <c r="D4988" t="str">
        <f>"倉敷リビング新聞社"</f>
        <v>倉敷リビング新聞社</v>
      </c>
      <c r="E4988" t="str">
        <f>"クラシキリビングシンブンシャ"</f>
        <v>クラシキリビングシンブンシャ</v>
      </c>
      <c r="F4988" t="str">
        <f>"倉敷"</f>
        <v>倉敷</v>
      </c>
      <c r="G4988" t="str">
        <f>"週刊"</f>
        <v>週刊</v>
      </c>
      <c r="H4988" t="str">
        <f>"2002222300897"</f>
        <v>2002222300897</v>
      </c>
      <c r="I4988" t="str">
        <f>HYPERLINK("#", "https://opac.libnet.pref.okayama.jp/licsxp-opac/WOpacMsgNewListToTifTilDetailAction.do?tilcod=2002222300897")</f>
        <v>https://opac.libnet.pref.okayama.jp/licsxp-opac/WOpacMsgNewListToTifTilDetailAction.do?tilcod=2002222300897</v>
      </c>
    </row>
    <row r="4989" spans="1:9" x14ac:dyDescent="0.4">
      <c r="A4989" t="str">
        <f>"Living Bambini"</f>
        <v>Living Bambini</v>
      </c>
      <c r="B4989" s="1" t="str">
        <f t="shared" si="242"/>
        <v>Living Bambini</v>
      </c>
      <c r="C4989" t="str">
        <f>"リビング バンビーニ"</f>
        <v>リビング バンビーニ</v>
      </c>
      <c r="D4989" t="str">
        <f>"岡山リビング新聞社"</f>
        <v>岡山リビング新聞社</v>
      </c>
      <c r="E4989" t="str">
        <f>"オカヤマ リビング シンブンシャ"</f>
        <v>オカヤマ リビング シンブンシャ</v>
      </c>
      <c r="F4989" t="str">
        <f>"岡山"</f>
        <v>岡山</v>
      </c>
      <c r="G4989" t="str">
        <f>"季刊"</f>
        <v>季刊</v>
      </c>
      <c r="H4989" t="str">
        <f>"2002222322087"</f>
        <v>2002222322087</v>
      </c>
      <c r="I4989" t="str">
        <f>HYPERLINK("#", "https://opac.libnet.pref.okayama.jp/licsxp-opac/WOpacMsgNewListToTifTilDetailAction.do?tilcod=2002222322087")</f>
        <v>https://opac.libnet.pref.okayama.jp/licsxp-opac/WOpacMsgNewListToTifTilDetailAction.do?tilcod=2002222322087</v>
      </c>
    </row>
    <row r="4990" spans="1:9" x14ac:dyDescent="0.4">
      <c r="A4990" t="str">
        <f>"リプラＮＥＷＳ"</f>
        <v>リプラＮＥＷＳ</v>
      </c>
      <c r="B4990" s="1" t="str">
        <f t="shared" si="242"/>
        <v>リプラＮＥＷＳ</v>
      </c>
      <c r="C4990" t="str">
        <f>"リプラ　ニュース"</f>
        <v>リプラ　ニュース</v>
      </c>
      <c r="D4990" t="str">
        <f>"岡山県西部衛生施設組合リサイクルプラザ"</f>
        <v>岡山県西部衛生施設組合リサイクルプラザ</v>
      </c>
      <c r="E4990" t="str">
        <f>"オカヤマケンセイブエイセイシセツクミアイリサイクルプラザ"</f>
        <v>オカヤマケンセイブエイセイシセツクミアイリサイクルプラザ</v>
      </c>
      <c r="F4990" t="str">
        <f>"笠岡"</f>
        <v>笠岡</v>
      </c>
      <c r="G4990" t="str">
        <f>"頻度不明"</f>
        <v>頻度不明</v>
      </c>
      <c r="H4990" t="str">
        <f>"2002222285591"</f>
        <v>2002222285591</v>
      </c>
      <c r="I4990" t="str">
        <f>HYPERLINK("#", "https://opac.libnet.pref.okayama.jp/licsxp-opac/WOpacMsgNewListToTifTilDetailAction.do?tilcod=2002222285591")</f>
        <v>https://opac.libnet.pref.okayama.jp/licsxp-opac/WOpacMsgNewListToTifTilDetailAction.do?tilcod=2002222285591</v>
      </c>
    </row>
    <row r="4991" spans="1:9" x14ac:dyDescent="0.4">
      <c r="A4991" t="str">
        <f>"ＲＥＰＲＥ（リプレ）；表象文化とデザインの研究誌"</f>
        <v>ＲＥＰＲＥ（リプレ）；表象文化とデザインの研究誌</v>
      </c>
      <c r="B4991" s="1" t="str">
        <f t="shared" si="242"/>
        <v>ＲＥＰＲＥ（リプレ）；表象文化とデザインの研究誌</v>
      </c>
      <c r="C4991" t="str">
        <f>"リプレ＊ヒョウショウ　ブンカ　ト　デザイン　ノ　ケンキュウシ"</f>
        <v>リプレ＊ヒョウショウ　ブンカ　ト　デザイン　ノ　ケンキュウシ</v>
      </c>
      <c r="D4991" t="str">
        <f>"岡山県立大学デザイン学部"</f>
        <v>岡山県立大学デザイン学部</v>
      </c>
      <c r="E4991" t="str">
        <f>"オカヤマケンリツダイガクデザインガクブ"</f>
        <v>オカヤマケンリツダイガクデザインガクブ</v>
      </c>
      <c r="F4991" t="str">
        <f>"総社"</f>
        <v>総社</v>
      </c>
      <c r="G4991" t="str">
        <f>"年刊"</f>
        <v>年刊</v>
      </c>
      <c r="H4991" t="str">
        <f>"2002222285311"</f>
        <v>2002222285311</v>
      </c>
      <c r="I4991" t="str">
        <f>HYPERLINK("#", "https://opac.libnet.pref.okayama.jp/licsxp-opac/WOpacMsgNewListToTifTilDetailAction.do?tilcod=2002222285311")</f>
        <v>https://opac.libnet.pref.okayama.jp/licsxp-opac/WOpacMsgNewListToTifTilDetailAction.do?tilcod=2002222285311</v>
      </c>
    </row>
    <row r="4992" spans="1:9" x14ac:dyDescent="0.4">
      <c r="A4992" t="str">
        <f>"Ｒｅぼ?ん　新見市男女共同参画情報紙"</f>
        <v>Ｒｅぼ?ん　新見市男女共同参画情報紙</v>
      </c>
      <c r="B4992" s="1" t="str">
        <f t="shared" si="242"/>
        <v>Ｒｅぼ?ん　新見市男女共同参画情報紙</v>
      </c>
      <c r="C4992" t="str">
        <f>"リボーン　ニイミシ　ダンジョ　キョウドウ　サンンカク　ジョウホウシ"</f>
        <v>リボーン　ニイミシ　ダンジョ　キョウドウ　サンンカク　ジョウホウシ</v>
      </c>
      <c r="D4992" t="str">
        <f>"新見市男女共同参画情報誌編集委員会"</f>
        <v>新見市男女共同参画情報誌編集委員会</v>
      </c>
      <c r="E4992" t="str">
        <f>"ニイミシダンジョキョウドウサンカクジョウホウシヘンシュウイインカイ"</f>
        <v>ニイミシダンジョキョウドウサンカクジョウホウシヘンシュウイインカイ</v>
      </c>
      <c r="F4992" t="str">
        <f>"新見"</f>
        <v>新見</v>
      </c>
      <c r="G4992" t="str">
        <f>"頻度不明"</f>
        <v>頻度不明</v>
      </c>
      <c r="H4992" t="str">
        <f>"2002222282391"</f>
        <v>2002222282391</v>
      </c>
      <c r="I4992" t="str">
        <f>HYPERLINK("#", "https://opac.libnet.pref.okayama.jp/licsxp-opac/WOpacMsgNewListToTifTilDetailAction.do?tilcod=2002222282391")</f>
        <v>https://opac.libnet.pref.okayama.jp/licsxp-opac/WOpacMsgNewListToTifTilDetailAction.do?tilcod=2002222282391</v>
      </c>
    </row>
    <row r="4993" spans="1:9" x14ac:dyDescent="0.4">
      <c r="A4993" t="str">
        <f>"りぼん;新見市男女共同参画情報紙"</f>
        <v>りぼん;新見市男女共同参画情報紙</v>
      </c>
      <c r="B4993" s="1" t="str">
        <f t="shared" si="242"/>
        <v>りぼん;新見市男女共同参画情報紙</v>
      </c>
      <c r="C4993" t="str">
        <f>"リボン ニイミシ ダンジョ キョウドウ サンンカク ジョウホウシ"</f>
        <v>リボン ニイミシ ダンジョ キョウドウ サンンカク ジョウホウシ</v>
      </c>
      <c r="D4993" t="str">
        <f>"新見市"</f>
        <v>新見市</v>
      </c>
      <c r="E4993" t="str">
        <f>"ニイミシ"</f>
        <v>ニイミシ</v>
      </c>
      <c r="F4993" t="str">
        <f>"新見"</f>
        <v>新見</v>
      </c>
      <c r="G4993" t="str">
        <f>"頻度不明"</f>
        <v>頻度不明</v>
      </c>
      <c r="H4993" t="str">
        <f>"2002222302155"</f>
        <v>2002222302155</v>
      </c>
      <c r="I4993" t="str">
        <f>HYPERLINK("#", "https://opac.libnet.pref.okayama.jp/licsxp-opac/WOpacMsgNewListToTifTilDetailAction.do?tilcod=2002222302155")</f>
        <v>https://opac.libnet.pref.okayama.jp/licsxp-opac/WOpacMsgNewListToTifTilDetailAction.do?tilcod=2002222302155</v>
      </c>
    </row>
    <row r="4994" spans="1:9" x14ac:dyDescent="0.4">
      <c r="A4994" t="str">
        <f>"リムルス"</f>
        <v>リムルス</v>
      </c>
      <c r="B4994" s="1" t="str">
        <f t="shared" si="242"/>
        <v>リムルス</v>
      </c>
      <c r="C4994" t="str">
        <f>"リムルス"</f>
        <v>リムルス</v>
      </c>
      <c r="D4994" t="str">
        <f>"リムルス学会"</f>
        <v>リムルス学会</v>
      </c>
      <c r="E4994" t="str">
        <f>"リムルスガッカイ"</f>
        <v>リムルスガッカイ</v>
      </c>
      <c r="F4994" t="str">
        <f>""</f>
        <v/>
      </c>
      <c r="G4994" t="str">
        <f>"頻度不明"</f>
        <v>頻度不明</v>
      </c>
      <c r="H4994" t="str">
        <f>"2002222286863"</f>
        <v>2002222286863</v>
      </c>
      <c r="I4994" t="str">
        <f>HYPERLINK("#", "https://opac.libnet.pref.okayama.jp/licsxp-opac/WOpacMsgNewListToTifTilDetailAction.do?tilcod=2002222286863")</f>
        <v>https://opac.libnet.pref.okayama.jp/licsxp-opac/WOpacMsgNewListToTifTilDetailAction.do?tilcod=2002222286863</v>
      </c>
    </row>
    <row r="4995" spans="1:9" x14ac:dyDescent="0.4">
      <c r="A4995" t="str">
        <f>"りゅう"</f>
        <v>りゅう</v>
      </c>
      <c r="B4995" s="1" t="str">
        <f t="shared" si="242"/>
        <v>りゅう</v>
      </c>
      <c r="C4995" t="str">
        <f>"リュウ"</f>
        <v>リュウ</v>
      </c>
      <c r="D4995" t="str">
        <f>"旭川荘竜ノ口寮"</f>
        <v>旭川荘竜ノ口寮</v>
      </c>
      <c r="E4995" t="str">
        <f>"アサヒガワソウ タツノクチリョウ"</f>
        <v>アサヒガワソウ タツノクチリョウ</v>
      </c>
      <c r="F4995" t="str">
        <f>""</f>
        <v/>
      </c>
      <c r="G4995" t="str">
        <f>"頻度不明"</f>
        <v>頻度不明</v>
      </c>
      <c r="H4995" t="str">
        <f>"2002222286873"</f>
        <v>2002222286873</v>
      </c>
      <c r="I4995" t="str">
        <f>HYPERLINK("#", "https://opac.libnet.pref.okayama.jp/licsxp-opac/WOpacMsgNewListToTifTilDetailAction.do?tilcod=2002222286873")</f>
        <v>https://opac.libnet.pref.okayama.jp/licsxp-opac/WOpacMsgNewListToTifTilDetailAction.do?tilcod=2002222286873</v>
      </c>
    </row>
    <row r="4996" spans="1:9" x14ac:dyDescent="0.4">
      <c r="A4996" t="str">
        <f>"竜(龍)"</f>
        <v>竜(龍)</v>
      </c>
      <c r="B4996" s="1" t="str">
        <f t="shared" ref="B4996:B5059" si="243">HYPERLINK("#", A4996)</f>
        <v>竜(龍)</v>
      </c>
      <c r="C4996" t="str">
        <f>"リュウ"</f>
        <v>リュウ</v>
      </c>
      <c r="D4996" t="str">
        <f>"竜短歌会(龍短歌会)"</f>
        <v>竜短歌会(龍短歌会)</v>
      </c>
      <c r="E4996" t="str">
        <f>"リュウ タンカカイ"</f>
        <v>リュウ タンカカイ</v>
      </c>
      <c r="F4996" t="str">
        <f>"岡山"</f>
        <v>岡山</v>
      </c>
      <c r="G4996" t="str">
        <f>"月刊"</f>
        <v>月刊</v>
      </c>
      <c r="H4996" t="str">
        <f>"2002222291701"</f>
        <v>2002222291701</v>
      </c>
      <c r="I4996" t="str">
        <f>HYPERLINK("#", "https://opac.libnet.pref.okayama.jp/licsxp-opac/WOpacMsgNewListToTifTilDetailAction.do?tilcod=2002222291701")</f>
        <v>https://opac.libnet.pref.okayama.jp/licsxp-opac/WOpacMsgNewListToTifTilDetailAction.do?tilcod=2002222291701</v>
      </c>
    </row>
    <row r="4997" spans="1:9" x14ac:dyDescent="0.4">
      <c r="A4997" t="str">
        <f>"流域"</f>
        <v>流域</v>
      </c>
      <c r="B4997" s="1" t="str">
        <f t="shared" si="243"/>
        <v>流域</v>
      </c>
      <c r="C4997" t="str">
        <f>"リュウイキ"</f>
        <v>リュウイキ</v>
      </c>
      <c r="D4997" t="str">
        <f>"流域短歌会"</f>
        <v>流域短歌会</v>
      </c>
      <c r="E4997" t="str">
        <f>"リュウイキタンカカイ"</f>
        <v>リュウイキタンカカイ</v>
      </c>
      <c r="F4997" t="str">
        <f>"岡山"</f>
        <v>岡山</v>
      </c>
      <c r="G4997" t="str">
        <f>"隔月刊"</f>
        <v>隔月刊</v>
      </c>
      <c r="H4997" t="str">
        <f>"2002222291711"</f>
        <v>2002222291711</v>
      </c>
      <c r="I4997" t="str">
        <f>HYPERLINK("#", "https://opac.libnet.pref.okayama.jp/licsxp-opac/WOpacMsgNewListToTifTilDetailAction.do?tilcod=2002222291711")</f>
        <v>https://opac.libnet.pref.okayama.jp/licsxp-opac/WOpacMsgNewListToTifTilDetailAction.do?tilcod=2002222291711</v>
      </c>
    </row>
    <row r="4998" spans="1:9" x14ac:dyDescent="0.4">
      <c r="A4998" t="str">
        <f>"竜王"</f>
        <v>竜王</v>
      </c>
      <c r="B4998" s="1" t="str">
        <f t="shared" si="243"/>
        <v>竜王</v>
      </c>
      <c r="C4998" t="str">
        <f>"リュウオウ"</f>
        <v>リュウオウ</v>
      </c>
      <c r="D4998" t="str">
        <f>"小田郡美星小学校ＰＴＡ"</f>
        <v>小田郡美星小学校ＰＴＡ</v>
      </c>
      <c r="E4998" t="str">
        <f>"オダグンビセイショウガッコウピーティーエー"</f>
        <v>オダグンビセイショウガッコウピーティーエー</v>
      </c>
      <c r="F4998" t="str">
        <f>"美星町（小田郡）"</f>
        <v>美星町（小田郡）</v>
      </c>
      <c r="G4998" t="str">
        <f>"頻度不明"</f>
        <v>頻度不明</v>
      </c>
      <c r="H4998" t="str">
        <f>"2002222286883"</f>
        <v>2002222286883</v>
      </c>
      <c r="I4998" t="str">
        <f>HYPERLINK("#", "https://opac.libnet.pref.okayama.jp/licsxp-opac/WOpacMsgNewListToTifTilDetailAction.do?tilcod=2002222286883")</f>
        <v>https://opac.libnet.pref.okayama.jp/licsxp-opac/WOpacMsgNewListToTifTilDetailAction.do?tilcod=2002222286883</v>
      </c>
    </row>
    <row r="4999" spans="1:9" x14ac:dyDescent="0.4">
      <c r="A4999" t="str">
        <f>"龍王"</f>
        <v>龍王</v>
      </c>
      <c r="B4999" s="1" t="str">
        <f t="shared" si="243"/>
        <v>龍王</v>
      </c>
      <c r="C4999" t="str">
        <f>"リュウオウ"</f>
        <v>リュウオウ</v>
      </c>
      <c r="D4999" t="str">
        <f>"岡山農業専門学校文芸部"</f>
        <v>岡山農業専門学校文芸部</v>
      </c>
      <c r="E4999" t="str">
        <f>"オカヤマ ノウギョウ センモン ガッコウ ブンゲイブ"</f>
        <v>オカヤマ ノウギョウ センモン ガッコウ ブンゲイブ</v>
      </c>
      <c r="F4999" t="str">
        <f>"岡山"</f>
        <v>岡山</v>
      </c>
      <c r="G4999" t="str">
        <f>"頻度不明"</f>
        <v>頻度不明</v>
      </c>
      <c r="H4999" t="str">
        <f>"2002222342630"</f>
        <v>2002222342630</v>
      </c>
      <c r="I4999" t="str">
        <f>HYPERLINK("#", "https://opac.libnet.pref.okayama.jp/licsxp-opac/WOpacMsgNewListToTifTilDetailAction.do?tilcod=2002222342630")</f>
        <v>https://opac.libnet.pref.okayama.jp/licsxp-opac/WOpacMsgNewListToTifTilDetailAction.do?tilcod=2002222342630</v>
      </c>
    </row>
    <row r="5000" spans="1:9" x14ac:dyDescent="0.4">
      <c r="A5000" t="str">
        <f>"竜王学報；高松農高新聞"</f>
        <v>竜王学報；高松農高新聞</v>
      </c>
      <c r="B5000" s="1" t="str">
        <f t="shared" si="243"/>
        <v>竜王学報；高松農高新聞</v>
      </c>
      <c r="C5000" t="str">
        <f>"リュウオウ　ガクホウ＊タカマツ　ノウコウ　シンブン"</f>
        <v>リュウオウ　ガクホウ＊タカマツ　ノウコウ　シンブン</v>
      </c>
      <c r="D5000" t="str">
        <f>"高松農業高等学校新聞部"</f>
        <v>高松農業高等学校新聞部</v>
      </c>
      <c r="E5000" t="str">
        <f>"タカマツ ノウギョウ コウトウ ガッコウ シンブンブ"</f>
        <v>タカマツ ノウギョウ コウトウ ガッコウ シンブンブ</v>
      </c>
      <c r="F5000" t="str">
        <f>"岡山"</f>
        <v>岡山</v>
      </c>
      <c r="G5000" t="str">
        <f>"年刊"</f>
        <v>年刊</v>
      </c>
      <c r="H5000" t="str">
        <f>"2002222301843"</f>
        <v>2002222301843</v>
      </c>
      <c r="I5000" t="str">
        <f>HYPERLINK("#", "https://opac.libnet.pref.okayama.jp/licsxp-opac/WOpacMsgNewListToTifTilDetailAction.do?tilcod=2002222301843")</f>
        <v>https://opac.libnet.pref.okayama.jp/licsxp-opac/WOpacMsgNewListToTifTilDetailAction.do?tilcod=2002222301843</v>
      </c>
    </row>
    <row r="5001" spans="1:9" x14ac:dyDescent="0.4">
      <c r="A5001" t="str">
        <f>"龍華新報"</f>
        <v>龍華新報</v>
      </c>
      <c r="B5001" s="1" t="str">
        <f t="shared" si="243"/>
        <v>龍華新報</v>
      </c>
      <c r="C5001" t="str">
        <f>"リュウゲ　シンポウ"</f>
        <v>リュウゲ　シンポウ</v>
      </c>
      <c r="D5001" t="str">
        <f>"竜華新報社"</f>
        <v>竜華新報社</v>
      </c>
      <c r="E5001" t="str">
        <f>"リュウゲ シンポウシャ"</f>
        <v>リュウゲ シンポウシャ</v>
      </c>
      <c r="F5001" t="str">
        <f>""</f>
        <v/>
      </c>
      <c r="G5001" t="str">
        <f>"頻度不明"</f>
        <v>頻度不明</v>
      </c>
      <c r="H5001" t="str">
        <f>"2002222281034"</f>
        <v>2002222281034</v>
      </c>
      <c r="I5001" t="str">
        <f>HYPERLINK("#", "https://opac.libnet.pref.okayama.jp/licsxp-opac/WOpacMsgNewListToTifTilDetailAction.do?tilcod=2002222281034")</f>
        <v>https://opac.libnet.pref.okayama.jp/licsxp-opac/WOpacMsgNewListToTifTilDetailAction.do?tilcod=2002222281034</v>
      </c>
    </row>
    <row r="5002" spans="1:9" x14ac:dyDescent="0.4">
      <c r="A5002" t="str">
        <f>"竜華教報"</f>
        <v>竜華教報</v>
      </c>
      <c r="B5002" s="1" t="str">
        <f t="shared" si="243"/>
        <v>竜華教報</v>
      </c>
      <c r="C5002" t="str">
        <f>"リュウゲキョウホウ"</f>
        <v>リュウゲキョウホウ</v>
      </c>
      <c r="D5002" t="str">
        <f>"竜華教報社"</f>
        <v>竜華教報社</v>
      </c>
      <c r="E5002" t="str">
        <f>"リュウゲキョウホウシャ"</f>
        <v>リュウゲキョウホウシャ</v>
      </c>
      <c r="F5002" t="str">
        <f>""</f>
        <v/>
      </c>
      <c r="G5002" t="str">
        <f>"頻度不明"</f>
        <v>頻度不明</v>
      </c>
      <c r="H5002" t="str">
        <f>"2002222286893"</f>
        <v>2002222286893</v>
      </c>
      <c r="I5002" t="str">
        <f>HYPERLINK("#", "https://opac.libnet.pref.okayama.jp/licsxp-opac/WOpacMsgNewListToTifTilDetailAction.do?tilcod=2002222286893")</f>
        <v>https://opac.libnet.pref.okayama.jp/licsxp-opac/WOpacMsgNewListToTifTilDetailAction.do?tilcod=2002222286893</v>
      </c>
    </row>
    <row r="5003" spans="1:9" x14ac:dyDescent="0.4">
      <c r="A5003" t="str">
        <f>"陵弓"</f>
        <v>陵弓</v>
      </c>
      <c r="B5003" s="1" t="str">
        <f t="shared" si="243"/>
        <v>陵弓</v>
      </c>
      <c r="C5003" t="str">
        <f>"リョウキュウ"</f>
        <v>リョウキュウ</v>
      </c>
      <c r="D5003" t="str">
        <f>"青陵弓友会"</f>
        <v>青陵弓友会</v>
      </c>
      <c r="E5003" t="str">
        <f>"セイリョウキュウユウカイ"</f>
        <v>セイリョウキュウユウカイ</v>
      </c>
      <c r="F5003" t="str">
        <f>""</f>
        <v/>
      </c>
      <c r="G5003" t="str">
        <f>"頻度不明"</f>
        <v>頻度不明</v>
      </c>
      <c r="H5003" t="str">
        <f>"2002222286923"</f>
        <v>2002222286923</v>
      </c>
      <c r="I5003" t="str">
        <f>HYPERLINK("#", "https://opac.libnet.pref.okayama.jp/licsxp-opac/WOpacMsgNewListToTifTilDetailAction.do?tilcod=2002222286923")</f>
        <v>https://opac.libnet.pref.okayama.jp/licsxp-opac/WOpacMsgNewListToTifTilDetailAction.do?tilcod=2002222286923</v>
      </c>
    </row>
    <row r="5004" spans="1:9" x14ac:dyDescent="0.4">
      <c r="A5004" t="str">
        <f>"稜線"</f>
        <v>稜線</v>
      </c>
      <c r="B5004" s="1" t="str">
        <f t="shared" si="243"/>
        <v>稜線</v>
      </c>
      <c r="C5004" t="str">
        <f>"リョウセン"</f>
        <v>リョウセン</v>
      </c>
      <c r="D5004" t="str">
        <f>"岡山市立中央図書館"</f>
        <v>岡山市立中央図書館</v>
      </c>
      <c r="E5004" t="str">
        <f>"オカヤマシリツチュウオウトショカン"</f>
        <v>オカヤマシリツチュウオウトショカン</v>
      </c>
      <c r="F5004" t="str">
        <f>"岡山"</f>
        <v>岡山</v>
      </c>
      <c r="G5004" t="str">
        <f>"年刊"</f>
        <v>年刊</v>
      </c>
      <c r="H5004" t="str">
        <f>"2002222293411"</f>
        <v>2002222293411</v>
      </c>
      <c r="I5004" t="str">
        <f>HYPERLINK("#", "https://opac.libnet.pref.okayama.jp/licsxp-opac/WOpacMsgNewListToTifTilDetailAction.do?tilcod=2002222293411")</f>
        <v>https://opac.libnet.pref.okayama.jp/licsxp-opac/WOpacMsgNewListToTifTilDetailAction.do?tilcod=2002222293411</v>
      </c>
    </row>
    <row r="5005" spans="1:9" x14ac:dyDescent="0.4">
      <c r="A5005" t="str">
        <f>"両備"</f>
        <v>両備</v>
      </c>
      <c r="B5005" s="1" t="str">
        <f t="shared" si="243"/>
        <v>両備</v>
      </c>
      <c r="C5005" t="str">
        <f>"リョウビ"</f>
        <v>リョウビ</v>
      </c>
      <c r="D5005" t="str">
        <f>"両備バス"</f>
        <v>両備バス</v>
      </c>
      <c r="E5005" t="str">
        <f>"リョウビ バス"</f>
        <v>リョウビ バス</v>
      </c>
      <c r="F5005" t="str">
        <f>""</f>
        <v/>
      </c>
      <c r="G5005" t="str">
        <f>"頻度不明"</f>
        <v>頻度不明</v>
      </c>
      <c r="H5005" t="str">
        <f>"2002222286933"</f>
        <v>2002222286933</v>
      </c>
      <c r="I5005" t="str">
        <f>HYPERLINK("#", "https://opac.libnet.pref.okayama.jp/licsxp-opac/WOpacMsgNewListToTifTilDetailAction.do?tilcod=2002222286933")</f>
        <v>https://opac.libnet.pref.okayama.jp/licsxp-opac/WOpacMsgNewListToTifTilDetailAction.do?tilcod=2002222286933</v>
      </c>
    </row>
    <row r="5006" spans="1:9" x14ac:dyDescent="0.4">
      <c r="A5006" t="str">
        <f>"猟友会報"</f>
        <v>猟友会報</v>
      </c>
      <c r="B5006" s="1" t="str">
        <f t="shared" si="243"/>
        <v>猟友会報</v>
      </c>
      <c r="C5006" t="str">
        <f>"リョウユウ　カイホウ"</f>
        <v>リョウユウ　カイホウ</v>
      </c>
      <c r="D5006" t="str">
        <f>"岡山県猟友会"</f>
        <v>岡山県猟友会</v>
      </c>
      <c r="E5006" t="str">
        <f>"オカヤマケンリョウユウカイ"</f>
        <v>オカヤマケンリョウユウカイ</v>
      </c>
      <c r="F5006" t="str">
        <f>"岡山"</f>
        <v>岡山</v>
      </c>
      <c r="G5006" t="str">
        <f>"年刊"</f>
        <v>年刊</v>
      </c>
      <c r="H5006" t="str">
        <f>"2002222282941"</f>
        <v>2002222282941</v>
      </c>
      <c r="I5006" t="str">
        <f>HYPERLINK("#", "https://opac.libnet.pref.okayama.jp/licsxp-opac/WOpacMsgNewListToTifTilDetailAction.do?tilcod=2002222282941")</f>
        <v>https://opac.libnet.pref.okayama.jp/licsxp-opac/WOpacMsgNewListToTifTilDetailAction.do?tilcod=2002222282941</v>
      </c>
    </row>
    <row r="5007" spans="1:9" x14ac:dyDescent="0.4">
      <c r="A5007" t="str">
        <f>"両輪"</f>
        <v>両輪</v>
      </c>
      <c r="B5007" s="1" t="str">
        <f t="shared" si="243"/>
        <v>両輪</v>
      </c>
      <c r="C5007" t="str">
        <f>"リョウリン"</f>
        <v>リョウリン</v>
      </c>
      <c r="D5007" t="str">
        <f>"両備ホールディングス"</f>
        <v>両備ホールディングス</v>
      </c>
      <c r="E5007" t="str">
        <f>"リョウビ ホールディングス"</f>
        <v>リョウビ ホールディングス</v>
      </c>
      <c r="F5007" t="str">
        <f>"岡山"</f>
        <v>岡山</v>
      </c>
      <c r="G5007" t="str">
        <f>"年３回刊"</f>
        <v>年３回刊</v>
      </c>
      <c r="H5007" t="str">
        <f>"2002222293421"</f>
        <v>2002222293421</v>
      </c>
      <c r="I5007" t="str">
        <f>HYPERLINK("#", "https://opac.libnet.pref.okayama.jp/licsxp-opac/WOpacMsgNewListToTifTilDetailAction.do?tilcod=2002222293421")</f>
        <v>https://opac.libnet.pref.okayama.jp/licsxp-opac/WOpacMsgNewListToTifTilDetailAction.do?tilcod=2002222293421</v>
      </c>
    </row>
    <row r="5008" spans="1:9" x14ac:dyDescent="0.4">
      <c r="A5008" t="str">
        <f>"緑"</f>
        <v>緑</v>
      </c>
      <c r="B5008" s="1" t="str">
        <f t="shared" si="243"/>
        <v>緑</v>
      </c>
      <c r="C5008" t="str">
        <f>"リョク"</f>
        <v>リョク</v>
      </c>
      <c r="D5008" t="str">
        <f>"田中郁子"</f>
        <v>田中郁子</v>
      </c>
      <c r="E5008" t="str">
        <f>"タナカイクコ"</f>
        <v>タナカイクコ</v>
      </c>
      <c r="F5008" t="str">
        <f>"新見"</f>
        <v>新見</v>
      </c>
      <c r="G5008" t="str">
        <f>"頻度不明"</f>
        <v>頻度不明</v>
      </c>
      <c r="H5008" t="str">
        <f>"2002222282311"</f>
        <v>2002222282311</v>
      </c>
      <c r="I5008" t="str">
        <f>HYPERLINK("#", "https://opac.libnet.pref.okayama.jp/licsxp-opac/WOpacMsgNewListToTifTilDetailAction.do?tilcod=2002222282311")</f>
        <v>https://opac.libnet.pref.okayama.jp/licsxp-opac/WOpacMsgNewListToTifTilDetailAction.do?tilcod=2002222282311</v>
      </c>
    </row>
    <row r="5009" spans="1:9" x14ac:dyDescent="0.4">
      <c r="A5009" t="str">
        <f>"緑風"</f>
        <v>緑風</v>
      </c>
      <c r="B5009" s="1" t="str">
        <f t="shared" si="243"/>
        <v>緑風</v>
      </c>
      <c r="C5009" t="str">
        <f>"リョクフウ"</f>
        <v>リョクフウ</v>
      </c>
      <c r="D5009" t="str">
        <f>"小林貞男"</f>
        <v>小林貞男</v>
      </c>
      <c r="E5009" t="str">
        <f>"コバヤシサダオ"</f>
        <v>コバヤシサダオ</v>
      </c>
      <c r="F5009" t="str">
        <f>"岡山"</f>
        <v>岡山</v>
      </c>
      <c r="G5009" t="str">
        <f>"季刊"</f>
        <v>季刊</v>
      </c>
      <c r="H5009" t="str">
        <f>"2002222291721"</f>
        <v>2002222291721</v>
      </c>
      <c r="I5009" t="str">
        <f>HYPERLINK("#", "https://opac.libnet.pref.okayama.jp/licsxp-opac/WOpacMsgNewListToTifTilDetailAction.do?tilcod=2002222291721")</f>
        <v>https://opac.libnet.pref.okayama.jp/licsxp-opac/WOpacMsgNewListToTifTilDetailAction.do?tilcod=2002222291721</v>
      </c>
    </row>
    <row r="5010" spans="1:9" x14ac:dyDescent="0.4">
      <c r="A5010" t="str">
        <f>"緑友"</f>
        <v>緑友</v>
      </c>
      <c r="B5010" s="1" t="str">
        <f t="shared" si="243"/>
        <v>緑友</v>
      </c>
      <c r="C5010" t="str">
        <f>"リョクユウ"</f>
        <v>リョクユウ</v>
      </c>
      <c r="D5010" t="str">
        <f>"緑友会"</f>
        <v>緑友会</v>
      </c>
      <c r="E5010" t="str">
        <f>"リョクユウカイ"</f>
        <v>リョクユウカイ</v>
      </c>
      <c r="F5010" t="str">
        <f>""</f>
        <v/>
      </c>
      <c r="G5010" t="str">
        <f>"頻度不明"</f>
        <v>頻度不明</v>
      </c>
      <c r="H5010" t="str">
        <f>"2002222286943"</f>
        <v>2002222286943</v>
      </c>
      <c r="I5010" t="str">
        <f>HYPERLINK("#", "https://opac.libnet.pref.okayama.jp/licsxp-opac/WOpacMsgNewListToTifTilDetailAction.do?tilcod=2002222286943")</f>
        <v>https://opac.libnet.pref.okayama.jp/licsxp-opac/WOpacMsgNewListToTifTilDetailAction.do?tilcod=2002222286943</v>
      </c>
    </row>
    <row r="5011" spans="1:9" x14ac:dyDescent="0.4">
      <c r="A5011" t="str">
        <f>"緑葉会誌"</f>
        <v>緑葉会誌</v>
      </c>
      <c r="B5011" s="1" t="str">
        <f t="shared" si="243"/>
        <v>緑葉会誌</v>
      </c>
      <c r="C5011" t="str">
        <f>"リョクヨウカイ　シ"</f>
        <v>リョクヨウカイ　シ</v>
      </c>
      <c r="D5011" t="str">
        <f>"〔出版者不明〕"</f>
        <v>〔出版者不明〕</v>
      </c>
      <c r="E5011" t="str">
        <f>"シュッパンシャフメイ"</f>
        <v>シュッパンシャフメイ</v>
      </c>
      <c r="F5011" t="str">
        <f>""</f>
        <v/>
      </c>
      <c r="G5011" t="str">
        <f>"頻度不明"</f>
        <v>頻度不明</v>
      </c>
      <c r="H5011" t="str">
        <f>"2002222287683"</f>
        <v>2002222287683</v>
      </c>
      <c r="I5011" t="str">
        <f>HYPERLINK("#", "https://opac.libnet.pref.okayama.jp/licsxp-opac/WOpacMsgNewListToTifTilDetailAction.do?tilcod=2002222287683")</f>
        <v>https://opac.libnet.pref.okayama.jp/licsxp-opac/WOpacMsgNewListToTifTilDetailAction.do?tilcod=2002222287683</v>
      </c>
    </row>
    <row r="5012" spans="1:9" x14ac:dyDescent="0.4">
      <c r="A5012" t="str">
        <f>"ＬＩＲくらしき（リラくらしき）"</f>
        <v>ＬＩＲくらしき（リラくらしき）</v>
      </c>
      <c r="B5012" s="1" t="str">
        <f t="shared" si="243"/>
        <v>ＬＩＲくらしき（リラくらしき）</v>
      </c>
      <c r="C5012" t="str">
        <f>"リラ　クラシキ"</f>
        <v>リラ　クラシキ</v>
      </c>
      <c r="D5012" t="str">
        <f>"倉敷市企画局企画部女性政策課"</f>
        <v>倉敷市企画局企画部女性政策課</v>
      </c>
      <c r="E5012" t="str">
        <f>"クラシキシ キカクキョク キカクブ ジョセイ セイサクカ"</f>
        <v>クラシキシ キカクキョク キカクブ ジョセイ セイサクカ</v>
      </c>
      <c r="F5012" t="str">
        <f>"倉敷"</f>
        <v>倉敷</v>
      </c>
      <c r="G5012" t="str">
        <f>"年２回刊"</f>
        <v>年２回刊</v>
      </c>
      <c r="H5012" t="str">
        <f>"2002222293431"</f>
        <v>2002222293431</v>
      </c>
      <c r="I5012" t="str">
        <f>HYPERLINK("#", "https://opac.libnet.pref.okayama.jp/licsxp-opac/WOpacMsgNewListToTifTilDetailAction.do?tilcod=2002222293431")</f>
        <v>https://opac.libnet.pref.okayama.jp/licsxp-opac/WOpacMsgNewListToTifTilDetailAction.do?tilcod=2002222293431</v>
      </c>
    </row>
    <row r="5013" spans="1:9" x14ac:dyDescent="0.4">
      <c r="A5013" t="str">
        <f>"LLIO(リリオ)"</f>
        <v>LLIO(リリオ)</v>
      </c>
      <c r="B5013" s="1" t="str">
        <f t="shared" si="243"/>
        <v>LLIO(リリオ)</v>
      </c>
      <c r="C5013" t="str">
        <f>"リリオ"</f>
        <v>リリオ</v>
      </c>
      <c r="D5013" t="str">
        <f>"ビザビリレーションズ"</f>
        <v>ビザビリレーションズ</v>
      </c>
      <c r="E5013" t="str">
        <f>"ビザビ リレーションズ"</f>
        <v>ビザビ リレーションズ</v>
      </c>
      <c r="F5013" t="str">
        <f>"岡山"</f>
        <v>岡山</v>
      </c>
      <c r="G5013" t="str">
        <f>"季刊"</f>
        <v>季刊</v>
      </c>
      <c r="H5013" t="str">
        <f>"2002222300753"</f>
        <v>2002222300753</v>
      </c>
      <c r="I5013" t="str">
        <f>HYPERLINK("#", "https://opac.libnet.pref.okayama.jp/licsxp-opac/WOpacMsgNewListToTifTilDetailAction.do?tilcod=2002222300753")</f>
        <v>https://opac.libnet.pref.okayama.jp/licsxp-opac/WOpacMsgNewListToTifTilDetailAction.do?tilcod=2002222300753</v>
      </c>
    </row>
    <row r="5014" spans="1:9" x14ac:dyDescent="0.4">
      <c r="A5014" t="str">
        <f>"臨床法務研究"</f>
        <v>臨床法務研究</v>
      </c>
      <c r="B5014" s="1" t="str">
        <f t="shared" si="243"/>
        <v>臨床法務研究</v>
      </c>
      <c r="C5014" t="str">
        <f>"リンショウ　ホウム　ケンキュウ"</f>
        <v>リンショウ　ホウム　ケンキュウ</v>
      </c>
      <c r="D5014" t="str">
        <f>"岡山大学大学院法務研究科"</f>
        <v>岡山大学大学院法務研究科</v>
      </c>
      <c r="E5014" t="str">
        <f>"オカヤマダイガクダイガクインホウムケンキュウカ"</f>
        <v>オカヤマダイガクダイガクインホウムケンキュウカ</v>
      </c>
      <c r="F5014" t="str">
        <f>"岡山"</f>
        <v>岡山</v>
      </c>
      <c r="G5014" t="str">
        <f>"年刊"</f>
        <v>年刊</v>
      </c>
      <c r="H5014" t="str">
        <f>"2002222301134"</f>
        <v>2002222301134</v>
      </c>
      <c r="I5014" t="str">
        <f>HYPERLINK("#", "https://opac.libnet.pref.okayama.jp/licsxp-opac/WOpacMsgNewListToTifTilDetailAction.do?tilcod=2002222301134")</f>
        <v>https://opac.libnet.pref.okayama.jp/licsxp-opac/WOpacMsgNewListToTifTilDetailAction.do?tilcod=2002222301134</v>
      </c>
    </row>
    <row r="5015" spans="1:9" x14ac:dyDescent="0.4">
      <c r="A5015" t="str">
        <f>"林声"</f>
        <v>林声</v>
      </c>
      <c r="B5015" s="1" t="str">
        <f t="shared" si="243"/>
        <v>林声</v>
      </c>
      <c r="C5015" t="str">
        <f>"リンセイ"</f>
        <v>リンセイ</v>
      </c>
      <c r="D5015" t="str">
        <f>"岡山県林業改良普及協会"</f>
        <v>岡山県林業改良普及協会</v>
      </c>
      <c r="E5015" t="str">
        <f>"オカヤマケンリンギョウカイリョウフキュウキョウカイ"</f>
        <v>オカヤマケンリンギョウカイリョウフキュウキョウカイ</v>
      </c>
      <c r="F5015" t="str">
        <f>"岡山"</f>
        <v>岡山</v>
      </c>
      <c r="G5015" t="str">
        <f>"隔月刊"</f>
        <v>隔月刊</v>
      </c>
      <c r="H5015" t="str">
        <f>"2002222293441"</f>
        <v>2002222293441</v>
      </c>
      <c r="I5015" t="str">
        <f>HYPERLINK("#", "https://opac.libnet.pref.okayama.jp/licsxp-opac/WOpacMsgNewListToTifTilDetailAction.do?tilcod=2002222293441")</f>
        <v>https://opac.libnet.pref.okayama.jp/licsxp-opac/WOpacMsgNewListToTifTilDetailAction.do?tilcod=2002222293441</v>
      </c>
    </row>
    <row r="5016" spans="1:9" x14ac:dyDescent="0.4">
      <c r="A5016" t="str">
        <f>"林道"</f>
        <v>林道</v>
      </c>
      <c r="B5016" s="1" t="str">
        <f t="shared" si="243"/>
        <v>林道</v>
      </c>
      <c r="C5016" t="str">
        <f>"リンドウ"</f>
        <v>リンドウ</v>
      </c>
      <c r="D5016" t="str">
        <f>"林道発行所"</f>
        <v>林道発行所</v>
      </c>
      <c r="E5016" t="str">
        <f>"リンドウハッコウジョ"</f>
        <v>リンドウハッコウジョ</v>
      </c>
      <c r="F5016" t="str">
        <f>""</f>
        <v/>
      </c>
      <c r="G5016" t="str">
        <f>"頻度不明"</f>
        <v>頻度不明</v>
      </c>
      <c r="H5016" t="str">
        <f>"2002222286953"</f>
        <v>2002222286953</v>
      </c>
      <c r="I5016" t="str">
        <f>HYPERLINK("#", "https://opac.libnet.pref.okayama.jp/licsxp-opac/WOpacMsgNewListToTifTilDetailAction.do?tilcod=2002222286953")</f>
        <v>https://opac.libnet.pref.okayama.jp/licsxp-opac/WOpacMsgNewListToTifTilDetailAction.do?tilcod=2002222286953</v>
      </c>
    </row>
    <row r="5017" spans="1:9" x14ac:dyDescent="0.4">
      <c r="A5017" t="str">
        <f>"隣保館だより"</f>
        <v>隣保館だより</v>
      </c>
      <c r="B5017" s="1" t="str">
        <f t="shared" si="243"/>
        <v>隣保館だより</v>
      </c>
      <c r="C5017" t="str">
        <f>"リンポカン　ダヨリ"</f>
        <v>リンポカン　ダヨリ</v>
      </c>
      <c r="D5017" t="str">
        <f>"岡山市清輝隣保館地区協議会"</f>
        <v>岡山市清輝隣保館地区協議会</v>
      </c>
      <c r="E5017" t="str">
        <f>"オカヤマシセイキリンポカンチクキョウギカイ"</f>
        <v>オカヤマシセイキリンポカンチクキョウギカイ</v>
      </c>
      <c r="F5017" t="str">
        <f>""</f>
        <v/>
      </c>
      <c r="G5017" t="str">
        <f>"旬刊"</f>
        <v>旬刊</v>
      </c>
      <c r="H5017" t="str">
        <f>"2002222286963"</f>
        <v>2002222286963</v>
      </c>
      <c r="I5017" t="str">
        <f>HYPERLINK("#", "https://opac.libnet.pref.okayama.jp/licsxp-opac/WOpacMsgNewListToTifTilDetailAction.do?tilcod=2002222286963")</f>
        <v>https://opac.libnet.pref.okayama.jp/licsxp-opac/WOpacMsgNewListToTifTilDetailAction.do?tilcod=2002222286963</v>
      </c>
    </row>
    <row r="5018" spans="1:9" x14ac:dyDescent="0.4">
      <c r="A5018" t="str">
        <f>"る・る・ルン；子ども情報誌"</f>
        <v>る・る・ルン；子ども情報誌</v>
      </c>
      <c r="B5018" s="1" t="str">
        <f t="shared" si="243"/>
        <v>る・る・ルン；子ども情報誌</v>
      </c>
      <c r="C5018" t="str">
        <f>"ル　ル　ルン＊コドモ　ジョウホウシ"</f>
        <v>ル　ル　ルン＊コドモ　ジョウホウシ</v>
      </c>
      <c r="D5018" t="str">
        <f>"あいだ子どもセンター"</f>
        <v>あいだ子どもセンター</v>
      </c>
      <c r="E5018" t="str">
        <f>"アイダコドモセンター"</f>
        <v>アイダコドモセンター</v>
      </c>
      <c r="F5018" t="str">
        <f>"西粟倉村（英田郡）"</f>
        <v>西粟倉村（英田郡）</v>
      </c>
      <c r="G5018" t="str">
        <f>"頻度不明"</f>
        <v>頻度不明</v>
      </c>
      <c r="H5018" t="str">
        <f>"2002222285861"</f>
        <v>2002222285861</v>
      </c>
      <c r="I5018" t="str">
        <f>HYPERLINK("#", "https://opac.libnet.pref.okayama.jp/licsxp-opac/WOpacMsgNewListToTifTilDetailAction.do?tilcod=2002222285861")</f>
        <v>https://opac.libnet.pref.okayama.jp/licsxp-opac/WOpacMsgNewListToTifTilDetailAction.do?tilcod=2002222285861</v>
      </c>
    </row>
    <row r="5019" spans="1:9" x14ac:dyDescent="0.4">
      <c r="A5019" t="str">
        <f>"ＲＯＯ（ルー）；Ｒｏａｄ　ｏｆ　Ｏｋａｙａｍａ（ロードオブオカヤマ）"</f>
        <v>ＲＯＯ（ルー）；Ｒｏａｄ　ｏｆ　Ｏｋａｙａｍａ（ロードオブオカヤマ）</v>
      </c>
      <c r="B5019" s="1" t="str">
        <f t="shared" si="243"/>
        <v>ＲＯＯ（ルー）；Ｒｏａｄ　ｏｆ　Ｏｋａｙａｍａ（ロードオブオカヤマ）</v>
      </c>
      <c r="C5019" t="str">
        <f>"ルー＊ロード　オブ　オカヤマ"</f>
        <v>ルー＊ロード　オブ　オカヤマ</v>
      </c>
      <c r="D5019" t="str">
        <f>"国土交通省中国地方整備局岡山国道事務所"</f>
        <v>国土交通省中国地方整備局岡山国道事務所</v>
      </c>
      <c r="E5019" t="str">
        <f>"コクドコウツウショウチュウゴクチホウセイビキョクオカヤマコクドウジムキョク"</f>
        <v>コクドコウツウショウチュウゴクチホウセイビキョクオカヤマコクドウジムキョク</v>
      </c>
      <c r="F5019" t="str">
        <f t="shared" ref="F5019:F5024" si="244">"岡山"</f>
        <v>岡山</v>
      </c>
      <c r="G5019" t="str">
        <f>"頻度不明"</f>
        <v>頻度不明</v>
      </c>
      <c r="H5019" t="str">
        <f>"2002222300383"</f>
        <v>2002222300383</v>
      </c>
      <c r="I5019" t="str">
        <f>HYPERLINK("#", "https://opac.libnet.pref.okayama.jp/licsxp-opac/WOpacMsgNewListToTifTilDetailAction.do?tilcod=2002222300383")</f>
        <v>https://opac.libnet.pref.okayama.jp/licsxp-opac/WOpacMsgNewListToTifTilDetailAction.do?tilcod=2002222300383</v>
      </c>
    </row>
    <row r="5020" spans="1:9" x14ac:dyDescent="0.4">
      <c r="A5020" t="str">
        <f>"ルクポン"</f>
        <v>ルクポン</v>
      </c>
      <c r="B5020" s="1" t="str">
        <f t="shared" si="243"/>
        <v>ルクポン</v>
      </c>
      <c r="C5020" t="str">
        <f>"ルクポン"</f>
        <v>ルクポン</v>
      </c>
      <c r="D5020" t="str">
        <f>"アス"</f>
        <v>アス</v>
      </c>
      <c r="E5020" t="str">
        <f>"アス"</f>
        <v>アス</v>
      </c>
      <c r="F5020" t="str">
        <f t="shared" si="244"/>
        <v>岡山</v>
      </c>
      <c r="G5020" t="str">
        <f>"月刊"</f>
        <v>月刊</v>
      </c>
      <c r="H5020" t="str">
        <f>"2002222285781"</f>
        <v>2002222285781</v>
      </c>
      <c r="I5020" t="str">
        <f>HYPERLINK("#", "https://opac.libnet.pref.okayama.jp/licsxp-opac/WOpacMsgNewListToTifTilDetailAction.do?tilcod=2002222285781")</f>
        <v>https://opac.libnet.pref.okayama.jp/licsxp-opac/WOpacMsgNewListToTifTilDetailAction.do?tilcod=2002222285781</v>
      </c>
    </row>
    <row r="5021" spans="1:9" x14ac:dyDescent="0.4">
      <c r="A5021" t="str">
        <f>"ＲＡＣＨＥＬ（レイチェル）"</f>
        <v>ＲＡＣＨＥＬ（レイチェル）</v>
      </c>
      <c r="B5021" s="1" t="str">
        <f t="shared" si="243"/>
        <v>ＲＡＣＨＥＬ（レイチェル）</v>
      </c>
      <c r="C5021" t="str">
        <f>"レイチェル"</f>
        <v>レイチェル</v>
      </c>
      <c r="D5021" t="str">
        <f>"アイアンドエフ"</f>
        <v>アイアンドエフ</v>
      </c>
      <c r="E5021" t="str">
        <f>"アイアンドエフ"</f>
        <v>アイアンドエフ</v>
      </c>
      <c r="F5021" t="str">
        <f t="shared" si="244"/>
        <v>岡山</v>
      </c>
      <c r="G5021" t="str">
        <f>"季刊"</f>
        <v>季刊</v>
      </c>
      <c r="H5021" t="str">
        <f>"2002222300341"</f>
        <v>2002222300341</v>
      </c>
      <c r="I5021" t="str">
        <f>HYPERLINK("#", "https://opac.libnet.pref.okayama.jp/licsxp-opac/WOpacMsgNewListToTifTilDetailAction.do?tilcod=2002222300341")</f>
        <v>https://opac.libnet.pref.okayama.jp/licsxp-opac/WOpacMsgNewListToTifTilDetailAction.do?tilcod=2002222300341</v>
      </c>
    </row>
    <row r="5022" spans="1:9" x14ac:dyDescent="0.4">
      <c r="A5022" t="str">
        <f>"黎明"</f>
        <v>黎明</v>
      </c>
      <c r="B5022" s="1" t="str">
        <f t="shared" si="243"/>
        <v>黎明</v>
      </c>
      <c r="C5022" t="str">
        <f>"レイメイ"</f>
        <v>レイメイ</v>
      </c>
      <c r="D5022" t="str">
        <f>"岡山大学法経短期大学部文芸部"</f>
        <v>岡山大学法経短期大学部文芸部</v>
      </c>
      <c r="E5022" t="str">
        <f>"オカヤマ ダイガク ホウケイ タンキ ダイガクブ ブンゲイブ"</f>
        <v>オカヤマ ダイガク ホウケイ タンキ ダイガクブ ブンゲイブ</v>
      </c>
      <c r="F5022" t="str">
        <f t="shared" si="244"/>
        <v>岡山</v>
      </c>
      <c r="G5022" t="str">
        <f>"頻度不明"</f>
        <v>頻度不明</v>
      </c>
      <c r="H5022" t="str">
        <f>"2002222326886"</f>
        <v>2002222326886</v>
      </c>
      <c r="I5022" t="str">
        <f>HYPERLINK("#", "https://opac.libnet.pref.okayama.jp/licsxp-opac/WOpacMsgNewListToTifTilDetailAction.do?tilcod=2002222326886")</f>
        <v>https://opac.libnet.pref.okayama.jp/licsxp-opac/WOpacMsgNewListToTifTilDetailAction.do?tilcod=2002222326886</v>
      </c>
    </row>
    <row r="5023" spans="1:9" x14ac:dyDescent="0.4">
      <c r="A5023" t="str">
        <f>"黎明"</f>
        <v>黎明</v>
      </c>
      <c r="B5023" s="1" t="str">
        <f t="shared" si="243"/>
        <v>黎明</v>
      </c>
      <c r="C5023" t="str">
        <f>"レイメイ"</f>
        <v>レイメイ</v>
      </c>
      <c r="D5023" t="str">
        <f>"岡山県身体障害者福祉協会"</f>
        <v>岡山県身体障害者福祉協会</v>
      </c>
      <c r="E5023" t="str">
        <f>"オカヤマケン シンタイ ショウガイシャ フクシ キョウカイ"</f>
        <v>オカヤマケン シンタイ ショウガイシャ フクシ キョウカイ</v>
      </c>
      <c r="F5023" t="str">
        <f t="shared" si="244"/>
        <v>岡山</v>
      </c>
      <c r="G5023" t="str">
        <f>"頻度不明"</f>
        <v>頻度不明</v>
      </c>
      <c r="H5023" t="str">
        <f>"2002222331927"</f>
        <v>2002222331927</v>
      </c>
      <c r="I5023" t="str">
        <f>HYPERLINK("#", "https://opac.libnet.pref.okayama.jp/licsxp-opac/WOpacMsgNewListToTifTilDetailAction.do?tilcod=2002222331927")</f>
        <v>https://opac.libnet.pref.okayama.jp/licsxp-opac/WOpacMsgNewListToTifTilDetailAction.do?tilcod=2002222331927</v>
      </c>
    </row>
    <row r="5024" spans="1:9" x14ac:dyDescent="0.4">
      <c r="A5024" t="str">
        <f>"黎明"</f>
        <v>黎明</v>
      </c>
      <c r="B5024" s="1" t="str">
        <f t="shared" si="243"/>
        <v>黎明</v>
      </c>
      <c r="C5024" t="str">
        <f>"レイメイ"</f>
        <v>レイメイ</v>
      </c>
      <c r="D5024" t="str">
        <f>"岡山朝日高等学校歴史研究部"</f>
        <v>岡山朝日高等学校歴史研究部</v>
      </c>
      <c r="E5024" t="str">
        <f>"オカヤマアサヒコウトウガッコウレキシケンキュウブ"</f>
        <v>オカヤマアサヒコウトウガッコウレキシケンキュウブ</v>
      </c>
      <c r="F5024" t="str">
        <f t="shared" si="244"/>
        <v>岡山</v>
      </c>
      <c r="G5024" t="str">
        <f>"頻度不明"</f>
        <v>頻度不明</v>
      </c>
      <c r="H5024" t="str">
        <f>"2002222286973"</f>
        <v>2002222286973</v>
      </c>
      <c r="I5024" t="str">
        <f>HYPERLINK("#", "https://opac.libnet.pref.okayama.jp/licsxp-opac/WOpacMsgNewListToTifTilDetailAction.do?tilcod=2002222286973")</f>
        <v>https://opac.libnet.pref.okayama.jp/licsxp-opac/WOpacMsgNewListToTifTilDetailAction.do?tilcod=2002222286973</v>
      </c>
    </row>
    <row r="5025" spans="1:9" x14ac:dyDescent="0.4">
      <c r="A5025" t="str">
        <f>"黎明高等学校学校案内"</f>
        <v>黎明高等学校学校案内</v>
      </c>
      <c r="B5025" s="1" t="str">
        <f t="shared" si="243"/>
        <v>黎明高等学校学校案内</v>
      </c>
      <c r="C5025" t="str">
        <f>"レイメイ　コウトウ　ガッコウ　ガッコウ　アンナイ"</f>
        <v>レイメイ　コウトウ　ガッコウ　ガッコウ　アンナイ</v>
      </c>
      <c r="D5025" t="str">
        <f>"黎明高等学校"</f>
        <v>黎明高等学校</v>
      </c>
      <c r="E5025" t="str">
        <f>"レイメイコウトウガッコウ"</f>
        <v>レイメイコウトウガッコウ</v>
      </c>
      <c r="F5025" t="str">
        <f>"笠岡"</f>
        <v>笠岡</v>
      </c>
      <c r="G5025" t="str">
        <f>"年刊"</f>
        <v>年刊</v>
      </c>
      <c r="H5025" t="str">
        <f>"2002222301274"</f>
        <v>2002222301274</v>
      </c>
      <c r="I5025" t="str">
        <f>HYPERLINK("#", "https://opac.libnet.pref.okayama.jp/licsxp-opac/WOpacMsgNewListToTifTilDetailAction.do?tilcod=2002222301274")</f>
        <v>https://opac.libnet.pref.okayama.jp/licsxp-opac/WOpacMsgNewListToTifTilDetailAction.do?tilcod=2002222301274</v>
      </c>
    </row>
    <row r="5026" spans="1:9" x14ac:dyDescent="0.4">
      <c r="A5026" t="str">
        <f>"黎明高等学校学校要覧"</f>
        <v>黎明高等学校学校要覧</v>
      </c>
      <c r="B5026" s="1" t="str">
        <f t="shared" si="243"/>
        <v>黎明高等学校学校要覧</v>
      </c>
      <c r="C5026" t="str">
        <f>"レイメイ コウトウ ガッコウ ガッコウ ヨウラン"</f>
        <v>レイメイ コウトウ ガッコウ ガッコウ ヨウラン</v>
      </c>
      <c r="D5026" t="str">
        <f>"黎明高等学校"</f>
        <v>黎明高等学校</v>
      </c>
      <c r="E5026" t="str">
        <f>"レイメイコウトウガッコウ"</f>
        <v>レイメイコウトウガッコウ</v>
      </c>
      <c r="F5026" t="str">
        <f>"笠岡"</f>
        <v>笠岡</v>
      </c>
      <c r="G5026" t="str">
        <f>"年刊"</f>
        <v>年刊</v>
      </c>
      <c r="H5026" t="str">
        <f>"2002222300584"</f>
        <v>2002222300584</v>
      </c>
      <c r="I5026" t="str">
        <f>HYPERLINK("#", "https://opac.libnet.pref.okayama.jp/licsxp-opac/WOpacMsgNewListToTifTilDetailAction.do?tilcod=2002222300584")</f>
        <v>https://opac.libnet.pref.okayama.jp/licsxp-opac/WOpacMsgNewListToTifTilDetailAction.do?tilcod=2002222300584</v>
      </c>
    </row>
    <row r="5027" spans="1:9" x14ac:dyDescent="0.4">
      <c r="A5027" t="str">
        <f>"REGALO"</f>
        <v>REGALO</v>
      </c>
      <c r="B5027" s="1" t="str">
        <f t="shared" si="243"/>
        <v>REGALO</v>
      </c>
      <c r="C5027" t="str">
        <f>"レガロ"</f>
        <v>レガロ</v>
      </c>
      <c r="D5027" t="str">
        <f>"浅野産業株式会社"</f>
        <v>浅野産業株式会社</v>
      </c>
      <c r="E5027" t="str">
        <f>"アサノ サンギョウ カブシキ ガイシャ"</f>
        <v>アサノ サンギョウ カブシキ ガイシャ</v>
      </c>
      <c r="F5027" t="str">
        <f>"岡山"</f>
        <v>岡山</v>
      </c>
      <c r="G5027" t="str">
        <f>"年３回刊"</f>
        <v>年３回刊</v>
      </c>
      <c r="H5027" t="str">
        <f>"2002222322726"</f>
        <v>2002222322726</v>
      </c>
      <c r="I5027" t="str">
        <f>HYPERLINK("#", "https://opac.libnet.pref.okayama.jp/licsxp-opac/WOpacMsgNewListToTifTilDetailAction.do?tilcod=2002222322726")</f>
        <v>https://opac.libnet.pref.okayama.jp/licsxp-opac/WOpacMsgNewListToTifTilDetailAction.do?tilcod=2002222322726</v>
      </c>
    </row>
    <row r="5028" spans="1:9" x14ac:dyDescent="0.4">
      <c r="A5028" t="str">
        <f>"歴研おかやま"</f>
        <v>歴研おかやま</v>
      </c>
      <c r="B5028" s="1" t="str">
        <f t="shared" si="243"/>
        <v>歴研おかやま</v>
      </c>
      <c r="C5028" t="str">
        <f>"レキケン オカヤマ"</f>
        <v>レキケン オカヤマ</v>
      </c>
      <c r="D5028" t="str">
        <f>"岡山歴史研究会"</f>
        <v>岡山歴史研究会</v>
      </c>
      <c r="E5028" t="str">
        <f>"オカヤマ レキシ ケンキュウカイ"</f>
        <v>オカヤマ レキシ ケンキュウカイ</v>
      </c>
      <c r="F5028" t="str">
        <f>"岡山"</f>
        <v>岡山</v>
      </c>
      <c r="G5028" t="str">
        <f>"年３回刊"</f>
        <v>年３回刊</v>
      </c>
      <c r="H5028" t="str">
        <f>"2002222306143"</f>
        <v>2002222306143</v>
      </c>
      <c r="I5028" t="str">
        <f>HYPERLINK("#", "https://opac.libnet.pref.okayama.jp/licsxp-opac/WOpacMsgNewListToTifTilDetailAction.do?tilcod=2002222306143")</f>
        <v>https://opac.libnet.pref.okayama.jp/licsxp-opac/WOpacMsgNewListToTifTilDetailAction.do?tilcod=2002222306143</v>
      </c>
    </row>
    <row r="5029" spans="1:9" x14ac:dyDescent="0.4">
      <c r="A5029" t="str">
        <f>"歴史と観光新聞"</f>
        <v>歴史と観光新聞</v>
      </c>
      <c r="B5029" s="1" t="str">
        <f t="shared" si="243"/>
        <v>歴史と観光新聞</v>
      </c>
      <c r="C5029" t="str">
        <f>"レキシ　ト　カンコウ　シンブン"</f>
        <v>レキシ　ト　カンコウ　シンブン</v>
      </c>
      <c r="D5029" t="str">
        <f>"郷土史研究会"</f>
        <v>郷土史研究会</v>
      </c>
      <c r="E5029" t="str">
        <f>"キョウドシケンキュウカイ"</f>
        <v>キョウドシケンキュウカイ</v>
      </c>
      <c r="F5029" t="str">
        <f>"岡山"</f>
        <v>岡山</v>
      </c>
      <c r="G5029" t="str">
        <f>"月刊"</f>
        <v>月刊</v>
      </c>
      <c r="H5029" t="str">
        <f>"2002222300982"</f>
        <v>2002222300982</v>
      </c>
      <c r="I5029" t="str">
        <f>HYPERLINK("#", "https://opac.libnet.pref.okayama.jp/licsxp-opac/WOpacMsgNewListToTifTilDetailAction.do?tilcod=2002222300982")</f>
        <v>https://opac.libnet.pref.okayama.jp/licsxp-opac/WOpacMsgNewListToTifTilDetailAction.do?tilcod=2002222300982</v>
      </c>
    </row>
    <row r="5030" spans="1:9" x14ac:dyDescent="0.4">
      <c r="A5030" t="str">
        <f>"r?colte（レコルト）"</f>
        <v>r?colte（レコルト）</v>
      </c>
      <c r="B5030" s="1" t="str">
        <f t="shared" si="243"/>
        <v>r?colte（レコルト）</v>
      </c>
      <c r="C5030" t="str">
        <f>"レコルト"</f>
        <v>レコルト</v>
      </c>
      <c r="D5030" t="str">
        <f>"岡山東農業協同組合"</f>
        <v>岡山東農業協同組合</v>
      </c>
      <c r="E5030" t="str">
        <f>"オカヤマ ヒガシ ノウギョウ キョウドウ クミアイ"</f>
        <v>オカヤマ ヒガシ ノウギョウ キョウドウ クミアイ</v>
      </c>
      <c r="F5030" t="str">
        <f>"岡山"</f>
        <v>岡山</v>
      </c>
      <c r="G5030" t="str">
        <f>"年刊"</f>
        <v>年刊</v>
      </c>
      <c r="H5030" t="str">
        <f>"2002222335530"</f>
        <v>2002222335530</v>
      </c>
      <c r="I5030" t="str">
        <f>HYPERLINK("#", "https://opac.libnet.pref.okayama.jp/licsxp-opac/WOpacMsgNewListToTifTilDetailAction.do?tilcod=2002222335530")</f>
        <v>https://opac.libnet.pref.okayama.jp/licsxp-opac/WOpacMsgNewListToTifTilDetailAction.do?tilcod=2002222335530</v>
      </c>
    </row>
    <row r="5031" spans="1:9" x14ac:dyDescent="0.4">
      <c r="A5031" t="str">
        <f>"レシピ＆Ｒｅｃｉｐｅ！"</f>
        <v>レシピ＆Ｒｅｃｉｐｅ！</v>
      </c>
      <c r="B5031" s="1" t="str">
        <f t="shared" si="243"/>
        <v>レシピ＆Ｒｅｃｉｐｅ！</v>
      </c>
      <c r="C5031" t="str">
        <f>"レシピ　アンド　レシピ"</f>
        <v>レシピ　アンド　レシピ</v>
      </c>
      <c r="D5031" t="str">
        <f>"阪神ぱど岡山営業部"</f>
        <v>阪神ぱど岡山営業部</v>
      </c>
      <c r="E5031" t="str">
        <f>"ハンシンパドオカヤマエイギョウブ"</f>
        <v>ハンシンパドオカヤマエイギョウブ</v>
      </c>
      <c r="F5031" t="str">
        <f>"岡山"</f>
        <v>岡山</v>
      </c>
      <c r="G5031" t="str">
        <f>"月刊"</f>
        <v>月刊</v>
      </c>
      <c r="H5031" t="str">
        <f>"2002222302459"</f>
        <v>2002222302459</v>
      </c>
      <c r="I5031" t="str">
        <f>HYPERLINK("#", "https://opac.libnet.pref.okayama.jp/licsxp-opac/WOpacMsgNewListToTifTilDetailAction.do?tilcod=2002222302459")</f>
        <v>https://opac.libnet.pref.okayama.jp/licsxp-opac/WOpacMsgNewListToTifTilDetailAction.do?tilcod=2002222302459</v>
      </c>
    </row>
    <row r="5032" spans="1:9" x14ac:dyDescent="0.4">
      <c r="A5032" t="str">
        <f>"レジャー瀬戸"</f>
        <v>レジャー瀬戸</v>
      </c>
      <c r="B5032" s="1" t="str">
        <f t="shared" si="243"/>
        <v>レジャー瀬戸</v>
      </c>
      <c r="C5032" t="str">
        <f>"レジャー　セト"</f>
        <v>レジャー　セト</v>
      </c>
      <c r="D5032" t="str">
        <f>"東亜工業株式会社"</f>
        <v>東亜工業株式会社</v>
      </c>
      <c r="E5032" t="str">
        <f>"トウアコウギョウカブシキガイシャ"</f>
        <v>トウアコウギョウカブシキガイシャ</v>
      </c>
      <c r="F5032" t="str">
        <f>""</f>
        <v/>
      </c>
      <c r="G5032" t="str">
        <f>"頻度不明"</f>
        <v>頻度不明</v>
      </c>
      <c r="H5032" t="str">
        <f>"2002222286983"</f>
        <v>2002222286983</v>
      </c>
      <c r="I5032" t="str">
        <f>HYPERLINK("#", "https://opac.libnet.pref.okayama.jp/licsxp-opac/WOpacMsgNewListToTifTilDetailAction.do?tilcod=2002222286983")</f>
        <v>https://opac.libnet.pref.okayama.jp/licsxp-opac/WOpacMsgNewListToTifTilDetailAction.do?tilcod=2002222286983</v>
      </c>
    </row>
    <row r="5033" spans="1:9" x14ac:dyDescent="0.4">
      <c r="A5033" t="str">
        <f>"レジャーフィッシング"</f>
        <v>レジャーフィッシング</v>
      </c>
      <c r="B5033" s="1" t="str">
        <f t="shared" si="243"/>
        <v>レジャーフィッシング</v>
      </c>
      <c r="C5033" t="str">
        <f>"レジャー　フィッシング"</f>
        <v>レジャー　フィッシング</v>
      </c>
      <c r="D5033" t="str">
        <f>"ＫＧ情報"</f>
        <v>ＫＧ情報</v>
      </c>
      <c r="E5033" t="str">
        <f>"ケージージョウホウ"</f>
        <v>ケージージョウホウ</v>
      </c>
      <c r="F5033" t="str">
        <f>"岡山"</f>
        <v>岡山</v>
      </c>
      <c r="G5033" t="str">
        <f>"月刊"</f>
        <v>月刊</v>
      </c>
      <c r="H5033" t="str">
        <f>"2002222281501"</f>
        <v>2002222281501</v>
      </c>
      <c r="I5033" t="str">
        <f>HYPERLINK("#", "https://opac.libnet.pref.okayama.jp/licsxp-opac/WOpacMsgNewListToTifTilDetailAction.do?tilcod=2002222281501")</f>
        <v>https://opac.libnet.pref.okayama.jp/licsxp-opac/WOpacMsgNewListToTifTilDetailAction.do?tilcod=2002222281501</v>
      </c>
    </row>
    <row r="5034" spans="1:9" x14ac:dyDescent="0.4">
      <c r="A5034" t="str">
        <f>"れじょん"</f>
        <v>れじょん</v>
      </c>
      <c r="B5034" s="1" t="str">
        <f t="shared" si="243"/>
        <v>れじょん</v>
      </c>
      <c r="C5034" t="str">
        <f>"レジョン"</f>
        <v>レジョン</v>
      </c>
      <c r="D5034" t="str">
        <f>"岡山県市町村振興協会"</f>
        <v>岡山県市町村振興協会</v>
      </c>
      <c r="E5034" t="str">
        <f>"オカヤマケン シチョウソン シンコウ キョウカイ"</f>
        <v>オカヤマケン シチョウソン シンコウ キョウカイ</v>
      </c>
      <c r="F5034" t="str">
        <f>"岡山"</f>
        <v>岡山</v>
      </c>
      <c r="G5034" t="str">
        <f>"年３回刊"</f>
        <v>年３回刊</v>
      </c>
      <c r="H5034" t="str">
        <f>"2002222293461"</f>
        <v>2002222293461</v>
      </c>
      <c r="I5034" t="str">
        <f>HYPERLINK("#", "https://opac.libnet.pref.okayama.jp/licsxp-opac/WOpacMsgNewListToTifTilDetailAction.do?tilcod=2002222293461")</f>
        <v>https://opac.libnet.pref.okayama.jp/licsxp-opac/WOpacMsgNewListToTifTilDetailAction.do?tilcod=2002222293461</v>
      </c>
    </row>
    <row r="5035" spans="1:9" x14ac:dyDescent="0.4">
      <c r="A5035" t="str">
        <f>"列外"</f>
        <v>列外</v>
      </c>
      <c r="B5035" s="1" t="str">
        <f t="shared" si="243"/>
        <v>列外</v>
      </c>
      <c r="C5035" t="str">
        <f>"レツガイ"</f>
        <v>レツガイ</v>
      </c>
      <c r="D5035" t="str">
        <f>"平松 久雄"</f>
        <v>平松 久雄</v>
      </c>
      <c r="E5035" t="str">
        <f>"ヒラマツ ヒサオ"</f>
        <v>ヒラマツ ヒサオ</v>
      </c>
      <c r="F5035" t="str">
        <f>"高梁"</f>
        <v>高梁</v>
      </c>
      <c r="G5035" t="str">
        <f>"頻度不明"</f>
        <v>頻度不明</v>
      </c>
      <c r="H5035" t="str">
        <f>"2002222280934"</f>
        <v>2002222280934</v>
      </c>
      <c r="I5035" t="str">
        <f>HYPERLINK("#", "https://opac.libnet.pref.okayama.jp/licsxp-opac/WOpacMsgNewListToTifTilDetailAction.do?tilcod=2002222280934")</f>
        <v>https://opac.libnet.pref.okayama.jp/licsxp-opac/WOpacMsgNewListToTifTilDetailAction.do?tilcod=2002222280934</v>
      </c>
    </row>
    <row r="5036" spans="1:9" x14ac:dyDescent="0.4">
      <c r="A5036" t="str">
        <f>"Ｌｅｄｙ・ａ（レディア）"</f>
        <v>Ｌｅｄｙ・ａ（レディア）</v>
      </c>
      <c r="B5036" s="1" t="str">
        <f t="shared" si="243"/>
        <v>Ｌｅｄｙ・ａ（レディア）</v>
      </c>
      <c r="C5036" t="str">
        <f>"レディア"</f>
        <v>レディア</v>
      </c>
      <c r="D5036" t="str">
        <f>"山陽新聞社"</f>
        <v>山陽新聞社</v>
      </c>
      <c r="E5036" t="str">
        <f>"サンヨウシンブンシャ"</f>
        <v>サンヨウシンブンシャ</v>
      </c>
      <c r="F5036" t="str">
        <f>"岡山"</f>
        <v>岡山</v>
      </c>
      <c r="G5036" t="str">
        <f>"月２回刊"</f>
        <v>月２回刊</v>
      </c>
      <c r="H5036" t="str">
        <f>"2002222300898"</f>
        <v>2002222300898</v>
      </c>
      <c r="I5036" t="str">
        <f>HYPERLINK("#", "https://opac.libnet.pref.okayama.jp/licsxp-opac/WOpacMsgNewListToTifTilDetailAction.do?tilcod=2002222300898")</f>
        <v>https://opac.libnet.pref.okayama.jp/licsxp-opac/WOpacMsgNewListToTifTilDetailAction.do?tilcod=2002222300898</v>
      </c>
    </row>
    <row r="5037" spans="1:9" x14ac:dyDescent="0.4">
      <c r="A5037" t="str">
        <f>"Ｒａｄｉｏ　ＭｏＭｏ　ＦＭ　７９．０ＭＨｚ　ＴＩＭＥ　ＴＡＢＬＥ"</f>
        <v>Ｒａｄｉｏ　ＭｏＭｏ　ＦＭ　７９．０ＭＨｚ　ＴＩＭＥ　ＴＡＢＬＥ</v>
      </c>
      <c r="B5037" s="1" t="str">
        <f t="shared" si="243"/>
        <v>Ｒａｄｉｏ　ＭｏＭｏ　ＦＭ　７９．０ＭＨｚ　ＴＩＭＥ　ＴＡＢＬＥ</v>
      </c>
      <c r="C5037" t="str">
        <f>"レディオ　モモ　エフ　エム　ナナキュウテンゼロ　メガヘルツ　タイム　テーブル"</f>
        <v>レディオ　モモ　エフ　エム　ナナキュウテンゼロ　メガヘルツ　タイム　テーブル</v>
      </c>
      <c r="D5037" t="str">
        <f>"岡山シティエフエム"</f>
        <v>岡山シティエフエム</v>
      </c>
      <c r="E5037" t="str">
        <f>"オカヤマシティエフエム"</f>
        <v>オカヤマシティエフエム</v>
      </c>
      <c r="F5037" t="str">
        <f>"岡山"</f>
        <v>岡山</v>
      </c>
      <c r="G5037" t="str">
        <f>"年２回刊"</f>
        <v>年２回刊</v>
      </c>
      <c r="H5037" t="str">
        <f>"2002222282131"</f>
        <v>2002222282131</v>
      </c>
      <c r="I5037" t="str">
        <f>HYPERLINK("#", "https://opac.libnet.pref.okayama.jp/licsxp-opac/WOpacMsgNewListToTifTilDetailAction.do?tilcod=2002222282131")</f>
        <v>https://opac.libnet.pref.okayama.jp/licsxp-opac/WOpacMsgNewListToTifTilDetailAction.do?tilcod=2002222282131</v>
      </c>
    </row>
    <row r="5038" spans="1:9" x14ac:dyDescent="0.4">
      <c r="A5038" t="str">
        <f>"レボレボ"</f>
        <v>レボレボ</v>
      </c>
      <c r="B5038" s="1" t="str">
        <f t="shared" si="243"/>
        <v>レボレボ</v>
      </c>
      <c r="C5038" t="str">
        <f>"レボ レボ"</f>
        <v>レボ レボ</v>
      </c>
      <c r="D5038" t="str">
        <f>"ディ・エス・エス"</f>
        <v>ディ・エス・エス</v>
      </c>
      <c r="E5038" t="str">
        <f>"ディ エス エス"</f>
        <v>ディ エス エス</v>
      </c>
      <c r="F5038" t="str">
        <f>"岡山"</f>
        <v>岡山</v>
      </c>
      <c r="G5038" t="str">
        <f>"月刊"</f>
        <v>月刊</v>
      </c>
      <c r="H5038" t="str">
        <f>"2002222334755"</f>
        <v>2002222334755</v>
      </c>
      <c r="I5038" t="str">
        <f>HYPERLINK("#", "https://opac.libnet.pref.okayama.jp/licsxp-opac/WOpacMsgNewListToTifTilDetailAction.do?tilcod=2002222334755")</f>
        <v>https://opac.libnet.pref.okayama.jp/licsxp-opac/WOpacMsgNewListToTifTilDetailAction.do?tilcod=2002222334755</v>
      </c>
    </row>
    <row r="5039" spans="1:9" x14ac:dyDescent="0.4">
      <c r="A5039" t="str">
        <f>"RENGO OKAYAMA NEWS（連合岡山ニュース）"</f>
        <v>RENGO OKAYAMA NEWS（連合岡山ニュース）</v>
      </c>
      <c r="B5039" s="1" t="str">
        <f t="shared" si="243"/>
        <v>RENGO OKAYAMA NEWS（連合岡山ニュース）</v>
      </c>
      <c r="C5039" t="str">
        <f>"レンゴウ オカヤマ ニュース"</f>
        <v>レンゴウ オカヤマ ニュース</v>
      </c>
      <c r="D5039" t="str">
        <f>"日本労働組合総連合会岡山県連合会"</f>
        <v>日本労働組合総連合会岡山県連合会</v>
      </c>
      <c r="E5039" t="str">
        <f>"ニホン ロウドウ クミアイ ソウレンゴウカイ オカヤマケン レンゴウカイ"</f>
        <v>ニホン ロウドウ クミアイ ソウレンゴウカイ オカヤマケン レンゴウカイ</v>
      </c>
      <c r="F5039" t="str">
        <f>"岡山"</f>
        <v>岡山</v>
      </c>
      <c r="G5039" t="str">
        <f>"頻度不明"</f>
        <v>頻度不明</v>
      </c>
      <c r="H5039" t="str">
        <f>"2002222343633"</f>
        <v>2002222343633</v>
      </c>
      <c r="I5039" t="str">
        <f>HYPERLINK("#", "https://opac.libnet.pref.okayama.jp/licsxp-opac/WOpacMsgNewListToTifTilDetailAction.do?tilcod=2002222343633")</f>
        <v>https://opac.libnet.pref.okayama.jp/licsxp-opac/WOpacMsgNewListToTifTilDetailAction.do?tilcod=2002222343633</v>
      </c>
    </row>
    <row r="5040" spans="1:9" x14ac:dyDescent="0.4">
      <c r="A5040" t="str">
        <f>"連合シルバーおかやま"</f>
        <v>連合シルバーおかやま</v>
      </c>
      <c r="B5040" s="1" t="str">
        <f t="shared" si="243"/>
        <v>連合シルバーおかやま</v>
      </c>
      <c r="C5040" t="str">
        <f>"レンゴウ シルバー オカヤマ"</f>
        <v>レンゴウ シルバー オカヤマ</v>
      </c>
      <c r="D5040" t="str">
        <f>"岡山県シルバー人材センター連合会"</f>
        <v>岡山県シルバー人材センター連合会</v>
      </c>
      <c r="E5040" t="str">
        <f>"オカヤマケン シルバー ジンザイ センター レンゴウカイ"</f>
        <v>オカヤマケン シルバー ジンザイ センター レンゴウカイ</v>
      </c>
      <c r="F5040" t="str">
        <f>"岡山"</f>
        <v>岡山</v>
      </c>
      <c r="G5040" t="str">
        <f>"年２回刊"</f>
        <v>年２回刊</v>
      </c>
      <c r="H5040" t="str">
        <f>"2002222332128"</f>
        <v>2002222332128</v>
      </c>
      <c r="I5040" t="str">
        <f>HYPERLINK("#", "https://opac.libnet.pref.okayama.jp/licsxp-opac/WOpacMsgNewListToTifTilDetailAction.do?tilcod=2002222332128")</f>
        <v>https://opac.libnet.pref.okayama.jp/licsxp-opac/WOpacMsgNewListToTifTilDetailAction.do?tilcod=2002222332128</v>
      </c>
    </row>
    <row r="5041" spans="1:9" x14ac:dyDescent="0.4">
      <c r="A5041" t="str">
        <f>"連帯時報"</f>
        <v>連帯時報</v>
      </c>
      <c r="B5041" s="1" t="str">
        <f t="shared" si="243"/>
        <v>連帯時報</v>
      </c>
      <c r="C5041" t="str">
        <f>"レンタイ　ジホウ"</f>
        <v>レンタイ　ジホウ</v>
      </c>
      <c r="D5041" t="str">
        <f>"岡山県社会事業協会"</f>
        <v>岡山県社会事業協会</v>
      </c>
      <c r="E5041" t="str">
        <f>"オカヤマケン シャカイ ジギョウ キョウカイ"</f>
        <v>オカヤマケン シャカイ ジギョウ キョウカイ</v>
      </c>
      <c r="F5041" t="str">
        <f>""</f>
        <v/>
      </c>
      <c r="G5041" t="str">
        <f>"頻度不明"</f>
        <v>頻度不明</v>
      </c>
      <c r="H5041" t="str">
        <f>"2002222286993"</f>
        <v>2002222286993</v>
      </c>
      <c r="I5041" t="str">
        <f>HYPERLINK("#", "https://opac.libnet.pref.okayama.jp/licsxp-opac/WOpacMsgNewListToTifTilDetailAction.do?tilcod=2002222286993")</f>
        <v>https://opac.libnet.pref.okayama.jp/licsxp-opac/WOpacMsgNewListToTifTilDetailAction.do?tilcod=2002222286993</v>
      </c>
    </row>
    <row r="5042" spans="1:9" x14ac:dyDescent="0.4">
      <c r="A5042" t="str">
        <f>"連帯時報"</f>
        <v>連帯時報</v>
      </c>
      <c r="B5042" s="1" t="str">
        <f t="shared" si="243"/>
        <v>連帯時報</v>
      </c>
      <c r="C5042" t="str">
        <f>"レンタイ　ジホウ"</f>
        <v>レンタイ　ジホウ</v>
      </c>
      <c r="D5042" t="str">
        <f>"岡山県社会事業協会"</f>
        <v>岡山県社会事業協会</v>
      </c>
      <c r="E5042" t="str">
        <f>"オカヤマケン シャカイ ジギョウ キョウカイ"</f>
        <v>オカヤマケン シャカイ ジギョウ キョウカイ</v>
      </c>
      <c r="F5042" t="str">
        <f>"岡山"</f>
        <v>岡山</v>
      </c>
      <c r="G5042" t="str">
        <f>"旬刊"</f>
        <v>旬刊</v>
      </c>
      <c r="H5042" t="str">
        <f>"2002222301075"</f>
        <v>2002222301075</v>
      </c>
      <c r="I5042" t="str">
        <f>HYPERLINK("#", "https://opac.libnet.pref.okayama.jp/licsxp-opac/WOpacMsgNewListToTifTilDetailAction.do?tilcod=2002222301075")</f>
        <v>https://opac.libnet.pref.okayama.jp/licsxp-opac/WOpacMsgNewListToTifTilDetailAction.do?tilcod=2002222301075</v>
      </c>
    </row>
    <row r="5043" spans="1:9" x14ac:dyDescent="0.4">
      <c r="A5043" t="str">
        <f>"老健おかやま；岡山県老人保健施設協会広報誌"</f>
        <v>老健おかやま；岡山県老人保健施設協会広報誌</v>
      </c>
      <c r="B5043" s="1" t="str">
        <f t="shared" si="243"/>
        <v>老健おかやま；岡山県老人保健施設協会広報誌</v>
      </c>
      <c r="C5043" t="str">
        <f>"ロウケン オカヤマ＊オカヤマケン ロウジン ホケン シセツ キョウカイ コウホウシ"</f>
        <v>ロウケン オカヤマ＊オカヤマケン ロウジン ホケン シセツ キョウカイ コウホウシ</v>
      </c>
      <c r="D5043" t="str">
        <f>"岡山県老人保健施設協会"</f>
        <v>岡山県老人保健施設協会</v>
      </c>
      <c r="E5043" t="str">
        <f>"オカヤマケンロウジンホケンシセツキョウカイ"</f>
        <v>オカヤマケンロウジンホケンシセツキョウカイ</v>
      </c>
      <c r="F5043" t="str">
        <f>"鏡野町(苫田郡)"</f>
        <v>鏡野町(苫田郡)</v>
      </c>
      <c r="G5043" t="str">
        <f>"年２回刊"</f>
        <v>年２回刊</v>
      </c>
      <c r="H5043" t="str">
        <f>"2002222324289"</f>
        <v>2002222324289</v>
      </c>
      <c r="I5043" t="str">
        <f>HYPERLINK("#", "https://opac.libnet.pref.okayama.jp/licsxp-opac/WOpacMsgNewListToTifTilDetailAction.do?tilcod=2002222324289")</f>
        <v>https://opac.libnet.pref.okayama.jp/licsxp-opac/WOpacMsgNewListToTifTilDetailAction.do?tilcod=2002222324289</v>
      </c>
    </row>
    <row r="5044" spans="1:9" x14ac:dyDescent="0.4">
      <c r="A5044" t="str">
        <f>"老人をかかえて"</f>
        <v>老人をかかえて</v>
      </c>
      <c r="B5044" s="1" t="str">
        <f t="shared" si="243"/>
        <v>老人をかかえて</v>
      </c>
      <c r="C5044" t="str">
        <f>"ロウジン　オ　カカエテ"</f>
        <v>ロウジン　オ　カカエテ</v>
      </c>
      <c r="D5044" t="str">
        <f>"呆け老人をかかえる家族の会岡山県支部"</f>
        <v>呆け老人をかかえる家族の会岡山県支部</v>
      </c>
      <c r="E5044" t="str">
        <f>"ボケロウジンオカカエルカゾクノカイオカヤマケンシブ"</f>
        <v>ボケロウジンオカカエルカゾクノカイオカヤマケンシブ</v>
      </c>
      <c r="F5044" t="str">
        <f>"岡山"</f>
        <v>岡山</v>
      </c>
      <c r="G5044" t="str">
        <f>"頻度不明"</f>
        <v>頻度不明</v>
      </c>
      <c r="H5044" t="str">
        <f>"2002222282361"</f>
        <v>2002222282361</v>
      </c>
      <c r="I5044" t="str">
        <f>HYPERLINK("#", "https://opac.libnet.pref.okayama.jp/licsxp-opac/WOpacMsgNewListToTifTilDetailAction.do?tilcod=2002222282361")</f>
        <v>https://opac.libnet.pref.okayama.jp/licsxp-opac/WOpacMsgNewListToTifTilDetailAction.do?tilcod=2002222282361</v>
      </c>
    </row>
    <row r="5045" spans="1:9" x14ac:dyDescent="0.4">
      <c r="A5045" t="str">
        <f>"漏斗"</f>
        <v>漏斗</v>
      </c>
      <c r="B5045" s="1" t="str">
        <f t="shared" si="243"/>
        <v>漏斗</v>
      </c>
      <c r="C5045" t="str">
        <f>"ロウト"</f>
        <v>ロウト</v>
      </c>
      <c r="D5045" t="str">
        <f>"美作町公民館巨勢分館"</f>
        <v>美作町公民館巨勢分館</v>
      </c>
      <c r="E5045" t="str">
        <f>"ミマサカチョウコウミンカンコセブンカン"</f>
        <v>ミマサカチョウコウミンカンコセブンカン</v>
      </c>
      <c r="F5045" t="str">
        <f>""</f>
        <v/>
      </c>
      <c r="G5045" t="str">
        <f>"頻度不明"</f>
        <v>頻度不明</v>
      </c>
      <c r="H5045" t="str">
        <f>"2002222288003"</f>
        <v>2002222288003</v>
      </c>
      <c r="I5045" t="str">
        <f>HYPERLINK("#", "https://opac.libnet.pref.okayama.jp/licsxp-opac/WOpacMsgNewListToTifTilDetailAction.do?tilcod=2002222288003")</f>
        <v>https://opac.libnet.pref.okayama.jp/licsxp-opac/WOpacMsgNewListToTifTilDetailAction.do?tilcod=2002222288003</v>
      </c>
    </row>
    <row r="5046" spans="1:9" x14ac:dyDescent="0.4">
      <c r="A5046" t="str">
        <f>"労働科学研究"</f>
        <v>労働科学研究</v>
      </c>
      <c r="B5046" s="1" t="str">
        <f t="shared" si="243"/>
        <v>労働科学研究</v>
      </c>
      <c r="C5046" t="str">
        <f>"ロウドウ　カガク　ケンキュウ"</f>
        <v>ロウドウ　カガク　ケンキュウ</v>
      </c>
      <c r="D5046" t="str">
        <f>"倉敷労働科学研究所"</f>
        <v>倉敷労働科学研究所</v>
      </c>
      <c r="E5046" t="str">
        <f>"クラシキ ロウドウ カガク ケンキュウジョ"</f>
        <v>クラシキ ロウドウ カガク ケンキュウジョ</v>
      </c>
      <c r="F5046" t="str">
        <f>""</f>
        <v/>
      </c>
      <c r="G5046" t="str">
        <f>"頻度不明"</f>
        <v>頻度不明</v>
      </c>
      <c r="H5046" t="str">
        <f>"2002222288013"</f>
        <v>2002222288013</v>
      </c>
      <c r="I5046" t="str">
        <f>HYPERLINK("#", "https://opac.libnet.pref.okayama.jp/licsxp-opac/WOpacMsgNewListToTifTilDetailAction.do?tilcod=2002222288013")</f>
        <v>https://opac.libnet.pref.okayama.jp/licsxp-opac/WOpacMsgNewListToTifTilDetailAction.do?tilcod=2002222288013</v>
      </c>
    </row>
    <row r="5047" spans="1:9" x14ac:dyDescent="0.4">
      <c r="A5047" t="str">
        <f>"労働記帳集計月報"</f>
        <v>労働記帳集計月報</v>
      </c>
      <c r="B5047" s="1" t="str">
        <f t="shared" si="243"/>
        <v>労働記帳集計月報</v>
      </c>
      <c r="C5047" t="str">
        <f>"ロウドウ　キチョウ　シュウケイ　ゲッポウ"</f>
        <v>ロウドウ　キチョウ　シュウケイ　ゲッポウ</v>
      </c>
      <c r="D5047" t="str">
        <f>"新池機械化調査委員会"</f>
        <v>新池機械化調査委員会</v>
      </c>
      <c r="E5047" t="str">
        <f>"ニイイケキカイカチョウサイインカイ"</f>
        <v>ニイイケキカイカチョウサイインカイ</v>
      </c>
      <c r="F5047" t="str">
        <f>"岡山"</f>
        <v>岡山</v>
      </c>
      <c r="G5047" t="str">
        <f>"月刊"</f>
        <v>月刊</v>
      </c>
      <c r="H5047" t="str">
        <f>"2002222300658"</f>
        <v>2002222300658</v>
      </c>
      <c r="I5047" t="str">
        <f>HYPERLINK("#", "https://opac.libnet.pref.okayama.jp/licsxp-opac/WOpacMsgNewListToTifTilDetailAction.do?tilcod=2002222300658")</f>
        <v>https://opac.libnet.pref.okayama.jp/licsxp-opac/WOpacMsgNewListToTifTilDetailAction.do?tilcod=2002222300658</v>
      </c>
    </row>
    <row r="5048" spans="1:9" x14ac:dyDescent="0.4">
      <c r="A5048" t="str">
        <f>"労働市場月報"</f>
        <v>労働市場月報</v>
      </c>
      <c r="B5048" s="1" t="str">
        <f t="shared" si="243"/>
        <v>労働市場月報</v>
      </c>
      <c r="C5048" t="str">
        <f>"ロウドウ　シジョウ　ゲッポウ"</f>
        <v>ロウドウ　シジョウ　ゲッポウ</v>
      </c>
      <c r="D5048" t="str">
        <f>"岡山県職業安定課"</f>
        <v>岡山県職業安定課</v>
      </c>
      <c r="E5048" t="str">
        <f>"オカヤマケン ショクギョウ アンテイカ"</f>
        <v>オカヤマケン ショクギョウ アンテイカ</v>
      </c>
      <c r="F5048" t="str">
        <f>"岡山"</f>
        <v>岡山</v>
      </c>
      <c r="G5048" t="str">
        <f>"頻度不明"</f>
        <v>頻度不明</v>
      </c>
      <c r="H5048" t="str">
        <f>"2002222280954"</f>
        <v>2002222280954</v>
      </c>
      <c r="I5048" t="str">
        <f>HYPERLINK("#", "https://opac.libnet.pref.okayama.jp/licsxp-opac/WOpacMsgNewListToTifTilDetailAction.do?tilcod=2002222280954")</f>
        <v>https://opac.libnet.pref.okayama.jp/licsxp-opac/WOpacMsgNewListToTifTilDetailAction.do?tilcod=2002222280954</v>
      </c>
    </row>
    <row r="5049" spans="1:9" x14ac:dyDescent="0.4">
      <c r="A5049" t="str">
        <f>"労働市場統計月報"</f>
        <v>労働市場統計月報</v>
      </c>
      <c r="B5049" s="1" t="str">
        <f t="shared" si="243"/>
        <v>労働市場統計月報</v>
      </c>
      <c r="C5049" t="str">
        <f>"ロウドウ　シジョウ　トウケイ　ゲッポウ"</f>
        <v>ロウドウ　シジョウ　トウケイ　ゲッポウ</v>
      </c>
      <c r="D5049" t="str">
        <f>"岡山県職業安定課"</f>
        <v>岡山県職業安定課</v>
      </c>
      <c r="E5049" t="str">
        <f>"オカヤマケン ショクギョウ アンテイカ"</f>
        <v>オカヤマケン ショクギョウ アンテイカ</v>
      </c>
      <c r="F5049" t="str">
        <f>"岡山"</f>
        <v>岡山</v>
      </c>
      <c r="G5049" t="str">
        <f>"頻度不明"</f>
        <v>頻度不明</v>
      </c>
      <c r="H5049" t="str">
        <f>"2002222288023"</f>
        <v>2002222288023</v>
      </c>
      <c r="I5049" t="str">
        <f>HYPERLINK("#", "https://opac.libnet.pref.okayama.jp/licsxp-opac/WOpacMsgNewListToTifTilDetailAction.do?tilcod=2002222288023")</f>
        <v>https://opac.libnet.pref.okayama.jp/licsxp-opac/WOpacMsgNewListToTifTilDetailAction.do?tilcod=2002222288023</v>
      </c>
    </row>
    <row r="5050" spans="1:9" x14ac:dyDescent="0.4">
      <c r="A5050" t="str">
        <f>"ロカリズム"</f>
        <v>ロカリズム</v>
      </c>
      <c r="B5050" s="1" t="str">
        <f t="shared" si="243"/>
        <v>ロカリズム</v>
      </c>
      <c r="C5050" t="str">
        <f>"ロカリズム"</f>
        <v>ロカリズム</v>
      </c>
      <c r="D5050" t="str">
        <f>"画廊喫茶ロカ"</f>
        <v>画廊喫茶ロカ</v>
      </c>
      <c r="E5050" t="str">
        <f>"ガロウキッサロカ"</f>
        <v>ガロウキッサロカ</v>
      </c>
      <c r="F5050" t="str">
        <f>"倉敷"</f>
        <v>倉敷</v>
      </c>
      <c r="G5050" t="str">
        <f>"不定期刊"</f>
        <v>不定期刊</v>
      </c>
      <c r="H5050" t="str">
        <f>"2002222294121"</f>
        <v>2002222294121</v>
      </c>
      <c r="I5050" t="str">
        <f>HYPERLINK("#", "https://opac.libnet.pref.okayama.jp/licsxp-opac/WOpacMsgNewListToTifTilDetailAction.do?tilcod=2002222294121")</f>
        <v>https://opac.libnet.pref.okayama.jp/licsxp-opac/WOpacMsgNewListToTifTilDetailAction.do?tilcod=2002222294121</v>
      </c>
    </row>
    <row r="5051" spans="1:9" x14ac:dyDescent="0.4">
      <c r="A5051" t="str">
        <f>"[六条院中学校]社会部誌"</f>
        <v>[六条院中学校]社会部誌</v>
      </c>
      <c r="B5051" s="1" t="str">
        <f t="shared" si="243"/>
        <v>[六条院中学校]社会部誌</v>
      </c>
      <c r="C5051" t="str">
        <f>"ロクジョウイン チュウガッコウ シャカイブシ"</f>
        <v>ロクジョウイン チュウガッコウ シャカイブシ</v>
      </c>
      <c r="D5051" t="str">
        <f>"六条院中学校社会部"</f>
        <v>六条院中学校社会部</v>
      </c>
      <c r="E5051" t="str">
        <f>"ロクジョウイン チュウガッコウ シャカイブ"</f>
        <v>ロクジョウイン チュウガッコウ シャカイブ</v>
      </c>
      <c r="F5051" t="str">
        <f>"[六条院町(浅口郡)]"</f>
        <v>[六条院町(浅口郡)]</v>
      </c>
      <c r="G5051" t="str">
        <f>"頻度不明"</f>
        <v>頻度不明</v>
      </c>
      <c r="H5051" t="str">
        <f>"2002222334826"</f>
        <v>2002222334826</v>
      </c>
      <c r="I5051" t="str">
        <f>HYPERLINK("#", "https://opac.libnet.pref.okayama.jp/licsxp-opac/WOpacMsgNewListToTifTilDetailAction.do?tilcod=2002222334826")</f>
        <v>https://opac.libnet.pref.okayama.jp/licsxp-opac/WOpacMsgNewListToTifTilDetailAction.do?tilcod=2002222334826</v>
      </c>
    </row>
    <row r="5052" spans="1:9" x14ac:dyDescent="0.4">
      <c r="A5052" t="str">
        <f>"六水"</f>
        <v>六水</v>
      </c>
      <c r="B5052" s="1" t="str">
        <f t="shared" si="243"/>
        <v>六水</v>
      </c>
      <c r="C5052" t="str">
        <f>"ロクスイ"</f>
        <v>ロクスイ</v>
      </c>
      <c r="D5052" t="str">
        <f>"内藤 雋輔"</f>
        <v>内藤 雋輔</v>
      </c>
      <c r="E5052" t="str">
        <f>"ナイトウ シュンポ"</f>
        <v>ナイトウ シュンポ</v>
      </c>
      <c r="F5052" t="str">
        <f>"岡山"</f>
        <v>岡山</v>
      </c>
      <c r="G5052" t="str">
        <f>"年３回刊"</f>
        <v>年３回刊</v>
      </c>
      <c r="H5052" t="str">
        <f>"2002222284891"</f>
        <v>2002222284891</v>
      </c>
      <c r="I5052" t="str">
        <f>HYPERLINK("#", "https://opac.libnet.pref.okayama.jp/licsxp-opac/WOpacMsgNewListToTifTilDetailAction.do?tilcod=2002222284891")</f>
        <v>https://opac.libnet.pref.okayama.jp/licsxp-opac/WOpacMsgNewListToTifTilDetailAction.do?tilcod=2002222284891</v>
      </c>
    </row>
    <row r="5053" spans="1:9" x14ac:dyDescent="0.4">
      <c r="A5053" t="str">
        <f>"六窓"</f>
        <v>六窓</v>
      </c>
      <c r="B5053" s="1" t="str">
        <f t="shared" si="243"/>
        <v>六窓</v>
      </c>
      <c r="C5053" t="str">
        <f>"ロクソウ"</f>
        <v>ロクソウ</v>
      </c>
      <c r="D5053" t="str">
        <f>"六窓会"</f>
        <v>六窓会</v>
      </c>
      <c r="E5053" t="str">
        <f>"ロクソウカイ"</f>
        <v>ロクソウカイ</v>
      </c>
      <c r="F5053" t="str">
        <f>""</f>
        <v/>
      </c>
      <c r="G5053" t="str">
        <f>"年刊"</f>
        <v>年刊</v>
      </c>
      <c r="H5053" t="str">
        <f>"2002222301512"</f>
        <v>2002222301512</v>
      </c>
      <c r="I5053" t="str">
        <f>HYPERLINK("#", "https://opac.libnet.pref.okayama.jp/licsxp-opac/WOpacMsgNewListToTifTilDetailAction.do?tilcod=2002222301512")</f>
        <v>https://opac.libnet.pref.okayama.jp/licsxp-opac/WOpacMsgNewListToTifTilDetailAction.do?tilcod=2002222301512</v>
      </c>
    </row>
    <row r="5054" spans="1:9" x14ac:dyDescent="0.4">
      <c r="A5054" t="str">
        <f>"六高同窓会報"</f>
        <v>六高同窓会報</v>
      </c>
      <c r="B5054" s="1" t="str">
        <f t="shared" si="243"/>
        <v>六高同窓会報</v>
      </c>
      <c r="C5054" t="str">
        <f>"ロッコウ　ドウソウカイ　ホウ"</f>
        <v>ロッコウ　ドウソウカイ　ホウ</v>
      </c>
      <c r="D5054" t="str">
        <f>"第六高等学校同窓会"</f>
        <v>第六高等学校同窓会</v>
      </c>
      <c r="E5054" t="str">
        <f>"ダイロク コウトウ ガッコウ ドウソウカイ"</f>
        <v>ダイロク コウトウ ガッコウ ドウソウカイ</v>
      </c>
      <c r="F5054" t="str">
        <f>"岡山"</f>
        <v>岡山</v>
      </c>
      <c r="G5054" t="str">
        <f>"年刊"</f>
        <v>年刊</v>
      </c>
      <c r="H5054" t="str">
        <f>"2002222302338"</f>
        <v>2002222302338</v>
      </c>
      <c r="I5054" t="str">
        <f>HYPERLINK("#", "https://opac.libnet.pref.okayama.jp/licsxp-opac/WOpacMsgNewListToTifTilDetailAction.do?tilcod=2002222302338")</f>
        <v>https://opac.libnet.pref.okayama.jp/licsxp-opac/WOpacMsgNewListToTifTilDetailAction.do?tilcod=2002222302338</v>
      </c>
    </row>
    <row r="5055" spans="1:9" x14ac:dyDescent="0.4">
      <c r="A5055" t="str">
        <f>"ろば"</f>
        <v>ろば</v>
      </c>
      <c r="B5055" s="1" t="str">
        <f t="shared" si="243"/>
        <v>ろば</v>
      </c>
      <c r="C5055" t="str">
        <f>"ロバ"</f>
        <v>ロバ</v>
      </c>
      <c r="D5055" t="str">
        <f>"同人誌ろば"</f>
        <v>同人誌ろば</v>
      </c>
      <c r="E5055" t="str">
        <f>"ドウジンシロバ"</f>
        <v>ドウジンシロバ</v>
      </c>
      <c r="F5055" t="str">
        <f>"倉敷"</f>
        <v>倉敷</v>
      </c>
      <c r="G5055" t="str">
        <f>"頻度不明"</f>
        <v>頻度不明</v>
      </c>
      <c r="H5055" t="str">
        <f>"2002222288043"</f>
        <v>2002222288043</v>
      </c>
      <c r="I5055" t="str">
        <f>HYPERLINK("#", "https://opac.libnet.pref.okayama.jp/licsxp-opac/WOpacMsgNewListToTifTilDetailAction.do?tilcod=2002222288043")</f>
        <v>https://opac.libnet.pref.okayama.jp/licsxp-opac/WOpacMsgNewListToTifTilDetailAction.do?tilcod=2002222288043</v>
      </c>
    </row>
    <row r="5056" spans="1:9" x14ac:dyDescent="0.4">
      <c r="A5056" t="str">
        <f>"論説岡山"</f>
        <v>論説岡山</v>
      </c>
      <c r="B5056" s="1" t="str">
        <f t="shared" si="243"/>
        <v>論説岡山</v>
      </c>
      <c r="C5056" t="str">
        <f>"ロンセツ　オカヤマ"</f>
        <v>ロンセツ　オカヤマ</v>
      </c>
      <c r="D5056" t="str">
        <f>"岡山新聞社"</f>
        <v>岡山新聞社</v>
      </c>
      <c r="E5056" t="str">
        <f>"オカヤマシンブンシャ"</f>
        <v>オカヤマシンブンシャ</v>
      </c>
      <c r="F5056" t="str">
        <f>"岡山"</f>
        <v>岡山</v>
      </c>
      <c r="G5056" t="str">
        <f>"頻度不明"</f>
        <v>頻度不明</v>
      </c>
      <c r="H5056" t="str">
        <f>"2002222288053"</f>
        <v>2002222288053</v>
      </c>
      <c r="I5056" t="str">
        <f>HYPERLINK("#", "https://opac.libnet.pref.okayama.jp/licsxp-opac/WOpacMsgNewListToTifTilDetailAction.do?tilcod=2002222288053")</f>
        <v>https://opac.libnet.pref.okayama.jp/licsxp-opac/WOpacMsgNewListToTifTilDetailAction.do?tilcod=2002222288053</v>
      </c>
    </row>
    <row r="5057" spans="1:9" x14ac:dyDescent="0.4">
      <c r="A5057" t="str">
        <f>"わ；和・話・輪"</f>
        <v>わ；和・話・輪</v>
      </c>
      <c r="B5057" s="1" t="str">
        <f t="shared" si="243"/>
        <v>わ；和・話・輪</v>
      </c>
      <c r="C5057" t="str">
        <f>"ワ"</f>
        <v>ワ</v>
      </c>
      <c r="D5057" t="str">
        <f>"岡山市ボランティアグループ連絡協議会"</f>
        <v>岡山市ボランティアグループ連絡協議会</v>
      </c>
      <c r="E5057" t="str">
        <f>"オカヤマシ ボランティア グループ レンラク キョウギカイ"</f>
        <v>オカヤマシ ボランティア グループ レンラク キョウギカイ</v>
      </c>
      <c r="F5057" t="str">
        <f>"岡山"</f>
        <v>岡山</v>
      </c>
      <c r="G5057" t="str">
        <f>"頻度不明"</f>
        <v>頻度不明</v>
      </c>
      <c r="H5057" t="str">
        <f>"2002222331508"</f>
        <v>2002222331508</v>
      </c>
      <c r="I5057" t="str">
        <f>HYPERLINK("#", "https://opac.libnet.pref.okayama.jp/licsxp-opac/WOpacMsgNewListToTifTilDetailAction.do?tilcod=2002222331508")</f>
        <v>https://opac.libnet.pref.okayama.jp/licsxp-opac/WOpacMsgNewListToTifTilDetailAction.do?tilcod=2002222331508</v>
      </c>
    </row>
    <row r="5058" spans="1:9" x14ac:dyDescent="0.4">
      <c r="A5058" t="str">
        <f>"輪と和"</f>
        <v>輪と和</v>
      </c>
      <c r="B5058" s="1" t="str">
        <f t="shared" si="243"/>
        <v>輪と和</v>
      </c>
      <c r="C5058" t="str">
        <f>"ワ　ト　ワ"</f>
        <v>ワ　ト　ワ</v>
      </c>
      <c r="D5058" t="str">
        <f>"倉敷地方農村生活交流グループ協議会"</f>
        <v>倉敷地方農村生活交流グループ協議会</v>
      </c>
      <c r="E5058" t="str">
        <f>"クラシキチホウノウソンセイカツコウリュウグループキョウギカイ"</f>
        <v>クラシキチホウノウソンセイカツコウリュウグループキョウギカイ</v>
      </c>
      <c r="F5058" t="str">
        <f>"倉敷"</f>
        <v>倉敷</v>
      </c>
      <c r="G5058" t="str">
        <f>"年刊"</f>
        <v>年刊</v>
      </c>
      <c r="H5058" t="str">
        <f>"2002222301093"</f>
        <v>2002222301093</v>
      </c>
      <c r="I5058" t="str">
        <f>HYPERLINK("#", "https://opac.libnet.pref.okayama.jp/licsxp-opac/WOpacMsgNewListToTifTilDetailAction.do?tilcod=2002222301093")</f>
        <v>https://opac.libnet.pref.okayama.jp/licsxp-opac/WOpacMsgNewListToTifTilDetailAction.do?tilcod=2002222301093</v>
      </c>
    </row>
    <row r="5059" spans="1:9" x14ac:dyDescent="0.4">
      <c r="A5059" t="str">
        <f>"和；岡山マスターズ陸上競技連盟会報"</f>
        <v>和；岡山マスターズ陸上競技連盟会報</v>
      </c>
      <c r="B5059" s="1" t="str">
        <f t="shared" si="243"/>
        <v>和；岡山マスターズ陸上競技連盟会報</v>
      </c>
      <c r="C5059" t="str">
        <f>"ワ＊オカヤマ　マスターズ　リクジョウ　キョウギ　レンメイ　カイホウ"</f>
        <v>ワ＊オカヤマ　マスターズ　リクジョウ　キョウギ　レンメイ　カイホウ</v>
      </c>
      <c r="D5059" t="str">
        <f>"岡山マスターズ陸上競技連盟"</f>
        <v>岡山マスターズ陸上競技連盟</v>
      </c>
      <c r="E5059" t="str">
        <f>"オカヤママスターズリクジョウキョウギレンメイ"</f>
        <v>オカヤママスターズリクジョウキョウギレンメイ</v>
      </c>
      <c r="F5059" t="str">
        <f>"倉敷"</f>
        <v>倉敷</v>
      </c>
      <c r="G5059" t="str">
        <f>"年刊"</f>
        <v>年刊</v>
      </c>
      <c r="H5059" t="str">
        <f>"2002222301585"</f>
        <v>2002222301585</v>
      </c>
      <c r="I5059" t="str">
        <f>HYPERLINK("#", "https://opac.libnet.pref.okayama.jp/licsxp-opac/WOpacMsgNewListToTifTilDetailAction.do?tilcod=2002222301585")</f>
        <v>https://opac.libnet.pref.okayama.jp/licsxp-opac/WOpacMsgNewListToTifTilDetailAction.do?tilcod=2002222301585</v>
      </c>
    </row>
    <row r="5060" spans="1:9" x14ac:dyDescent="0.4">
      <c r="A5060" t="str">
        <f>"Workin(ワーキン)岡山版; Workin Free(ワーキンフリー)"</f>
        <v>Workin(ワーキン)岡山版; Workin Free(ワーキンフリー)</v>
      </c>
      <c r="B5060" s="1" t="str">
        <f t="shared" ref="B5060:B5106" si="245">HYPERLINK("#", A5060)</f>
        <v>Workin(ワーキン)岡山版; Workin Free(ワーキンフリー)</v>
      </c>
      <c r="C5060" t="str">
        <f>"ワーキン オカヤマバン ワーキン フリー"</f>
        <v>ワーキン オカヤマバン ワーキン フリー</v>
      </c>
      <c r="D5060" t="str">
        <f>"廣済堂"</f>
        <v>廣済堂</v>
      </c>
      <c r="E5060" t="str">
        <f>"コウサイドウ"</f>
        <v>コウサイドウ</v>
      </c>
      <c r="F5060" t="str">
        <f>"岡山"</f>
        <v>岡山</v>
      </c>
      <c r="G5060" t="str">
        <f>"週刊"</f>
        <v>週刊</v>
      </c>
      <c r="H5060" t="str">
        <f>"2002222300257"</f>
        <v>2002222300257</v>
      </c>
      <c r="I5060" t="str">
        <f>HYPERLINK("#", "https://opac.libnet.pref.okayama.jp/licsxp-opac/WOpacMsgNewListToTifTilDetailAction.do?tilcod=2002222300257")</f>
        <v>https://opac.libnet.pref.okayama.jp/licsxp-opac/WOpacMsgNewListToTifTilDetailAction.do?tilcod=2002222300257</v>
      </c>
    </row>
    <row r="5061" spans="1:9" x14ac:dyDescent="0.4">
      <c r="A5061" t="str">
        <f>"Work Style(ワークスタイル)"</f>
        <v>Work Style(ワークスタイル)</v>
      </c>
      <c r="B5061" s="1" t="str">
        <f t="shared" si="245"/>
        <v>Work Style(ワークスタイル)</v>
      </c>
      <c r="C5061" t="str">
        <f>"ワーク スタイル"</f>
        <v>ワーク スタイル</v>
      </c>
      <c r="D5061" t="str">
        <f>"パソナ岡山"</f>
        <v>パソナ岡山</v>
      </c>
      <c r="E5061" t="str">
        <f>"パソナ オカヤマ"</f>
        <v>パソナ オカヤマ</v>
      </c>
      <c r="F5061" t="str">
        <f>"[岡山] "</f>
        <v xml:space="preserve">[岡山] </v>
      </c>
      <c r="G5061" t="str">
        <f>"頻度不明"</f>
        <v>頻度不明</v>
      </c>
      <c r="H5061" t="str">
        <f>"2002222309886"</f>
        <v>2002222309886</v>
      </c>
      <c r="I5061" t="str">
        <f>HYPERLINK("#", "https://opac.libnet.pref.okayama.jp/licsxp-opac/WOpacMsgNewListToTifTilDetailAction.do?tilcod=2002222309886")</f>
        <v>https://opac.libnet.pref.okayama.jp/licsxp-opac/WOpacMsgNewListToTifTilDetailAction.do?tilcod=2002222309886</v>
      </c>
    </row>
    <row r="5062" spans="1:9" x14ac:dyDescent="0.4">
      <c r="A5062" t="str">
        <f>"ＷＯＲＫ　ＭＡＲＫＥＴ（ワーク　マーケット）"</f>
        <v>ＷＯＲＫ　ＭＡＲＫＥＴ（ワーク　マーケット）</v>
      </c>
      <c r="B5062" s="1" t="str">
        <f t="shared" si="245"/>
        <v>ＷＯＲＫ　ＭＡＲＫＥＴ（ワーク　マーケット）</v>
      </c>
      <c r="C5062" t="str">
        <f>"ワーク　マーケット"</f>
        <v>ワーク　マーケット</v>
      </c>
      <c r="D5062" t="str">
        <f>"トップアート"</f>
        <v>トップアート</v>
      </c>
      <c r="E5062" t="str">
        <f>"トップアート"</f>
        <v>トップアート</v>
      </c>
      <c r="F5062" t="str">
        <f t="shared" ref="F5062:F5068" si="246">"岡山"</f>
        <v>岡山</v>
      </c>
      <c r="G5062" t="str">
        <f>"月刊"</f>
        <v>月刊</v>
      </c>
      <c r="H5062" t="str">
        <f>"2002222301481"</f>
        <v>2002222301481</v>
      </c>
      <c r="I5062" t="str">
        <f>HYPERLINK("#", "https://opac.libnet.pref.okayama.jp/licsxp-opac/WOpacMsgNewListToTifTilDetailAction.do?tilcod=2002222301481")</f>
        <v>https://opac.libnet.pref.okayama.jp/licsxp-opac/WOpacMsgNewListToTifTilDetailAction.do?tilcod=2002222301481</v>
      </c>
    </row>
    <row r="5063" spans="1:9" x14ac:dyDescent="0.4">
      <c r="A5063" t="str">
        <f>"ＹＢ　ｎ＠ｖｉ（ワイビーナビ）；イエローブックナビ　ダイジェスト版　岡山・倉敷エリア　"</f>
        <v>ＹＢ　ｎ＠ｖｉ（ワイビーナビ）；イエローブックナビ　ダイジェスト版　岡山・倉敷エリア　</v>
      </c>
      <c r="B5063" s="1" t="str">
        <f t="shared" si="245"/>
        <v>ＹＢ　ｎ＠ｖｉ（ワイビーナビ）；イエローブックナビ　ダイジェスト版　岡山・倉敷エリア　</v>
      </c>
      <c r="C5063" t="str">
        <f>"ワイ　ビー　ナビ＊イエロー　ブック　ナビ　ダイジェスト　バン　オカヤマ　クラシキ　エリア"</f>
        <v>ワイ　ビー　ナビ＊イエロー　ブック　ナビ　ダイジェスト　バン　オカヤマ　クラシキ　エリア</v>
      </c>
      <c r="D5063" t="str">
        <f>"情報サービスＹＢｎａｖｉ事業部"</f>
        <v>情報サービスＹＢｎａｖｉ事業部</v>
      </c>
      <c r="E5063" t="str">
        <f>"ジョウホウサービスワイビーナビジギョウブ"</f>
        <v>ジョウホウサービスワイビーナビジギョウブ</v>
      </c>
      <c r="F5063" t="str">
        <f t="shared" si="246"/>
        <v>岡山</v>
      </c>
      <c r="G5063" t="str">
        <f>"週２回刊"</f>
        <v>週２回刊</v>
      </c>
      <c r="H5063" t="str">
        <f>"2002222302070"</f>
        <v>2002222302070</v>
      </c>
      <c r="I5063" t="str">
        <f>HYPERLINK("#", "https://opac.libnet.pref.okayama.jp/licsxp-opac/WOpacMsgNewListToTifTilDetailAction.do?tilcod=2002222302070")</f>
        <v>https://opac.libnet.pref.okayama.jp/licsxp-opac/WOpacMsgNewListToTifTilDetailAction.do?tilcod=2002222302070</v>
      </c>
    </row>
    <row r="5064" spans="1:9" x14ac:dyDescent="0.4">
      <c r="A5064" t="str">
        <f>"ＹＢ　ｎ＠ｖｉ（ワイビーナビ）；イエローブックナビ　ダイジェスト版　岡山・倉敷・福山"</f>
        <v>ＹＢ　ｎ＠ｖｉ（ワイビーナビ）；イエローブックナビ　ダイジェスト版　岡山・倉敷・福山</v>
      </c>
      <c r="B5064" s="1" t="str">
        <f t="shared" si="245"/>
        <v>ＹＢ　ｎ＠ｖｉ（ワイビーナビ）；イエローブックナビ　ダイジェスト版　岡山・倉敷・福山</v>
      </c>
      <c r="C5064" t="str">
        <f>"ワイビー　ナビ＊イエロー　ブックナビ　ダイジェストバン　オカヤマ　クラシキ　フクヤマ"</f>
        <v>ワイビー　ナビ＊イエロー　ブックナビ　ダイジェストバン　オカヤマ　クラシキ　フクヤマ</v>
      </c>
      <c r="D5064" t="str">
        <f>"情報サービスＹＢｎａｖｉ事業部"</f>
        <v>情報サービスＹＢｎａｖｉ事業部</v>
      </c>
      <c r="E5064" t="str">
        <f>"ジョウホウサービスワイビーナビジギョウブ"</f>
        <v>ジョウホウサービスワイビーナビジギョウブ</v>
      </c>
      <c r="F5064" t="str">
        <f t="shared" si="246"/>
        <v>岡山</v>
      </c>
      <c r="G5064" t="str">
        <f>"週２回刊"</f>
        <v>週２回刊</v>
      </c>
      <c r="H5064" t="str">
        <f>"2002222302071"</f>
        <v>2002222302071</v>
      </c>
      <c r="I5064" t="str">
        <f>HYPERLINK("#", "https://opac.libnet.pref.okayama.jp/licsxp-opac/WOpacMsgNewListToTifTilDetailAction.do?tilcod=2002222302071")</f>
        <v>https://opac.libnet.pref.okayama.jp/licsxp-opac/WOpacMsgNewListToTifTilDetailAction.do?tilcod=2002222302071</v>
      </c>
    </row>
    <row r="5065" spans="1:9" x14ac:dyDescent="0.4">
      <c r="A5065" t="str">
        <f>"ＷＩＲＥ（ワイヤー）；ワイヤーママ岡山県版"</f>
        <v>ＷＩＲＥ（ワイヤー）；ワイヤーママ岡山県版</v>
      </c>
      <c r="B5065" s="1" t="str">
        <f t="shared" si="245"/>
        <v>ＷＩＲＥ（ワイヤー）；ワイヤーママ岡山県版</v>
      </c>
      <c r="C5065" t="str">
        <f>"ワイヤー＊ワイヤー　ママ　オカヤマケンバン"</f>
        <v>ワイヤー＊ワイヤー　ママ　オカヤマケンバン</v>
      </c>
      <c r="D5065" t="str">
        <f>"ワイヤーママ岡山"</f>
        <v>ワイヤーママ岡山</v>
      </c>
      <c r="E5065" t="str">
        <f>"ワイヤーママオカヤマ"</f>
        <v>ワイヤーママオカヤマ</v>
      </c>
      <c r="F5065" t="str">
        <f t="shared" si="246"/>
        <v>岡山</v>
      </c>
      <c r="G5065" t="str">
        <f>"月刊"</f>
        <v>月刊</v>
      </c>
      <c r="H5065" t="str">
        <f>"2002222302114"</f>
        <v>2002222302114</v>
      </c>
      <c r="I5065" t="str">
        <f>HYPERLINK("#", "https://opac.libnet.pref.okayama.jp/licsxp-opac/WOpacMsgNewListToTifTilDetailAction.do?tilcod=2002222302114")</f>
        <v>https://opac.libnet.pref.okayama.jp/licsxp-opac/WOpacMsgNewListToTifTilDetailAction.do?tilcod=2002222302114</v>
      </c>
    </row>
    <row r="5066" spans="1:9" x14ac:dyDescent="0.4">
      <c r="A5066" t="str">
        <f>"[ワオ高等学校] 学校案内"</f>
        <v>[ワオ高等学校] 学校案内</v>
      </c>
      <c r="B5066" s="1" t="str">
        <f t="shared" si="245"/>
        <v>[ワオ高等学校] 学校案内</v>
      </c>
      <c r="C5066" t="str">
        <f>"ワオ コウトウ ガッコウ＊ガッコウ アンナイ"</f>
        <v>ワオ コウトウ ガッコウ＊ガッコウ アンナイ</v>
      </c>
      <c r="D5066" t="str">
        <f>"ワオ高等学校"</f>
        <v>ワオ高等学校</v>
      </c>
      <c r="E5066" t="str">
        <f>"ワオ コウトウ ガッコウ"</f>
        <v>ワオ コウトウ ガッコウ</v>
      </c>
      <c r="F5066" t="str">
        <f t="shared" si="246"/>
        <v>岡山</v>
      </c>
      <c r="G5066" t="str">
        <f>"年刊"</f>
        <v>年刊</v>
      </c>
      <c r="H5066" t="str">
        <f>"2002222339691"</f>
        <v>2002222339691</v>
      </c>
      <c r="I5066" t="str">
        <f>HYPERLINK("#", "https://opac.libnet.pref.okayama.jp/licsxp-opac/WOpacMsgNewListToTifTilDetailAction.do?tilcod=2002222339691")</f>
        <v>https://opac.libnet.pref.okayama.jp/licsxp-opac/WOpacMsgNewListToTifTilDetailAction.do?tilcod=2002222339691</v>
      </c>
    </row>
    <row r="5067" spans="1:9" x14ac:dyDescent="0.4">
      <c r="A5067" t="str">
        <f>"わが心のハルビン（思い出と消息）"</f>
        <v>わが心のハルビン（思い出と消息）</v>
      </c>
      <c r="B5067" s="1" t="str">
        <f t="shared" si="245"/>
        <v>わが心のハルビン（思い出と消息）</v>
      </c>
      <c r="C5067" t="str">
        <f>"ワガ　ココロ　ノ　ハルビン　オモイデ　ト　ショウソク"</f>
        <v>ワガ　ココロ　ノ　ハルビン　オモイデ　ト　ショウソク</v>
      </c>
      <c r="D5067" t="str">
        <f>"岡山ハルビン会"</f>
        <v>岡山ハルビン会</v>
      </c>
      <c r="E5067" t="str">
        <f>"オカヤマハルビンカイ"</f>
        <v>オカヤマハルビンカイ</v>
      </c>
      <c r="F5067" t="str">
        <f t="shared" si="246"/>
        <v>岡山</v>
      </c>
      <c r="G5067" t="str">
        <f>"年刊"</f>
        <v>年刊</v>
      </c>
      <c r="H5067" t="str">
        <f>"2002222294871"</f>
        <v>2002222294871</v>
      </c>
      <c r="I5067" t="str">
        <f>HYPERLINK("#", "https://opac.libnet.pref.okayama.jp/licsxp-opac/WOpacMsgNewListToTifTilDetailAction.do?tilcod=2002222294871")</f>
        <v>https://opac.libnet.pref.okayama.jp/licsxp-opac/WOpacMsgNewListToTifTilDetailAction.do?tilcod=2002222294871</v>
      </c>
    </row>
    <row r="5068" spans="1:9" x14ac:dyDescent="0.4">
      <c r="A5068" t="str">
        <f>"若あゆ"</f>
        <v>若あゆ</v>
      </c>
      <c r="B5068" s="1" t="str">
        <f t="shared" si="245"/>
        <v>若あゆ</v>
      </c>
      <c r="C5068" t="str">
        <f>"ワカアユ"</f>
        <v>ワカアユ</v>
      </c>
      <c r="D5068" t="str">
        <f>"若あゆ発行所"</f>
        <v>若あゆ発行所</v>
      </c>
      <c r="E5068" t="str">
        <f>"ワカアユハッコウショ"</f>
        <v>ワカアユハッコウショ</v>
      </c>
      <c r="F5068" t="str">
        <f t="shared" si="246"/>
        <v>岡山</v>
      </c>
      <c r="G5068" t="str">
        <f>"月刊"</f>
        <v>月刊</v>
      </c>
      <c r="H5068" t="str">
        <f>"2002222291731"</f>
        <v>2002222291731</v>
      </c>
      <c r="I5068" t="str">
        <f>HYPERLINK("#", "https://opac.libnet.pref.okayama.jp/licsxp-opac/WOpacMsgNewListToTifTilDetailAction.do?tilcod=2002222291731")</f>
        <v>https://opac.libnet.pref.okayama.jp/licsxp-opac/WOpacMsgNewListToTifTilDetailAction.do?tilcod=2002222291731</v>
      </c>
    </row>
    <row r="5069" spans="1:9" x14ac:dyDescent="0.4">
      <c r="A5069" t="str">
        <f>"若い樹"</f>
        <v>若い樹</v>
      </c>
      <c r="B5069" s="1" t="str">
        <f t="shared" si="245"/>
        <v>若い樹</v>
      </c>
      <c r="C5069" t="str">
        <f>"ワカイ　キ"</f>
        <v>ワカイ　キ</v>
      </c>
      <c r="D5069" t="str">
        <f>"御津町青年協議会"</f>
        <v>御津町青年協議会</v>
      </c>
      <c r="E5069" t="str">
        <f>"ミツチョウセイネンキョウギカイ"</f>
        <v>ミツチョウセイネンキョウギカイ</v>
      </c>
      <c r="F5069" t="str">
        <f>"御津町（御津郡）"</f>
        <v>御津町（御津郡）</v>
      </c>
      <c r="G5069" t="str">
        <f t="shared" ref="G5069:G5075" si="247">"頻度不明"</f>
        <v>頻度不明</v>
      </c>
      <c r="H5069" t="str">
        <f>"2002222288063"</f>
        <v>2002222288063</v>
      </c>
      <c r="I5069" t="str">
        <f>HYPERLINK("#", "https://opac.libnet.pref.okayama.jp/licsxp-opac/WOpacMsgNewListToTifTilDetailAction.do?tilcod=2002222288063")</f>
        <v>https://opac.libnet.pref.okayama.jp/licsxp-opac/WOpacMsgNewListToTifTilDetailAction.do?tilcod=2002222288063</v>
      </c>
    </row>
    <row r="5070" spans="1:9" x14ac:dyDescent="0.4">
      <c r="A5070" t="str">
        <f>"若い力"</f>
        <v>若い力</v>
      </c>
      <c r="B5070" s="1" t="str">
        <f t="shared" si="245"/>
        <v>若い力</v>
      </c>
      <c r="C5070" t="str">
        <f>"ワカイ　チカラ"</f>
        <v>ワカイ　チカラ</v>
      </c>
      <c r="D5070" t="str">
        <f>"岡山県農村青年クラブ連絡協議会"</f>
        <v>岡山県農村青年クラブ連絡協議会</v>
      </c>
      <c r="E5070" t="str">
        <f>"オカヤマケンノウソンセイネンクラブレンラクキョウギカイ"</f>
        <v>オカヤマケンノウソンセイネンクラブレンラクキョウギカイ</v>
      </c>
      <c r="F5070" t="str">
        <f>""</f>
        <v/>
      </c>
      <c r="G5070" t="str">
        <f t="shared" si="247"/>
        <v>頻度不明</v>
      </c>
      <c r="H5070" t="str">
        <f>"2002222288073"</f>
        <v>2002222288073</v>
      </c>
      <c r="I5070" t="str">
        <f>HYPERLINK("#", "https://opac.libnet.pref.okayama.jp/licsxp-opac/WOpacMsgNewListToTifTilDetailAction.do?tilcod=2002222288073")</f>
        <v>https://opac.libnet.pref.okayama.jp/licsxp-opac/WOpacMsgNewListToTifTilDetailAction.do?tilcod=2002222288073</v>
      </c>
    </row>
    <row r="5071" spans="1:9" x14ac:dyDescent="0.4">
      <c r="A5071" t="str">
        <f>"若い瞳"</f>
        <v>若い瞳</v>
      </c>
      <c r="B5071" s="1" t="str">
        <f t="shared" si="245"/>
        <v>若い瞳</v>
      </c>
      <c r="C5071" t="str">
        <f>"ワカイ ヒトミ"</f>
        <v>ワカイ ヒトミ</v>
      </c>
      <c r="D5071" t="str">
        <f>"真備高等学校文芸部"</f>
        <v>真備高等学校文芸部</v>
      </c>
      <c r="E5071" t="str">
        <f>"シンビ コウトウ ガッコウ ブンゲイブ"</f>
        <v>シンビ コウトウ ガッコウ ブンゲイブ</v>
      </c>
      <c r="F5071" t="str">
        <f>"岡山"</f>
        <v>岡山</v>
      </c>
      <c r="G5071" t="str">
        <f t="shared" si="247"/>
        <v>頻度不明</v>
      </c>
      <c r="H5071" t="str">
        <f>"2002222309326"</f>
        <v>2002222309326</v>
      </c>
      <c r="I5071" t="str">
        <f>HYPERLINK("#", "https://opac.libnet.pref.okayama.jp/licsxp-opac/WOpacMsgNewListToTifTilDetailAction.do?tilcod=2002222309326")</f>
        <v>https://opac.libnet.pref.okayama.jp/licsxp-opac/WOpacMsgNewListToTifTilDetailAction.do?tilcod=2002222309326</v>
      </c>
    </row>
    <row r="5072" spans="1:9" x14ac:dyDescent="0.4">
      <c r="A5072" t="str">
        <f>"若木"</f>
        <v>若木</v>
      </c>
      <c r="B5072" s="1" t="str">
        <f t="shared" si="245"/>
        <v>若木</v>
      </c>
      <c r="C5072" t="str">
        <f>"ワカギ"</f>
        <v>ワカギ</v>
      </c>
      <c r="D5072" t="str">
        <f>"全国農業改良普及協会"</f>
        <v>全国農業改良普及協会</v>
      </c>
      <c r="E5072" t="str">
        <f>"ゼンコクノウギョウカイリョウフキュウキョウカイ"</f>
        <v>ゼンコクノウギョウカイリョウフキュウキョウカイ</v>
      </c>
      <c r="F5072" t="str">
        <f>""</f>
        <v/>
      </c>
      <c r="G5072" t="str">
        <f t="shared" si="247"/>
        <v>頻度不明</v>
      </c>
      <c r="H5072" t="str">
        <f>"2002222288083"</f>
        <v>2002222288083</v>
      </c>
      <c r="I5072" t="str">
        <f>HYPERLINK("#", "https://opac.libnet.pref.okayama.jp/licsxp-opac/WOpacMsgNewListToTifTilDetailAction.do?tilcod=2002222288083")</f>
        <v>https://opac.libnet.pref.okayama.jp/licsxp-opac/WOpacMsgNewListToTifTilDetailAction.do?tilcod=2002222288083</v>
      </c>
    </row>
    <row r="5073" spans="1:9" x14ac:dyDescent="0.4">
      <c r="A5073" t="str">
        <f>"わかくさ"</f>
        <v>わかくさ</v>
      </c>
      <c r="B5073" s="1" t="str">
        <f t="shared" si="245"/>
        <v>わかくさ</v>
      </c>
      <c r="C5073" t="str">
        <f>"ワカクサ"</f>
        <v>ワカクサ</v>
      </c>
      <c r="D5073" t="str">
        <f>"高梁地方生活改善連絡協議会"</f>
        <v>高梁地方生活改善連絡協議会</v>
      </c>
      <c r="E5073" t="str">
        <f>"タカハシチホウセイカツカイゼンレンラクキョウギカイ"</f>
        <v>タカハシチホウセイカツカイゼンレンラクキョウギカイ</v>
      </c>
      <c r="F5073" t="str">
        <f>""</f>
        <v/>
      </c>
      <c r="G5073" t="str">
        <f t="shared" si="247"/>
        <v>頻度不明</v>
      </c>
      <c r="H5073" t="str">
        <f>"2002222288093"</f>
        <v>2002222288093</v>
      </c>
      <c r="I5073" t="str">
        <f>HYPERLINK("#", "https://opac.libnet.pref.okayama.jp/licsxp-opac/WOpacMsgNewListToTifTilDetailAction.do?tilcod=2002222288093")</f>
        <v>https://opac.libnet.pref.okayama.jp/licsxp-opac/WOpacMsgNewListToTifTilDetailAction.do?tilcod=2002222288093</v>
      </c>
    </row>
    <row r="5074" spans="1:9" x14ac:dyDescent="0.4">
      <c r="A5074" t="str">
        <f>"わかくさ"</f>
        <v>わかくさ</v>
      </c>
      <c r="B5074" s="1" t="str">
        <f t="shared" si="245"/>
        <v>わかくさ</v>
      </c>
      <c r="C5074" t="str">
        <f>"ワカクサ"</f>
        <v>ワカクサ</v>
      </c>
      <c r="D5074" t="str">
        <f>"岡山婦人読書会"</f>
        <v>岡山婦人読書会</v>
      </c>
      <c r="E5074" t="str">
        <f>"オカヤマフジンドクショカイ"</f>
        <v>オカヤマフジンドクショカイ</v>
      </c>
      <c r="F5074" t="str">
        <f>""</f>
        <v/>
      </c>
      <c r="G5074" t="str">
        <f t="shared" si="247"/>
        <v>頻度不明</v>
      </c>
      <c r="H5074" t="str">
        <f>"2002222288103"</f>
        <v>2002222288103</v>
      </c>
      <c r="I5074" t="str">
        <f>HYPERLINK("#", "https://opac.libnet.pref.okayama.jp/licsxp-opac/WOpacMsgNewListToTifTilDetailAction.do?tilcod=2002222288103")</f>
        <v>https://opac.libnet.pref.okayama.jp/licsxp-opac/WOpacMsgNewListToTifTilDetailAction.do?tilcod=2002222288103</v>
      </c>
    </row>
    <row r="5075" spans="1:9" x14ac:dyDescent="0.4">
      <c r="A5075" t="str">
        <f>"わが師わが友"</f>
        <v>わが師わが友</v>
      </c>
      <c r="B5075" s="1" t="str">
        <f t="shared" si="245"/>
        <v>わが師わが友</v>
      </c>
      <c r="C5075" t="str">
        <f>"ワガシ　ワガトモ"</f>
        <v>ワガシ　ワガトモ</v>
      </c>
      <c r="D5075" t="str">
        <f>"岡山海兵十六期会"</f>
        <v>岡山海兵十六期会</v>
      </c>
      <c r="E5075" t="str">
        <f>"オカヤマカイヘイジュウロッキカイ"</f>
        <v>オカヤマカイヘイジュウロッキカイ</v>
      </c>
      <c r="F5075" t="str">
        <f>""</f>
        <v/>
      </c>
      <c r="G5075" t="str">
        <f t="shared" si="247"/>
        <v>頻度不明</v>
      </c>
      <c r="H5075" t="str">
        <f>"2002222288113"</f>
        <v>2002222288113</v>
      </c>
      <c r="I5075" t="str">
        <f>HYPERLINK("#", "https://opac.libnet.pref.okayama.jp/licsxp-opac/WOpacMsgNewListToTifTilDetailAction.do?tilcod=2002222288113")</f>
        <v>https://opac.libnet.pref.okayama.jp/licsxp-opac/WOpacMsgNewListToTifTilDetailAction.do?tilcod=2002222288113</v>
      </c>
    </row>
    <row r="5076" spans="1:9" x14ac:dyDescent="0.4">
      <c r="A5076" t="str">
        <f>"わかしお"</f>
        <v>わかしお</v>
      </c>
      <c r="B5076" s="1" t="str">
        <f t="shared" si="245"/>
        <v>わかしお</v>
      </c>
      <c r="C5076" t="str">
        <f>"ワカシオ"</f>
        <v>ワカシオ</v>
      </c>
      <c r="D5076" t="str">
        <f>"岡山県渋川青年の家"</f>
        <v>岡山県渋川青年の家</v>
      </c>
      <c r="E5076" t="str">
        <f>"オカヤマケン シブカワ セイネン ノ イエ"</f>
        <v>オカヤマケン シブカワ セイネン ノ イエ</v>
      </c>
      <c r="F5076" t="str">
        <f>"玉野"</f>
        <v>玉野</v>
      </c>
      <c r="G5076" t="str">
        <f>"年刊"</f>
        <v>年刊</v>
      </c>
      <c r="H5076" t="str">
        <f>"2002222281811"</f>
        <v>2002222281811</v>
      </c>
      <c r="I5076" t="str">
        <f>HYPERLINK("#", "https://opac.libnet.pref.okayama.jp/licsxp-opac/WOpacMsgNewListToTifTilDetailAction.do?tilcod=2002222281811")</f>
        <v>https://opac.libnet.pref.okayama.jp/licsxp-opac/WOpacMsgNewListToTifTilDetailAction.do?tilcod=2002222281811</v>
      </c>
    </row>
    <row r="5077" spans="1:9" x14ac:dyDescent="0.4">
      <c r="A5077" t="str">
        <f>"若巣"</f>
        <v>若巣</v>
      </c>
      <c r="B5077" s="1" t="str">
        <f t="shared" si="245"/>
        <v>若巣</v>
      </c>
      <c r="C5077" t="str">
        <f>"ワカス"</f>
        <v>ワカス</v>
      </c>
      <c r="D5077" t="str">
        <f>"岡山県一商三十一期同期会"</f>
        <v>岡山県一商三十一期同期会</v>
      </c>
      <c r="E5077" t="str">
        <f>"オカヤマケン　ダイイチ　オカヤマ　ショウギョウ　ガッコウ　サンジュウイッキドウキカイ"</f>
        <v>オカヤマケン　ダイイチ　オカヤマ　ショウギョウ　ガッコウ　サンジュウイッキドウキカイ</v>
      </c>
      <c r="F5077" t="str">
        <f>"岡山"</f>
        <v>岡山</v>
      </c>
      <c r="G5077" t="str">
        <f>"頻度不明"</f>
        <v>頻度不明</v>
      </c>
      <c r="H5077" t="str">
        <f>"2002222325348"</f>
        <v>2002222325348</v>
      </c>
      <c r="I5077" t="str">
        <f>HYPERLINK("#", "https://opac.libnet.pref.okayama.jp/licsxp-opac/WOpacMsgNewListToTifTilDetailAction.do?tilcod=2002222325348")</f>
        <v>https://opac.libnet.pref.okayama.jp/licsxp-opac/WOpacMsgNewListToTifTilDetailAction.do?tilcod=2002222325348</v>
      </c>
    </row>
    <row r="5078" spans="1:9" x14ac:dyDescent="0.4">
      <c r="A5078" t="str">
        <f>"わかば"</f>
        <v>わかば</v>
      </c>
      <c r="B5078" s="1" t="str">
        <f t="shared" si="245"/>
        <v>わかば</v>
      </c>
      <c r="C5078" t="str">
        <f>"ワカバ"</f>
        <v>ワカバ</v>
      </c>
      <c r="D5078" t="str">
        <f>"山陽町青少年協議会"</f>
        <v>山陽町青少年協議会</v>
      </c>
      <c r="E5078" t="str">
        <f>"サンヨウチョウセイショウネンキョウギカイ"</f>
        <v>サンヨウチョウセイショウネンキョウギカイ</v>
      </c>
      <c r="F5078" t="str">
        <f>"山陽町（赤磐郡）"</f>
        <v>山陽町（赤磐郡）</v>
      </c>
      <c r="G5078" t="str">
        <f>"頻度不明"</f>
        <v>頻度不明</v>
      </c>
      <c r="H5078" t="str">
        <f>"2002222281594"</f>
        <v>2002222281594</v>
      </c>
      <c r="I5078" t="str">
        <f>HYPERLINK("#", "https://opac.libnet.pref.okayama.jp/licsxp-opac/WOpacMsgNewListToTifTilDetailAction.do?tilcod=2002222281594")</f>
        <v>https://opac.libnet.pref.okayama.jp/licsxp-opac/WOpacMsgNewListToTifTilDetailAction.do?tilcod=2002222281594</v>
      </c>
    </row>
    <row r="5079" spans="1:9" x14ac:dyDescent="0.4">
      <c r="A5079" t="str">
        <f>"わかば；わか葉"</f>
        <v>わかば；わか葉</v>
      </c>
      <c r="B5079" s="1" t="str">
        <f t="shared" si="245"/>
        <v>わかば；わか葉</v>
      </c>
      <c r="C5079" t="str">
        <f>"ワカバ"</f>
        <v>ワカバ</v>
      </c>
      <c r="D5079" t="str">
        <f>"岡山県邑久高等女学校"</f>
        <v>岡山県邑久高等女学校</v>
      </c>
      <c r="E5079" t="str">
        <f>"オカヤマケンオクコウトウジョガッコウ"</f>
        <v>オカヤマケンオクコウトウジョガッコウ</v>
      </c>
      <c r="F5079" t="str">
        <f>"邑久郡豊村"</f>
        <v>邑久郡豊村</v>
      </c>
      <c r="G5079" t="str">
        <f>"年刊"</f>
        <v>年刊</v>
      </c>
      <c r="H5079" t="str">
        <f>"2002222285111"</f>
        <v>2002222285111</v>
      </c>
      <c r="I5079" t="str">
        <f>HYPERLINK("#", "https://opac.libnet.pref.okayama.jp/licsxp-opac/WOpacMsgNewListToTifTilDetailAction.do?tilcod=2002222285111")</f>
        <v>https://opac.libnet.pref.okayama.jp/licsxp-opac/WOpacMsgNewListToTifTilDetailAction.do?tilcod=2002222285111</v>
      </c>
    </row>
    <row r="5080" spans="1:9" x14ac:dyDescent="0.4">
      <c r="A5080" t="str">
        <f>"若葉"</f>
        <v>若葉</v>
      </c>
      <c r="B5080" s="1" t="str">
        <f t="shared" si="245"/>
        <v>若葉</v>
      </c>
      <c r="C5080" t="str">
        <f>"ワカバ"</f>
        <v>ワカバ</v>
      </c>
      <c r="D5080" t="str">
        <f>"若葉句会"</f>
        <v>若葉句会</v>
      </c>
      <c r="E5080" t="str">
        <f>"ワカバ クカイ"</f>
        <v>ワカバ クカイ</v>
      </c>
      <c r="F5080" t="str">
        <f>"倉敷"</f>
        <v>倉敷</v>
      </c>
      <c r="G5080" t="str">
        <f>"月刊"</f>
        <v>月刊</v>
      </c>
      <c r="H5080" t="str">
        <f>"2002222338850"</f>
        <v>2002222338850</v>
      </c>
      <c r="I5080" t="str">
        <f>HYPERLINK("#", "https://opac.libnet.pref.okayama.jp/licsxp-opac/WOpacMsgNewListToTifTilDetailAction.do?tilcod=2002222338850")</f>
        <v>https://opac.libnet.pref.okayama.jp/licsxp-opac/WOpacMsgNewListToTifTilDetailAction.do?tilcod=2002222338850</v>
      </c>
    </row>
    <row r="5081" spans="1:9" x14ac:dyDescent="0.4">
      <c r="A5081" t="str">
        <f>"和旭"</f>
        <v>和旭</v>
      </c>
      <c r="B5081" s="1" t="str">
        <f t="shared" si="245"/>
        <v>和旭</v>
      </c>
      <c r="C5081" t="str">
        <f>"ワキョク"</f>
        <v>ワキョク</v>
      </c>
      <c r="D5081" t="str">
        <f>"倉敷市児島地区福祉協会青年部"</f>
        <v>倉敷市児島地区福祉協会青年部</v>
      </c>
      <c r="E5081" t="str">
        <f>"クラシキシコジマチクフクシキョウカイセイネンブ"</f>
        <v>クラシキシコジマチクフクシキョウカイセイネンブ</v>
      </c>
      <c r="F5081" t="str">
        <f>"倉敷"</f>
        <v>倉敷</v>
      </c>
      <c r="G5081" t="str">
        <f>"頻度不明"</f>
        <v>頻度不明</v>
      </c>
      <c r="H5081" t="str">
        <f>"2002222288123"</f>
        <v>2002222288123</v>
      </c>
      <c r="I5081" t="str">
        <f>HYPERLINK("#", "https://opac.libnet.pref.okayama.jp/licsxp-opac/WOpacMsgNewListToTifTilDetailAction.do?tilcod=2002222288123")</f>
        <v>https://opac.libnet.pref.okayama.jp/licsxp-opac/WOpacMsgNewListToTifTilDetailAction.do?tilcod=2002222288123</v>
      </c>
    </row>
    <row r="5082" spans="1:9" x14ac:dyDescent="0.4">
      <c r="A5082" t="str">
        <f>"和吟の栞"</f>
        <v>和吟の栞</v>
      </c>
      <c r="B5082" s="1" t="str">
        <f t="shared" si="245"/>
        <v>和吟の栞</v>
      </c>
      <c r="C5082" t="str">
        <f>"ワギン　ノ　シオリ"</f>
        <v>ワギン　ノ　シオリ</v>
      </c>
      <c r="D5082" t="str">
        <f>"吟詠不二波会"</f>
        <v>吟詠不二波会</v>
      </c>
      <c r="E5082" t="str">
        <f>"ギンエイフジナミカイ"</f>
        <v>ギンエイフジナミカイ</v>
      </c>
      <c r="F5082" t="str">
        <f>""</f>
        <v/>
      </c>
      <c r="G5082" t="str">
        <f>"頻度不明"</f>
        <v>頻度不明</v>
      </c>
      <c r="H5082" t="str">
        <f>"2002222288133"</f>
        <v>2002222288133</v>
      </c>
      <c r="I5082" t="str">
        <f>HYPERLINK("#", "https://opac.libnet.pref.okayama.jp/licsxp-opac/WOpacMsgNewListToTifTilDetailAction.do?tilcod=2002222288133")</f>
        <v>https://opac.libnet.pref.okayama.jp/licsxp-opac/WOpacMsgNewListToTifTilDetailAction.do?tilcod=2002222288133</v>
      </c>
    </row>
    <row r="5083" spans="1:9" x14ac:dyDescent="0.4">
      <c r="A5083" t="str">
        <f>"和空"</f>
        <v>和空</v>
      </c>
      <c r="B5083" s="1" t="str">
        <f t="shared" si="245"/>
        <v>和空</v>
      </c>
      <c r="C5083" t="str">
        <f>"ワクウ"</f>
        <v>ワクウ</v>
      </c>
      <c r="D5083" t="str">
        <f>"宇野空手道少年団"</f>
        <v>宇野空手道少年団</v>
      </c>
      <c r="E5083" t="str">
        <f>"ウノカラテドウショウネンダン"</f>
        <v>ウノカラテドウショウネンダン</v>
      </c>
      <c r="F5083" t="str">
        <f>""</f>
        <v/>
      </c>
      <c r="G5083" t="str">
        <f>"頻度不明"</f>
        <v>頻度不明</v>
      </c>
      <c r="H5083" t="str">
        <f>"2002222288143"</f>
        <v>2002222288143</v>
      </c>
      <c r="I5083" t="str">
        <f>HYPERLINK("#", "https://opac.libnet.pref.okayama.jp/licsxp-opac/WOpacMsgNewListToTifTilDetailAction.do?tilcod=2002222288143")</f>
        <v>https://opac.libnet.pref.okayama.jp/licsxp-opac/WOpacMsgNewListToTifTilDetailAction.do?tilcod=2002222288143</v>
      </c>
    </row>
    <row r="5084" spans="1:9" x14ac:dyDescent="0.4">
      <c r="A5084" t="str">
        <f>"わくわくキッズ"</f>
        <v>わくわくキッズ</v>
      </c>
      <c r="B5084" s="1" t="str">
        <f t="shared" si="245"/>
        <v>わくわくキッズ</v>
      </c>
      <c r="C5084" t="str">
        <f>"ワクワク　キッズ"</f>
        <v>ワクワク　キッズ</v>
      </c>
      <c r="D5084" t="str">
        <f>"上房子どもセンター"</f>
        <v>上房子どもセンター</v>
      </c>
      <c r="E5084" t="str">
        <f>"ジョウボウコドモセンター"</f>
        <v>ジョウボウコドモセンター</v>
      </c>
      <c r="F5084" t="str">
        <f>"北房町（上房郡）"</f>
        <v>北房町（上房郡）</v>
      </c>
      <c r="G5084" t="str">
        <f>"頻度不明"</f>
        <v>頻度不明</v>
      </c>
      <c r="H5084" t="str">
        <f>"2002222285811"</f>
        <v>2002222285811</v>
      </c>
      <c r="I5084" t="str">
        <f>HYPERLINK("#", "https://opac.libnet.pref.okayama.jp/licsxp-opac/WOpacMsgNewListToTifTilDetailAction.do?tilcod=2002222285811")</f>
        <v>https://opac.libnet.pref.okayama.jp/licsxp-opac/WOpacMsgNewListToTifTilDetailAction.do?tilcod=2002222285811</v>
      </c>
    </row>
    <row r="5085" spans="1:9" x14ac:dyDescent="0.4">
      <c r="A5085" t="str">
        <f>"わくわく岡輝；ｗａｋｕｗａｋｕ　ｋｏｕｋｉ（ワクワクコウキ）"</f>
        <v>わくわく岡輝；ｗａｋｕｗａｋｕ　ｋｏｕｋｉ（ワクワクコウキ）</v>
      </c>
      <c r="B5085" s="1" t="str">
        <f t="shared" si="245"/>
        <v>わくわく岡輝；ｗａｋｕｗａｋｕ　ｋｏｕｋｉ（ワクワクコウキ）</v>
      </c>
      <c r="C5085" t="str">
        <f>"ワクワク　コウキ"</f>
        <v>ワクワク　コウキ</v>
      </c>
      <c r="D5085" t="str">
        <f>"岡山市福祉交流プラザ岡輝"</f>
        <v>岡山市福祉交流プラザ岡輝</v>
      </c>
      <c r="E5085" t="str">
        <f>"オカヤマシフクシコウリュウプラザコウキ"</f>
        <v>オカヤマシフクシコウリュウプラザコウキ</v>
      </c>
      <c r="F5085" t="str">
        <f>"岡山"</f>
        <v>岡山</v>
      </c>
      <c r="G5085" t="str">
        <f>"季刊"</f>
        <v>季刊</v>
      </c>
      <c r="H5085" t="str">
        <f>"2002222301968"</f>
        <v>2002222301968</v>
      </c>
      <c r="I5085" t="str">
        <f>HYPERLINK("#", "https://opac.libnet.pref.okayama.jp/licsxp-opac/WOpacMsgNewListToTifTilDetailAction.do?tilcod=2002222301968")</f>
        <v>https://opac.libnet.pref.okayama.jp/licsxp-opac/WOpacMsgNewListToTifTilDetailAction.do?tilcod=2002222301968</v>
      </c>
    </row>
    <row r="5086" spans="1:9" x14ac:dyDescent="0.4">
      <c r="A5086" t="str">
        <f>"[和気閑谷高等学校] 学校案内"</f>
        <v>[和気閑谷高等学校] 学校案内</v>
      </c>
      <c r="B5086" s="1" t="str">
        <f t="shared" si="245"/>
        <v>[和気閑谷高等学校] 学校案内</v>
      </c>
      <c r="C5086" t="str">
        <f>"ワケ　シズタニ　コウトウ　ガッコウ　ガッコウ　アンナイ"</f>
        <v>ワケ　シズタニ　コウトウ　ガッコウ　ガッコウ　アンナイ</v>
      </c>
      <c r="D5086" t="str">
        <f>"和気閑谷高等学校"</f>
        <v>和気閑谷高等学校</v>
      </c>
      <c r="E5086" t="str">
        <f>"ワケ シズタニ コウトウ ガッコウ"</f>
        <v>ワケ シズタニ コウトウ ガッコウ</v>
      </c>
      <c r="F5086" t="str">
        <f>"和気町（和気郡）"</f>
        <v>和気町（和気郡）</v>
      </c>
      <c r="G5086" t="str">
        <f>"年刊"</f>
        <v>年刊</v>
      </c>
      <c r="H5086" t="str">
        <f>"2002222301200"</f>
        <v>2002222301200</v>
      </c>
      <c r="I5086" t="str">
        <f>HYPERLINK("#", "https://opac.libnet.pref.okayama.jp/licsxp-opac/WOpacMsgNewListToTifTilDetailAction.do?tilcod=2002222301200")</f>
        <v>https://opac.libnet.pref.okayama.jp/licsxp-opac/WOpacMsgNewListToTifTilDetailAction.do?tilcod=2002222301200</v>
      </c>
    </row>
    <row r="5087" spans="1:9" x14ac:dyDescent="0.4">
      <c r="A5087" t="str">
        <f>"[和気閑谷高等学校] 学校要覧"</f>
        <v>[和気閑谷高等学校] 学校要覧</v>
      </c>
      <c r="B5087" s="1" t="str">
        <f t="shared" si="245"/>
        <v>[和気閑谷高等学校] 学校要覧</v>
      </c>
      <c r="C5087" t="str">
        <f>"ワケ　シズタニ　コウトウ　ガッコウ　ガッコウ　ヨウラン"</f>
        <v>ワケ　シズタニ　コウトウ　ガッコウ　ガッコウ　ヨウラン</v>
      </c>
      <c r="D5087" t="str">
        <f>"和気閑谷高等学校"</f>
        <v>和気閑谷高等学校</v>
      </c>
      <c r="E5087" t="str">
        <f>"ワケ シズタニ コウトウ ガッコウ"</f>
        <v>ワケ シズタニ コウトウ ガッコウ</v>
      </c>
      <c r="F5087" t="str">
        <f>"和気町（和気郡）"</f>
        <v>和気町（和気郡）</v>
      </c>
      <c r="G5087" t="str">
        <f>"年刊"</f>
        <v>年刊</v>
      </c>
      <c r="H5087" t="str">
        <f>"2002222300724"</f>
        <v>2002222300724</v>
      </c>
      <c r="I5087" t="str">
        <f>HYPERLINK("#", "https://opac.libnet.pref.okayama.jp/licsxp-opac/WOpacMsgNewListToTifTilDetailAction.do?tilcod=2002222300724")</f>
        <v>https://opac.libnet.pref.okayama.jp/licsxp-opac/WOpacMsgNewListToTifTilDetailAction.do?tilcod=2002222300724</v>
      </c>
    </row>
    <row r="5088" spans="1:9" x14ac:dyDescent="0.4">
      <c r="A5088" t="str">
        <f>"和気商工会ニュース"</f>
        <v>和気商工会ニュース</v>
      </c>
      <c r="B5088" s="1" t="str">
        <f t="shared" si="245"/>
        <v>和気商工会ニュース</v>
      </c>
      <c r="C5088" t="str">
        <f>"ワケ　ショウコウカイ　ニュース"</f>
        <v>ワケ　ショウコウカイ　ニュース</v>
      </c>
      <c r="D5088" t="str">
        <f>"和気商工会"</f>
        <v>和気商工会</v>
      </c>
      <c r="E5088" t="str">
        <f>"ワケ ショウコウカイ"</f>
        <v>ワケ ショウコウカイ</v>
      </c>
      <c r="F5088" t="str">
        <f>"和気町(和気郡)"</f>
        <v>和気町(和気郡)</v>
      </c>
      <c r="G5088" t="str">
        <f>"年２回刊"</f>
        <v>年２回刊</v>
      </c>
      <c r="H5088" t="str">
        <f>"2002222329607"</f>
        <v>2002222329607</v>
      </c>
      <c r="I5088" t="str">
        <f>HYPERLINK("#", "https://opac.libnet.pref.okayama.jp/licsxp-opac/WOpacMsgNewListToTifTilDetailAction.do?tilcod=2002222329607")</f>
        <v>https://opac.libnet.pref.okayama.jp/licsxp-opac/WOpacMsgNewListToTifTilDetailAction.do?tilcod=2002222329607</v>
      </c>
    </row>
    <row r="5089" spans="1:9" x14ac:dyDescent="0.4">
      <c r="A5089" t="str">
        <f>"和気歴史民俗資料館"</f>
        <v>和気歴史民俗資料館</v>
      </c>
      <c r="B5089" s="1" t="str">
        <f t="shared" si="245"/>
        <v>和気歴史民俗資料館</v>
      </c>
      <c r="C5089" t="str">
        <f>"ワケ　レキシ　ミンゾク　シリョウカン"</f>
        <v>ワケ　レキシ　ミンゾク　シリョウカン</v>
      </c>
      <c r="D5089" t="str">
        <f>"和気歴史民俗資料館"</f>
        <v>和気歴史民俗資料館</v>
      </c>
      <c r="E5089" t="str">
        <f>"ワケレキシミンゾクシリョウカン"</f>
        <v>ワケレキシミンゾクシリョウカン</v>
      </c>
      <c r="F5089" t="str">
        <f>""</f>
        <v/>
      </c>
      <c r="G5089" t="str">
        <f>"頻度不明"</f>
        <v>頻度不明</v>
      </c>
      <c r="H5089" t="str">
        <f>"2002222288163"</f>
        <v>2002222288163</v>
      </c>
      <c r="I5089" t="str">
        <f>HYPERLINK("#", "https://opac.libnet.pref.okayama.jp/licsxp-opac/WOpacMsgNewListToTifTilDetailAction.do?tilcod=2002222288163")</f>
        <v>https://opac.libnet.pref.okayama.jp/licsxp-opac/WOpacMsgNewListToTifTilDetailAction.do?tilcod=2002222288163</v>
      </c>
    </row>
    <row r="5090" spans="1:9" x14ac:dyDescent="0.4">
      <c r="A5090" t="str">
        <f>"〔和気郡教育会〕会誌"</f>
        <v>〔和気郡教育会〕会誌</v>
      </c>
      <c r="B5090" s="1" t="str">
        <f t="shared" si="245"/>
        <v>〔和気郡教育会〕会誌</v>
      </c>
      <c r="C5090" t="str">
        <f>"ワケグン　キョウイクカイ＊カイシ"</f>
        <v>ワケグン　キョウイクカイ＊カイシ</v>
      </c>
      <c r="D5090" t="str">
        <f>"和気郡教育会"</f>
        <v>和気郡教育会</v>
      </c>
      <c r="E5090" t="str">
        <f>"ワケグンキョウイクカイ"</f>
        <v>ワケグンキョウイクカイ</v>
      </c>
      <c r="F5090" t="str">
        <f>""</f>
        <v/>
      </c>
      <c r="G5090" t="str">
        <f>"頻度不明"</f>
        <v>頻度不明</v>
      </c>
      <c r="H5090" t="str">
        <f>"2002222288153"</f>
        <v>2002222288153</v>
      </c>
      <c r="I5090" t="str">
        <f>HYPERLINK("#", "https://opac.libnet.pref.okayama.jp/licsxp-opac/WOpacMsgNewListToTifTilDetailAction.do?tilcod=2002222288153")</f>
        <v>https://opac.libnet.pref.okayama.jp/licsxp-opac/WOpacMsgNewListToTifTilDetailAction.do?tilcod=2002222288153</v>
      </c>
    </row>
    <row r="5091" spans="1:9" x14ac:dyDescent="0.4">
      <c r="A5091" t="str">
        <f>"[和気郡佐伯町立山田小学校]学校要覧　付諸規定"</f>
        <v>[和気郡佐伯町立山田小学校]学校要覧　付諸規定</v>
      </c>
      <c r="B5091" s="1" t="str">
        <f t="shared" si="245"/>
        <v>[和気郡佐伯町立山田小学校]学校要覧　付諸規定</v>
      </c>
      <c r="C5091" t="str">
        <f>"ワケグン サエキチョウリツ ヤマダ ショウガッコウ ガッコウ ヨウラン フ ショキテイ"</f>
        <v>ワケグン サエキチョウリツ ヤマダ ショウガッコウ ガッコウ ヨウラン フ ショキテイ</v>
      </c>
      <c r="D5091" t="str">
        <f>"和気郡佐伯町立山田小学校"</f>
        <v>和気郡佐伯町立山田小学校</v>
      </c>
      <c r="E5091" t="str">
        <f>""</f>
        <v/>
      </c>
      <c r="F5091" t="str">
        <f>""</f>
        <v/>
      </c>
      <c r="G5091" t="str">
        <f>"年刊"</f>
        <v>年刊</v>
      </c>
      <c r="H5091" t="str">
        <f>"2002222338910"</f>
        <v>2002222338910</v>
      </c>
      <c r="I5091" t="str">
        <f>HYPERLINK("#", "https://opac.libnet.pref.okayama.jp/licsxp-opac/WOpacMsgNewListToTifTilDetailAction.do?tilcod=2002222338910")</f>
        <v>https://opac.libnet.pref.okayama.jp/licsxp-opac/WOpacMsgNewListToTifTilDetailAction.do?tilcod=2002222338910</v>
      </c>
    </row>
    <row r="5092" spans="1:9" x14ac:dyDescent="0.4">
      <c r="A5092" t="str">
        <f>"和気町議会だより；和気議会NAVI"</f>
        <v>和気町議会だより；和気議会NAVI</v>
      </c>
      <c r="B5092" s="1" t="str">
        <f t="shared" si="245"/>
        <v>和気町議会だより；和気議会NAVI</v>
      </c>
      <c r="C5092" t="str">
        <f>"ワケチョウ ギカイ ダヨリ＊ワケ ギカイ ナビ"</f>
        <v>ワケチョウ ギカイ ダヨリ＊ワケ ギカイ ナビ</v>
      </c>
      <c r="D5092" t="str">
        <f>"和気町議会広報編集委員会"</f>
        <v>和気町議会広報編集委員会</v>
      </c>
      <c r="E5092" t="str">
        <f>"ワケチヨウギカイコウホウヘンシユウイインカイ"</f>
        <v>ワケチヨウギカイコウホウヘンシユウイインカイ</v>
      </c>
      <c r="F5092" t="str">
        <f>"和気町（和気郡）"</f>
        <v>和気町（和気郡）</v>
      </c>
      <c r="G5092" t="str">
        <f>"季刊"</f>
        <v>季刊</v>
      </c>
      <c r="H5092" t="str">
        <f>"2002222293701"</f>
        <v>2002222293701</v>
      </c>
      <c r="I5092" t="str">
        <f>HYPERLINK("#", "https://opac.libnet.pref.okayama.jp/licsxp-opac/WOpacMsgNewListToTifTilDetailAction.do?tilcod=2002222293701")</f>
        <v>https://opac.libnet.pref.okayama.jp/licsxp-opac/WOpacMsgNewListToTifTilDetailAction.do?tilcod=2002222293701</v>
      </c>
    </row>
    <row r="5093" spans="1:9" x14ac:dyDescent="0.4">
      <c r="A5093" t="str">
        <f>"和気町国際交流協会広報"</f>
        <v>和気町国際交流協会広報</v>
      </c>
      <c r="B5093" s="1" t="str">
        <f t="shared" si="245"/>
        <v>和気町国際交流協会広報</v>
      </c>
      <c r="C5093" t="str">
        <f>"ワケチョウ コクサイ コウリュウ キョウカイ コウホウ"</f>
        <v>ワケチョウ コクサイ コウリュウ キョウカイ コウホウ</v>
      </c>
      <c r="D5093" t="str">
        <f>"和気町国際交流協会"</f>
        <v>和気町国際交流協会</v>
      </c>
      <c r="E5093" t="str">
        <f>"ワケチョウ コクサイ コウリュウ キョウカイ"</f>
        <v>ワケチョウ コクサイ コウリュウ キョウカイ</v>
      </c>
      <c r="F5093" t="str">
        <f>"和気町(和気郡)"</f>
        <v>和気町(和気郡)</v>
      </c>
      <c r="G5093" t="str">
        <f>"年刊"</f>
        <v>年刊</v>
      </c>
      <c r="H5093" t="str">
        <f>"2002222325386"</f>
        <v>2002222325386</v>
      </c>
      <c r="I5093" t="str">
        <f>HYPERLINK("#", "https://opac.libnet.pref.okayama.jp/licsxp-opac/WOpacMsgNewListToTifTilDetailAction.do?tilcod=2002222325386")</f>
        <v>https://opac.libnet.pref.okayama.jp/licsxp-opac/WOpacMsgNewListToTifTilDetailAction.do?tilcod=2002222325386</v>
      </c>
    </row>
    <row r="5094" spans="1:9" x14ac:dyDescent="0.4">
      <c r="A5094" t="str">
        <f>"技"</f>
        <v>技</v>
      </c>
      <c r="B5094" s="1" t="str">
        <f t="shared" si="245"/>
        <v>技</v>
      </c>
      <c r="C5094" t="str">
        <f>"ワザ"</f>
        <v>ワザ</v>
      </c>
      <c r="D5094" t="str">
        <f>"岡山県職業能力開発協会"</f>
        <v>岡山県職業能力開発協会</v>
      </c>
      <c r="E5094" t="str">
        <f>"オカヤマケン ショクギョウ ノウリョク カイハツ キョウカイ"</f>
        <v>オカヤマケン ショクギョウ ノウリョク カイハツ キョウカイ</v>
      </c>
      <c r="F5094" t="str">
        <f>""</f>
        <v/>
      </c>
      <c r="G5094" t="str">
        <f t="shared" ref="G5094:G5099" si="248">"頻度不明"</f>
        <v>頻度不明</v>
      </c>
      <c r="H5094" t="str">
        <f>"2002222288173"</f>
        <v>2002222288173</v>
      </c>
      <c r="I5094" t="str">
        <f>HYPERLINK("#", "https://opac.libnet.pref.okayama.jp/licsxp-opac/WOpacMsgNewListToTifTilDetailAction.do?tilcod=2002222288173")</f>
        <v>https://opac.libnet.pref.okayama.jp/licsxp-opac/WOpacMsgNewListToTifTilDetailAction.do?tilcod=2002222288173</v>
      </c>
    </row>
    <row r="5095" spans="1:9" x14ac:dyDescent="0.4">
      <c r="A5095" t="str">
        <f>"WASAO　BOOK"</f>
        <v>WASAO　BOOK</v>
      </c>
      <c r="B5095" s="1" t="str">
        <f t="shared" si="245"/>
        <v>WASAO　BOOK</v>
      </c>
      <c r="C5095" t="str">
        <f>"ワサオ　ブック"</f>
        <v>ワサオ　ブック</v>
      </c>
      <c r="D5095" t="str">
        <f>"若者の参画する街岡山"</f>
        <v>若者の参画する街岡山</v>
      </c>
      <c r="E5095" t="str">
        <f>"ワカモノノサンカクスルマチオカヤマ"</f>
        <v>ワカモノノサンカクスルマチオカヤマ</v>
      </c>
      <c r="F5095" t="str">
        <f>"岡山"</f>
        <v>岡山</v>
      </c>
      <c r="G5095" t="str">
        <f t="shared" si="248"/>
        <v>頻度不明</v>
      </c>
      <c r="H5095" t="str">
        <f>"2002222327527"</f>
        <v>2002222327527</v>
      </c>
      <c r="I5095" t="str">
        <f>HYPERLINK("#", "https://opac.libnet.pref.okayama.jp/licsxp-opac/WOpacMsgNewListToTifTilDetailAction.do?tilcod=2002222327527")</f>
        <v>https://opac.libnet.pref.okayama.jp/licsxp-opac/WOpacMsgNewListToTifTilDetailAction.do?tilcod=2002222327527</v>
      </c>
    </row>
    <row r="5096" spans="1:9" x14ac:dyDescent="0.4">
      <c r="A5096" t="str">
        <f>"私たちの考古学"</f>
        <v>私たちの考古学</v>
      </c>
      <c r="B5096" s="1" t="str">
        <f t="shared" si="245"/>
        <v>私たちの考古学</v>
      </c>
      <c r="C5096" t="str">
        <f>"ワタクシタチ　ノ　コウコガク"</f>
        <v>ワタクシタチ　ノ　コウコガク</v>
      </c>
      <c r="D5096" t="str">
        <f>"考古学研究会"</f>
        <v>考古学研究会</v>
      </c>
      <c r="E5096" t="str">
        <f>"コウコガク ケンキュウカイ"</f>
        <v>コウコガク ケンキュウカイ</v>
      </c>
      <c r="F5096" t="str">
        <f>"岡山"</f>
        <v>岡山</v>
      </c>
      <c r="G5096" t="str">
        <f t="shared" si="248"/>
        <v>頻度不明</v>
      </c>
      <c r="H5096" t="str">
        <f>"2002222288183"</f>
        <v>2002222288183</v>
      </c>
      <c r="I5096" t="str">
        <f>HYPERLINK("#", "https://opac.libnet.pref.okayama.jp/licsxp-opac/WOpacMsgNewListToTifTilDetailAction.do?tilcod=2002222288183")</f>
        <v>https://opac.libnet.pref.okayama.jp/licsxp-opac/WOpacMsgNewListToTifTilDetailAction.do?tilcod=2002222288183</v>
      </c>
    </row>
    <row r="5097" spans="1:9" x14ac:dyDescent="0.4">
      <c r="A5097" t="str">
        <f>"私達の考古学"</f>
        <v>私達の考古学</v>
      </c>
      <c r="B5097" s="1" t="str">
        <f t="shared" si="245"/>
        <v>私達の考古学</v>
      </c>
      <c r="C5097" t="str">
        <f>"ワタクシタチ ノ コウコガク"</f>
        <v>ワタクシタチ ノ コウコガク</v>
      </c>
      <c r="D5097" t="str">
        <f>"岡山大学考古学学生会議"</f>
        <v>岡山大学考古学学生会議</v>
      </c>
      <c r="E5097" t="str">
        <f>"オカヤマ ダイガク コウコガク ガクセイ カイギ"</f>
        <v>オカヤマ ダイガク コウコガク ガクセイ カイギ</v>
      </c>
      <c r="F5097" t="str">
        <f>"岡山"</f>
        <v>岡山</v>
      </c>
      <c r="G5097" t="str">
        <f t="shared" si="248"/>
        <v>頻度不明</v>
      </c>
      <c r="H5097" t="str">
        <f>"2002222318087"</f>
        <v>2002222318087</v>
      </c>
      <c r="I5097" t="str">
        <f>HYPERLINK("#", "https://opac.libnet.pref.okayama.jp/licsxp-opac/WOpacMsgNewListToTifTilDetailAction.do?tilcod=2002222318087")</f>
        <v>https://opac.libnet.pref.okayama.jp/licsxp-opac/WOpacMsgNewListToTifTilDetailAction.do?tilcod=2002222318087</v>
      </c>
    </row>
    <row r="5098" spans="1:9" x14ac:dyDescent="0.4">
      <c r="A5098" t="str">
        <f>"私立児島郡教育会報"</f>
        <v>私立児島郡教育会報</v>
      </c>
      <c r="B5098" s="1" t="str">
        <f t="shared" si="245"/>
        <v>私立児島郡教育会報</v>
      </c>
      <c r="C5098" t="str">
        <f>"ワタクシリツ コジマグン キョウイク カイホウ"</f>
        <v>ワタクシリツ コジマグン キョウイク カイホウ</v>
      </c>
      <c r="D5098" t="str">
        <f>"私立児島郡教育会"</f>
        <v>私立児島郡教育会</v>
      </c>
      <c r="E5098" t="str">
        <f>"シリツ コジマグン キョウイクカイ"</f>
        <v>シリツ コジマグン キョウイクカイ</v>
      </c>
      <c r="F5098" t="str">
        <f>"児島郡"</f>
        <v>児島郡</v>
      </c>
      <c r="G5098" t="str">
        <f t="shared" si="248"/>
        <v>頻度不明</v>
      </c>
      <c r="H5098" t="str">
        <f>"2002222337091"</f>
        <v>2002222337091</v>
      </c>
      <c r="I5098" t="str">
        <f>HYPERLINK("#", "https://opac.libnet.pref.okayama.jp/licsxp-opac/WOpacMsgNewListToTifTilDetailAction.do?tilcod=2002222337091")</f>
        <v>https://opac.libnet.pref.okayama.jp/licsxp-opac/WOpacMsgNewListToTifTilDetailAction.do?tilcod=2002222337091</v>
      </c>
    </row>
    <row r="5099" spans="1:9" x14ac:dyDescent="0.4">
      <c r="A5099" t="str">
        <f>"わたしの雑記帳"</f>
        <v>わたしの雑記帳</v>
      </c>
      <c r="B5099" s="1" t="str">
        <f t="shared" si="245"/>
        <v>わたしの雑記帳</v>
      </c>
      <c r="C5099" t="str">
        <f>"ワタシ　ノ　ザッキチョウ"</f>
        <v>ワタシ　ノ　ザッキチョウ</v>
      </c>
      <c r="D5099" t="str">
        <f>"たのしい会"</f>
        <v>たのしい会</v>
      </c>
      <c r="E5099" t="str">
        <f>"タノシイカイ"</f>
        <v>タノシイカイ</v>
      </c>
      <c r="F5099" t="str">
        <f>"倉敷"</f>
        <v>倉敷</v>
      </c>
      <c r="G5099" t="str">
        <f t="shared" si="248"/>
        <v>頻度不明</v>
      </c>
      <c r="H5099" t="str">
        <f>"2002222288193"</f>
        <v>2002222288193</v>
      </c>
      <c r="I5099" t="str">
        <f>HYPERLINK("#", "https://opac.libnet.pref.okayama.jp/licsxp-opac/WOpacMsgNewListToTifTilDetailAction.do?tilcod=2002222288193")</f>
        <v>https://opac.libnet.pref.okayama.jp/licsxp-opac/WOpacMsgNewListToTifTilDetailAction.do?tilcod=2002222288193</v>
      </c>
    </row>
    <row r="5100" spans="1:9" x14ac:dyDescent="0.4">
      <c r="A5100" t="str">
        <f>"わたしのスポーツ体験；作文・写真・図画コンクール作品集"</f>
        <v>わたしのスポーツ体験；作文・写真・図画コンクール作品集</v>
      </c>
      <c r="B5100" s="1" t="str">
        <f t="shared" si="245"/>
        <v>わたしのスポーツ体験；作文・写真・図画コンクール作品集</v>
      </c>
      <c r="C5100" t="str">
        <f>"ワタシ　ノ　スポーツ　タイケン＊サクブン　シャシン　ズガ　コンクール　サクヒンシュウ"</f>
        <v>ワタシ　ノ　スポーツ　タイケン＊サクブン　シャシン　ズガ　コンクール　サクヒンシュウ</v>
      </c>
      <c r="D5100" t="str">
        <f>"ＯＨＫスポーツ振興財団"</f>
        <v>ＯＨＫスポーツ振興財団</v>
      </c>
      <c r="E5100" t="str">
        <f>"オーエイチケイスポーツシンコウザイダン"</f>
        <v>オーエイチケイスポーツシンコウザイダン</v>
      </c>
      <c r="F5100" t="str">
        <f>""</f>
        <v/>
      </c>
      <c r="G5100" t="str">
        <f>"年刊"</f>
        <v>年刊</v>
      </c>
      <c r="H5100" t="str">
        <f>"2002222288203"</f>
        <v>2002222288203</v>
      </c>
      <c r="I5100" t="str">
        <f>HYPERLINK("#", "https://opac.libnet.pref.okayama.jp/licsxp-opac/WOpacMsgNewListToTifTilDetailAction.do?tilcod=2002222288203")</f>
        <v>https://opac.libnet.pref.okayama.jp/licsxp-opac/WOpacMsgNewListToTifTilDetailAction.do?tilcod=2002222288203</v>
      </c>
    </row>
    <row r="5101" spans="1:9" x14ac:dyDescent="0.4">
      <c r="A5101" t="str">
        <f>"わだち"</f>
        <v>わだち</v>
      </c>
      <c r="B5101" s="1" t="str">
        <f t="shared" si="245"/>
        <v>わだち</v>
      </c>
      <c r="C5101" t="str">
        <f>"ワダチ"</f>
        <v>ワダチ</v>
      </c>
      <c r="D5101" t="str">
        <f>"岡山県民生労働部"</f>
        <v>岡山県民生労働部</v>
      </c>
      <c r="E5101" t="str">
        <f>"オカヤマケンミンセイロウドウブ"</f>
        <v>オカヤマケンミンセイロウドウブ</v>
      </c>
      <c r="F5101" t="str">
        <f>"岡山"</f>
        <v>岡山</v>
      </c>
      <c r="G5101" t="str">
        <f>"頻度不明"</f>
        <v>頻度不明</v>
      </c>
      <c r="H5101" t="str">
        <f>"2002222288213"</f>
        <v>2002222288213</v>
      </c>
      <c r="I5101" t="str">
        <f>HYPERLINK("#", "https://opac.libnet.pref.okayama.jp/licsxp-opac/WOpacMsgNewListToTifTilDetailAction.do?tilcod=2002222288213")</f>
        <v>https://opac.libnet.pref.okayama.jp/licsxp-opac/WOpacMsgNewListToTifTilDetailAction.do?tilcod=2002222288213</v>
      </c>
    </row>
    <row r="5102" spans="1:9" x14ac:dyDescent="0.4">
      <c r="A5102" t="str">
        <f>"和楽飛"</f>
        <v>和楽飛</v>
      </c>
      <c r="B5102" s="1" t="str">
        <f t="shared" si="245"/>
        <v>和楽飛</v>
      </c>
      <c r="C5102" t="str">
        <f>"ワラビ"</f>
        <v>ワラビ</v>
      </c>
      <c r="D5102" t="str">
        <f>"六條院村青年団向月支部"</f>
        <v>六條院村青年団向月支部</v>
      </c>
      <c r="E5102" t="str">
        <f>"ロクジョウインソン セイネンダン ムコウズキ シブ"</f>
        <v>ロクジョウインソン セイネンダン ムコウズキ シブ</v>
      </c>
      <c r="F5102" t="str">
        <f>""</f>
        <v/>
      </c>
      <c r="G5102" t="str">
        <f>"頻度不明"</f>
        <v>頻度不明</v>
      </c>
      <c r="H5102" t="str">
        <f>"2002222335607"</f>
        <v>2002222335607</v>
      </c>
      <c r="I5102" t="str">
        <f>HYPERLINK("#", "https://opac.libnet.pref.okayama.jp/licsxp-opac/WOpacMsgNewListToTifTilDetailAction.do?tilcod=2002222335607")</f>
        <v>https://opac.libnet.pref.okayama.jp/licsxp-opac/WOpacMsgNewListToTifTilDetailAction.do?tilcod=2002222335607</v>
      </c>
    </row>
    <row r="5103" spans="1:9" x14ac:dyDescent="0.4">
      <c r="A5103" t="str">
        <f>"わらんべ"</f>
        <v>わらんべ</v>
      </c>
      <c r="B5103" s="1" t="str">
        <f t="shared" si="245"/>
        <v>わらんべ</v>
      </c>
      <c r="C5103" t="str">
        <f>"ワランベ"</f>
        <v>ワランベ</v>
      </c>
      <c r="D5103" t="str">
        <f>"北村長太郎"</f>
        <v>北村長太郎</v>
      </c>
      <c r="E5103" t="str">
        <f>"キタムラチョウタロウ"</f>
        <v>キタムラチョウタロウ</v>
      </c>
      <c r="F5103" t="str">
        <f>""</f>
        <v/>
      </c>
      <c r="G5103" t="str">
        <f>"月刊"</f>
        <v>月刊</v>
      </c>
      <c r="H5103" t="str">
        <f>"2002222280944"</f>
        <v>2002222280944</v>
      </c>
      <c r="I5103" t="str">
        <f>HYPERLINK("#", "https://opac.libnet.pref.okayama.jp/licsxp-opac/WOpacMsgNewListToTifTilDetailAction.do?tilcod=2002222280944")</f>
        <v>https://opac.libnet.pref.okayama.jp/licsxp-opac/WOpacMsgNewListToTifTilDetailAction.do?tilcod=2002222280944</v>
      </c>
    </row>
    <row r="5104" spans="1:9" x14ac:dyDescent="0.4">
      <c r="A5104" t="str">
        <f>"我等"</f>
        <v>我等</v>
      </c>
      <c r="B5104" s="1" t="str">
        <f t="shared" si="245"/>
        <v>我等</v>
      </c>
      <c r="C5104" t="str">
        <f>"ワレラ"</f>
        <v>ワレラ</v>
      </c>
      <c r="D5104" t="str">
        <f>"我等詩社"</f>
        <v>我等詩社</v>
      </c>
      <c r="E5104" t="str">
        <f>"ワレラシシャ"</f>
        <v>ワレラシシャ</v>
      </c>
      <c r="F5104" t="str">
        <f>""</f>
        <v/>
      </c>
      <c r="G5104" t="str">
        <f>"頻度不明"</f>
        <v>頻度不明</v>
      </c>
      <c r="H5104" t="str">
        <f>"2002222288223"</f>
        <v>2002222288223</v>
      </c>
      <c r="I5104" t="str">
        <f>HYPERLINK("#", "https://opac.libnet.pref.okayama.jp/licsxp-opac/WOpacMsgNewListToTifTilDetailAction.do?tilcod=2002222288223")</f>
        <v>https://opac.libnet.pref.okayama.jp/licsxp-opac/WOpacMsgNewListToTifTilDetailAction.do?tilcod=2002222288223</v>
      </c>
    </row>
    <row r="5105" spans="1:9" x14ac:dyDescent="0.4">
      <c r="A5105" t="str">
        <f>"われらの文苑"</f>
        <v>われらの文苑</v>
      </c>
      <c r="B5105" s="1" t="str">
        <f t="shared" si="245"/>
        <v>われらの文苑</v>
      </c>
      <c r="C5105" t="str">
        <f>"ワレラ ノ ブンエン"</f>
        <v>ワレラ ノ ブンエン</v>
      </c>
      <c r="D5105" t="str">
        <f>"西大寺市立山南中学校文化部"</f>
        <v>西大寺市立山南中学校文化部</v>
      </c>
      <c r="E5105" t="str">
        <f>"サイダイジシリツ サンナン チュウガッコウ ブンカブ"</f>
        <v>サイダイジシリツ サンナン チュウガッコウ ブンカブ</v>
      </c>
      <c r="F5105" t="str">
        <f>"西大寺"</f>
        <v>西大寺</v>
      </c>
      <c r="G5105" t="str">
        <f>"頻度不明"</f>
        <v>頻度不明</v>
      </c>
      <c r="H5105" t="str">
        <f>"2002222325026"</f>
        <v>2002222325026</v>
      </c>
      <c r="I5105" t="str">
        <f>HYPERLINK("#", "https://opac.libnet.pref.okayama.jp/licsxp-opac/WOpacMsgNewListToTifTilDetailAction.do?tilcod=2002222325026")</f>
        <v>https://opac.libnet.pref.okayama.jp/licsxp-opac/WOpacMsgNewListToTifTilDetailAction.do?tilcod=2002222325026</v>
      </c>
    </row>
    <row r="5106" spans="1:9" x14ac:dyDescent="0.4">
      <c r="A5106" t="str">
        <f>"Ｏｎｅ　Ｓｔｅｐ"</f>
        <v>Ｏｎｅ　Ｓｔｅｐ</v>
      </c>
      <c r="B5106" s="1" t="str">
        <f t="shared" si="245"/>
        <v>Ｏｎｅ　Ｓｔｅｐ</v>
      </c>
      <c r="C5106" t="str">
        <f>"ワンステップ"</f>
        <v>ワンステップ</v>
      </c>
      <c r="D5106" t="str">
        <f>"美星町青年団"</f>
        <v>美星町青年団</v>
      </c>
      <c r="E5106" t="str">
        <f>"ビセイチョウセイネンダン"</f>
        <v>ビセイチョウセイネンダン</v>
      </c>
      <c r="F5106" t="str">
        <f>"美星町（小田郡）"</f>
        <v>美星町（小田郡）</v>
      </c>
      <c r="G5106" t="str">
        <f>"頻度不明"</f>
        <v>頻度不明</v>
      </c>
      <c r="H5106" t="str">
        <f>"2002222301771"</f>
        <v>2002222301771</v>
      </c>
      <c r="I5106" t="str">
        <f>HYPERLINK("#", "https://opac.libnet.pref.okayama.jp/licsxp-opac/WOpacMsgNewListToTifTilDetailAction.do?tilcod=2002222301771")</f>
        <v>https://opac.libnet.pref.okayama.jp/licsxp-opac/WOpacMsgNewListToTifTilDetailAction.do?tilcod=2002222301771</v>
      </c>
    </row>
  </sheetData>
  <sortState ref="A3:DA5106">
    <sortCondition ref="C3:C5106"/>
  </sortState>
  <phoneticPr fontId="18"/>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20240614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2024-06-14T03:36:58Z</dcterms:created>
  <dcterms:modified xsi:type="dcterms:W3CDTF">2024-06-14T03:36:58Z</dcterms:modified>
</cp:coreProperties>
</file>